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P:\Research\SB - Research\6. Casinos\1. SKC\"/>
    </mc:Choice>
  </mc:AlternateContent>
  <xr:revisionPtr revIDLastSave="0" documentId="13_ncr:1_{C8B831BE-9E77-4FB7-A77D-CEBDF8703209}" xr6:coauthVersionLast="47" xr6:coauthVersionMax="47" xr10:uidLastSave="{00000000-0000-0000-0000-000000000000}"/>
  <bookViews>
    <workbookView xWindow="-120" yWindow="-120" windowWidth="29040" windowHeight="15720" activeTab="2" xr2:uid="{00000000-000D-0000-FFFF-FFFF00000000}"/>
  </bookViews>
  <sheets>
    <sheet name="BM" sheetId="1" r:id="rId1"/>
    <sheet name="I" sheetId="2" r:id="rId2"/>
    <sheet name="HY" sheetId="3" r:id="rId3"/>
    <sheet name="FY" sheetId="4" r:id="rId4"/>
    <sheet name="II" sheetId="5" r:id="rId5"/>
    <sheet name="FT Tables" sheetId="6" r:id="rId6"/>
    <sheet name="Rev Tables" sheetId="7" r:id="rId7"/>
    <sheet name="III" sheetId="8" r:id="rId8"/>
    <sheet name="IV" sheetId="9" r:id="rId9"/>
    <sheet name="4Q26" sheetId="10" r:id="rId10"/>
    <sheet name="VA Cons" sheetId="11" state="hidden" r:id="rId11"/>
    <sheet name="Multiples" sheetId="12" state="hidden" r:id="rId12"/>
    <sheet name="Revisions" sheetId="13" state="hidden" r:id="rId13"/>
    <sheet name="Employees" sheetId="14" state="hidden" r:id="rId14"/>
    <sheet name="KPIs" sheetId="15" state="hidden" r:id="rId15"/>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3" i="15" l="1"/>
  <c r="L103" i="15" s="1"/>
  <c r="F123" i="15"/>
  <c r="F103" i="15" s="1"/>
  <c r="L122" i="15"/>
  <c r="F122" i="15"/>
  <c r="L121" i="15"/>
  <c r="F121" i="15"/>
  <c r="P118" i="15"/>
  <c r="P111" i="15"/>
  <c r="P103" i="15"/>
  <c r="K103" i="15"/>
  <c r="J103" i="15"/>
  <c r="I103" i="15"/>
  <c r="H103" i="15"/>
  <c r="G103" i="15"/>
  <c r="E103" i="15"/>
  <c r="J82" i="15"/>
  <c r="H82" i="15"/>
  <c r="J81" i="15"/>
  <c r="H81" i="15"/>
  <c r="I80" i="15"/>
  <c r="I83" i="15" s="1"/>
  <c r="G80" i="15"/>
  <c r="G83" i="15" s="1"/>
  <c r="I73" i="15"/>
  <c r="I59" i="15"/>
  <c r="H59" i="15"/>
  <c r="G59" i="15"/>
  <c r="I52" i="15"/>
  <c r="I51" i="15"/>
  <c r="J45" i="15"/>
  <c r="J80" i="15" s="1"/>
  <c r="H45" i="15"/>
  <c r="H80" i="15" s="1"/>
  <c r="P17" i="15"/>
  <c r="N17" i="15"/>
  <c r="L17" i="15"/>
  <c r="J17" i="15"/>
  <c r="H17" i="15"/>
  <c r="F17" i="15"/>
  <c r="P41" i="14"/>
  <c r="N41" i="14"/>
  <c r="L41" i="14"/>
  <c r="J41" i="14"/>
  <c r="H41" i="14"/>
  <c r="F41" i="14"/>
  <c r="O40" i="14"/>
  <c r="M40" i="14"/>
  <c r="K40" i="14"/>
  <c r="I40" i="14"/>
  <c r="G40" i="14"/>
  <c r="O39" i="14"/>
  <c r="M39" i="14"/>
  <c r="K39" i="14"/>
  <c r="I39" i="14"/>
  <c r="G39" i="14"/>
  <c r="O38" i="14"/>
  <c r="M38" i="14"/>
  <c r="K38" i="14"/>
  <c r="I38" i="14"/>
  <c r="O37" i="14"/>
  <c r="M37" i="14"/>
  <c r="K37" i="14"/>
  <c r="I37" i="14"/>
  <c r="G37" i="14"/>
  <c r="O36" i="14"/>
  <c r="M36" i="14"/>
  <c r="K36" i="14"/>
  <c r="I36" i="14"/>
  <c r="G36" i="14"/>
  <c r="O35" i="14"/>
  <c r="M35" i="14"/>
  <c r="K35" i="14"/>
  <c r="I35" i="14"/>
  <c r="G35" i="14"/>
  <c r="O34" i="14"/>
  <c r="M34" i="14"/>
  <c r="K34" i="14"/>
  <c r="I34" i="14"/>
  <c r="G34" i="14"/>
  <c r="O33" i="14"/>
  <c r="M33" i="14"/>
  <c r="K33" i="14"/>
  <c r="I33" i="14"/>
  <c r="G33" i="14"/>
  <c r="O32" i="14"/>
  <c r="M32" i="14"/>
  <c r="K32" i="14"/>
  <c r="I32" i="14"/>
  <c r="G32" i="14"/>
  <c r="O31" i="14"/>
  <c r="M31" i="14"/>
  <c r="K31" i="14"/>
  <c r="I31" i="14"/>
  <c r="G31" i="14"/>
  <c r="O28" i="14"/>
  <c r="M28" i="14"/>
  <c r="K28" i="14"/>
  <c r="I28" i="14"/>
  <c r="G28" i="14"/>
  <c r="O27" i="14"/>
  <c r="M27" i="14"/>
  <c r="K27" i="14"/>
  <c r="I27" i="14"/>
  <c r="G27" i="14"/>
  <c r="O26" i="14"/>
  <c r="M26" i="14"/>
  <c r="K26" i="14"/>
  <c r="I26" i="14"/>
  <c r="G26" i="14"/>
  <c r="P23" i="14"/>
  <c r="N23" i="14"/>
  <c r="L23" i="14"/>
  <c r="J23" i="14"/>
  <c r="H23" i="14"/>
  <c r="F23" i="14"/>
  <c r="O22" i="14"/>
  <c r="M22" i="14"/>
  <c r="K22" i="14"/>
  <c r="I22" i="14"/>
  <c r="G22" i="14"/>
  <c r="O21" i="14"/>
  <c r="M21" i="14"/>
  <c r="K21" i="14"/>
  <c r="I21" i="14"/>
  <c r="G21" i="14"/>
  <c r="O20" i="14"/>
  <c r="M20" i="14"/>
  <c r="K20" i="14"/>
  <c r="I20" i="14"/>
  <c r="G20" i="14"/>
  <c r="O19" i="14"/>
  <c r="M19" i="14"/>
  <c r="K19" i="14"/>
  <c r="I19" i="14"/>
  <c r="G19" i="14"/>
  <c r="P16" i="14"/>
  <c r="P51" i="14" s="1"/>
  <c r="N16" i="14"/>
  <c r="N48" i="14" s="1"/>
  <c r="L16" i="14"/>
  <c r="L48" i="14" s="1"/>
  <c r="J16" i="14"/>
  <c r="J53" i="14" s="1"/>
  <c r="H16" i="14"/>
  <c r="H47" i="14" s="1"/>
  <c r="F16" i="14"/>
  <c r="F47" i="14" s="1"/>
  <c r="O15" i="14"/>
  <c r="M15" i="14"/>
  <c r="K15" i="14"/>
  <c r="I15" i="14"/>
  <c r="G15" i="14"/>
  <c r="O14" i="14"/>
  <c r="M14" i="14"/>
  <c r="K14" i="14"/>
  <c r="I14" i="14"/>
  <c r="G14" i="14"/>
  <c r="O13" i="14"/>
  <c r="M13" i="14"/>
  <c r="K13" i="14"/>
  <c r="I13" i="14"/>
  <c r="G13" i="14"/>
  <c r="O12" i="14"/>
  <c r="O9" i="14" s="1"/>
  <c r="M12" i="14"/>
  <c r="M9" i="14" s="1"/>
  <c r="K12" i="14"/>
  <c r="I12" i="14"/>
  <c r="G12" i="14"/>
  <c r="G9" i="14" s="1"/>
  <c r="AL9" i="14"/>
  <c r="AK9" i="14"/>
  <c r="AJ9" i="14"/>
  <c r="AI9" i="14"/>
  <c r="AH9" i="14"/>
  <c r="AG9" i="14"/>
  <c r="AF9" i="14"/>
  <c r="AE9" i="14"/>
  <c r="AD9" i="14"/>
  <c r="AC9" i="14"/>
  <c r="AB9" i="14"/>
  <c r="AA9" i="14"/>
  <c r="Z9" i="14"/>
  <c r="Y9" i="14"/>
  <c r="X9" i="14"/>
  <c r="W9" i="14"/>
  <c r="V9" i="14"/>
  <c r="U9" i="14"/>
  <c r="T9" i="14"/>
  <c r="S9" i="14"/>
  <c r="R9" i="14"/>
  <c r="Q9" i="14"/>
  <c r="P9" i="14"/>
  <c r="N9" i="14"/>
  <c r="L9" i="14"/>
  <c r="J9" i="14"/>
  <c r="H9" i="14"/>
  <c r="F9" i="14"/>
  <c r="E9" i="14"/>
  <c r="E8" i="14" a="1"/>
  <c r="E8" i="14" s="1"/>
  <c r="E6" i="14"/>
  <c r="E5" i="14" a="1"/>
  <c r="E5" i="14" s="1"/>
  <c r="F3" i="14"/>
  <c r="F6" i="14" s="1"/>
  <c r="C2" i="14"/>
  <c r="AC587" i="13"/>
  <c r="AB587" i="13"/>
  <c r="AC586" i="13"/>
  <c r="AB586" i="13"/>
  <c r="AC585" i="13"/>
  <c r="AB585" i="13"/>
  <c r="AC584" i="13"/>
  <c r="AB584" i="13"/>
  <c r="AC583" i="13"/>
  <c r="AB583" i="13"/>
  <c r="AC582" i="13"/>
  <c r="AB582" i="13"/>
  <c r="AC581" i="13"/>
  <c r="AB581" i="13"/>
  <c r="AC580" i="13"/>
  <c r="AB580" i="13"/>
  <c r="AC579" i="13"/>
  <c r="AB579" i="13"/>
  <c r="AC578" i="13"/>
  <c r="AB578" i="13"/>
  <c r="AC577" i="13"/>
  <c r="AB577" i="13"/>
  <c r="AC576" i="13"/>
  <c r="AB576" i="13"/>
  <c r="AC575" i="13"/>
  <c r="AB575" i="13"/>
  <c r="AC574" i="13"/>
  <c r="AB574" i="13"/>
  <c r="AC573" i="13"/>
  <c r="AB573" i="13"/>
  <c r="AC572" i="13"/>
  <c r="AB572" i="13"/>
  <c r="AC571" i="13"/>
  <c r="AB571" i="13"/>
  <c r="AC570" i="13"/>
  <c r="AB570" i="13"/>
  <c r="AB569" i="13"/>
  <c r="AB568" i="13"/>
  <c r="D568" i="13" a="1"/>
  <c r="D568" i="13" s="1"/>
  <c r="AC568" i="13" s="1"/>
  <c r="AF567" i="13"/>
  <c r="G567" i="13"/>
  <c r="AO566" i="13"/>
  <c r="AN566" i="13"/>
  <c r="AM566" i="13"/>
  <c r="AL566" i="13"/>
  <c r="AK566" i="13"/>
  <c r="AJ566" i="13"/>
  <c r="AI566" i="13"/>
  <c r="AH566" i="13"/>
  <c r="AG566" i="13"/>
  <c r="AF566" i="13"/>
  <c r="AE566" i="13"/>
  <c r="Z566" i="13"/>
  <c r="Y566" i="13"/>
  <c r="X566" i="13"/>
  <c r="W566" i="13"/>
  <c r="V566" i="13"/>
  <c r="U566" i="13"/>
  <c r="T566" i="13"/>
  <c r="S566" i="13"/>
  <c r="R566" i="13"/>
  <c r="Q566" i="13"/>
  <c r="P566" i="13"/>
  <c r="O566" i="13"/>
  <c r="N566" i="13"/>
  <c r="M566" i="13"/>
  <c r="L566" i="13"/>
  <c r="K566" i="13"/>
  <c r="J566" i="13"/>
  <c r="I566" i="13"/>
  <c r="H566" i="13"/>
  <c r="G566" i="13"/>
  <c r="F566" i="13"/>
  <c r="AC562" i="13"/>
  <c r="AB562" i="13"/>
  <c r="AC561" i="13"/>
  <c r="AB561" i="13"/>
  <c r="AB560" i="13"/>
  <c r="AB559" i="13"/>
  <c r="D559" i="13" a="1"/>
  <c r="D559" i="13" s="1"/>
  <c r="AC559" i="13" s="1"/>
  <c r="AC558" i="13"/>
  <c r="AB558" i="13"/>
  <c r="AC557" i="13"/>
  <c r="AB557" i="13"/>
  <c r="AB556" i="13"/>
  <c r="AB555" i="13"/>
  <c r="D555" i="13" a="1"/>
  <c r="D555" i="13" s="1"/>
  <c r="AC555" i="13" s="1"/>
  <c r="AC554" i="13"/>
  <c r="AB554" i="13"/>
  <c r="AC553" i="13"/>
  <c r="AB553" i="13"/>
  <c r="AB552" i="13"/>
  <c r="AB551" i="13"/>
  <c r="D551" i="13" a="1"/>
  <c r="D551" i="13" s="1"/>
  <c r="AC551" i="13" s="1"/>
  <c r="AC550" i="13"/>
  <c r="AB550" i="13"/>
  <c r="AC549" i="13"/>
  <c r="AB549" i="13"/>
  <c r="AB548" i="13"/>
  <c r="AB547" i="13"/>
  <c r="D547" i="13" a="1"/>
  <c r="D547" i="13" s="1"/>
  <c r="AC547" i="13" s="1"/>
  <c r="AC546" i="13"/>
  <c r="AB546" i="13"/>
  <c r="AC545" i="13"/>
  <c r="AB545" i="13"/>
  <c r="AB544" i="13"/>
  <c r="AB543" i="13"/>
  <c r="D543" i="13" a="1"/>
  <c r="D543" i="13" s="1"/>
  <c r="AC543" i="13" s="1"/>
  <c r="AC542" i="13"/>
  <c r="AB542" i="13"/>
  <c r="AC541" i="13"/>
  <c r="AB541" i="13"/>
  <c r="AB540" i="13"/>
  <c r="AB539" i="13"/>
  <c r="D539" i="13" a="1"/>
  <c r="D539" i="13" s="1"/>
  <c r="AC539" i="13" s="1"/>
  <c r="AC538" i="13"/>
  <c r="AB538" i="13"/>
  <c r="AC537" i="13"/>
  <c r="AB537" i="13"/>
  <c r="AB536" i="13"/>
  <c r="AB535" i="13"/>
  <c r="D535" i="13" a="1"/>
  <c r="D535" i="13" s="1"/>
  <c r="AC535" i="13" s="1"/>
  <c r="AC534" i="13"/>
  <c r="AB534" i="13"/>
  <c r="AC533" i="13"/>
  <c r="AB533" i="13"/>
  <c r="AB532" i="13"/>
  <c r="AB531" i="13"/>
  <c r="D531" i="13" a="1"/>
  <c r="D531" i="13" s="1"/>
  <c r="AC531" i="13" s="1"/>
  <c r="AC530" i="13"/>
  <c r="AB530" i="13"/>
  <c r="AC529" i="13"/>
  <c r="AB529" i="13"/>
  <c r="AB528" i="13"/>
  <c r="AB527" i="13"/>
  <c r="D527" i="13" a="1"/>
  <c r="D527" i="13" s="1"/>
  <c r="AC527" i="13" s="1"/>
  <c r="AC526" i="13"/>
  <c r="AB526" i="13"/>
  <c r="AC525" i="13"/>
  <c r="AB525" i="13"/>
  <c r="AB524" i="13"/>
  <c r="AB523" i="13"/>
  <c r="D523" i="13" a="1"/>
  <c r="D523" i="13" s="1"/>
  <c r="AC523" i="13" s="1"/>
  <c r="AC522" i="13"/>
  <c r="AB522" i="13"/>
  <c r="AC521" i="13"/>
  <c r="AB521" i="13"/>
  <c r="AB520" i="13"/>
  <c r="AB519" i="13"/>
  <c r="D519" i="13" a="1"/>
  <c r="D519" i="13" s="1"/>
  <c r="AC519" i="13" s="1"/>
  <c r="AF518" i="13"/>
  <c r="G518" i="13"/>
  <c r="AO517" i="13"/>
  <c r="AN517" i="13"/>
  <c r="AM517" i="13"/>
  <c r="AL517" i="13"/>
  <c r="AK517" i="13"/>
  <c r="AJ517" i="13"/>
  <c r="AI517" i="13"/>
  <c r="AH517" i="13"/>
  <c r="AG517" i="13"/>
  <c r="AF517" i="13"/>
  <c r="AE517" i="13"/>
  <c r="Z517" i="13"/>
  <c r="Y517" i="13"/>
  <c r="X517" i="13"/>
  <c r="W517" i="13"/>
  <c r="V517" i="13"/>
  <c r="U517" i="13"/>
  <c r="T517" i="13"/>
  <c r="S517" i="13"/>
  <c r="R517" i="13"/>
  <c r="Q517" i="13"/>
  <c r="P517" i="13"/>
  <c r="O517" i="13"/>
  <c r="N517" i="13"/>
  <c r="M517" i="13"/>
  <c r="L517" i="13"/>
  <c r="K517" i="13"/>
  <c r="J517" i="13"/>
  <c r="I517" i="13"/>
  <c r="H517" i="13"/>
  <c r="G517" i="13"/>
  <c r="F517" i="13"/>
  <c r="AC513" i="13"/>
  <c r="AB513" i="13"/>
  <c r="AC512" i="13"/>
  <c r="AB512" i="13"/>
  <c r="AB511" i="13"/>
  <c r="AB510" i="13"/>
  <c r="D510" i="13" a="1"/>
  <c r="D510" i="13" s="1"/>
  <c r="AC510" i="13" s="1"/>
  <c r="AC509" i="13"/>
  <c r="AB509" i="13"/>
  <c r="AC508" i="13"/>
  <c r="AB508" i="13"/>
  <c r="AB507" i="13"/>
  <c r="AB506" i="13"/>
  <c r="D506" i="13" a="1"/>
  <c r="D506" i="13" s="1"/>
  <c r="AC506" i="13" s="1"/>
  <c r="AC505" i="13"/>
  <c r="AB505" i="13"/>
  <c r="AC504" i="13"/>
  <c r="AB504" i="13"/>
  <c r="AB503" i="13"/>
  <c r="AB502" i="13"/>
  <c r="D502" i="13" a="1"/>
  <c r="D502" i="13" s="1"/>
  <c r="AC502" i="13" s="1"/>
  <c r="AC501" i="13"/>
  <c r="AB501" i="13"/>
  <c r="AC500" i="13"/>
  <c r="AB500" i="13"/>
  <c r="AB499" i="13"/>
  <c r="AB498" i="13"/>
  <c r="D498" i="13" a="1"/>
  <c r="D498" i="13" s="1"/>
  <c r="AC498" i="13" s="1"/>
  <c r="AC497" i="13"/>
  <c r="AB497" i="13"/>
  <c r="AC496" i="13"/>
  <c r="AB496" i="13"/>
  <c r="AB495" i="13"/>
  <c r="AB494" i="13"/>
  <c r="D494" i="13" a="1"/>
  <c r="D494" i="13" s="1"/>
  <c r="AC494" i="13" s="1"/>
  <c r="AC493" i="13"/>
  <c r="AB493" i="13"/>
  <c r="AC492" i="13"/>
  <c r="AB492" i="13"/>
  <c r="AB491" i="13"/>
  <c r="AB490" i="13"/>
  <c r="D490" i="13" a="1"/>
  <c r="D490" i="13" s="1"/>
  <c r="AC490" i="13" s="1"/>
  <c r="AC489" i="13"/>
  <c r="AB489" i="13"/>
  <c r="AC488" i="13"/>
  <c r="AB488" i="13"/>
  <c r="AB487" i="13"/>
  <c r="AB486" i="13"/>
  <c r="D486" i="13" a="1"/>
  <c r="D486" i="13" s="1"/>
  <c r="AC486" i="13" s="1"/>
  <c r="AC485" i="13"/>
  <c r="AB485" i="13"/>
  <c r="AC484" i="13"/>
  <c r="AB484" i="13"/>
  <c r="AB483" i="13"/>
  <c r="AB482" i="13"/>
  <c r="D482" i="13" a="1"/>
  <c r="D482" i="13" s="1"/>
  <c r="AC482" i="13" s="1"/>
  <c r="AC481" i="13"/>
  <c r="AB481" i="13"/>
  <c r="AC480" i="13"/>
  <c r="AB480" i="13"/>
  <c r="AB479" i="13"/>
  <c r="AB478" i="13"/>
  <c r="D478" i="13" a="1"/>
  <c r="D478" i="13" s="1"/>
  <c r="AC478" i="13" s="1"/>
  <c r="AC477" i="13"/>
  <c r="AB477" i="13"/>
  <c r="AC476" i="13"/>
  <c r="AB476" i="13"/>
  <c r="AB475" i="13"/>
  <c r="AB474" i="13"/>
  <c r="D474" i="13" a="1"/>
  <c r="D474" i="13" s="1"/>
  <c r="AC474" i="13" s="1"/>
  <c r="AC473" i="13"/>
  <c r="AB473" i="13"/>
  <c r="AC472" i="13"/>
  <c r="AB472" i="13"/>
  <c r="AB471" i="13"/>
  <c r="AB470" i="13"/>
  <c r="D470" i="13" a="1"/>
  <c r="D470" i="13" s="1"/>
  <c r="AC470" i="13" s="1"/>
  <c r="AF469" i="13"/>
  <c r="G469" i="13"/>
  <c r="AO468" i="13"/>
  <c r="AN468" i="13"/>
  <c r="AM468" i="13"/>
  <c r="AL468" i="13"/>
  <c r="AK468" i="13"/>
  <c r="AJ468" i="13"/>
  <c r="AI468" i="13"/>
  <c r="AH468" i="13"/>
  <c r="AG468" i="13"/>
  <c r="AF468" i="13"/>
  <c r="AE468" i="13"/>
  <c r="Z468" i="13"/>
  <c r="Y468" i="13"/>
  <c r="X468" i="13"/>
  <c r="W468" i="13"/>
  <c r="V468" i="13"/>
  <c r="U468" i="13"/>
  <c r="T468" i="13"/>
  <c r="S468" i="13"/>
  <c r="R468" i="13"/>
  <c r="Q468" i="13"/>
  <c r="P468" i="13"/>
  <c r="O468" i="13"/>
  <c r="N468" i="13"/>
  <c r="M468" i="13"/>
  <c r="L468" i="13"/>
  <c r="K468" i="13"/>
  <c r="J468" i="13"/>
  <c r="I468" i="13"/>
  <c r="H468" i="13"/>
  <c r="G468" i="13"/>
  <c r="F468" i="13"/>
  <c r="AC463" i="13"/>
  <c r="AB463" i="13"/>
  <c r="AC462" i="13"/>
  <c r="AB462" i="13"/>
  <c r="AB461" i="13"/>
  <c r="AB460" i="13"/>
  <c r="D460" i="13" a="1"/>
  <c r="D460" i="13" s="1"/>
  <c r="AC460" i="13" s="1"/>
  <c r="AC459" i="13"/>
  <c r="AB459" i="13"/>
  <c r="AC458" i="13"/>
  <c r="AB458" i="13"/>
  <c r="AB457" i="13"/>
  <c r="AB456" i="13"/>
  <c r="D456" i="13" a="1"/>
  <c r="D456" i="13" s="1"/>
  <c r="AC456" i="13" s="1"/>
  <c r="AC455" i="13"/>
  <c r="AB455" i="13"/>
  <c r="AC454" i="13"/>
  <c r="AB454" i="13"/>
  <c r="AB453" i="13"/>
  <c r="AB452" i="13"/>
  <c r="D452" i="13" a="1"/>
  <c r="D452" i="13" s="1"/>
  <c r="AC452" i="13" s="1"/>
  <c r="AC451" i="13"/>
  <c r="AB451" i="13"/>
  <c r="AC450" i="13"/>
  <c r="AB450" i="13"/>
  <c r="AB449" i="13"/>
  <c r="AB448" i="13"/>
  <c r="D448" i="13" a="1"/>
  <c r="D448" i="13" s="1"/>
  <c r="AC448" i="13" s="1"/>
  <c r="AC447" i="13"/>
  <c r="AB447" i="13"/>
  <c r="AC446" i="13"/>
  <c r="AB446" i="13"/>
  <c r="AB445" i="13"/>
  <c r="AB444" i="13"/>
  <c r="D444" i="13" a="1"/>
  <c r="D444" i="13" s="1"/>
  <c r="AC444" i="13" s="1"/>
  <c r="AC443" i="13"/>
  <c r="AB443" i="13"/>
  <c r="AC442" i="13"/>
  <c r="AB442" i="13"/>
  <c r="AB441" i="13"/>
  <c r="AB440" i="13"/>
  <c r="D440" i="13" a="1"/>
  <c r="D440" i="13" s="1"/>
  <c r="AC440" i="13" s="1"/>
  <c r="AC439" i="13"/>
  <c r="AB439" i="13"/>
  <c r="AC438" i="13"/>
  <c r="AB438" i="13"/>
  <c r="AB437" i="13"/>
  <c r="AB436" i="13"/>
  <c r="D436" i="13" a="1"/>
  <c r="D436" i="13" s="1"/>
  <c r="AC436" i="13" s="1"/>
  <c r="AC435" i="13"/>
  <c r="AB435" i="13"/>
  <c r="AC434" i="13"/>
  <c r="AB434" i="13"/>
  <c r="AB433" i="13"/>
  <c r="AB432" i="13"/>
  <c r="D432" i="13" a="1"/>
  <c r="D432" i="13" s="1"/>
  <c r="AC432" i="13" s="1"/>
  <c r="AC431" i="13"/>
  <c r="AB431" i="13"/>
  <c r="AC430" i="13"/>
  <c r="AB430" i="13"/>
  <c r="AB429" i="13"/>
  <c r="AB428" i="13"/>
  <c r="D428" i="13" a="1"/>
  <c r="D428" i="13" s="1"/>
  <c r="AC428" i="13" s="1"/>
  <c r="AC427" i="13"/>
  <c r="AB427" i="13"/>
  <c r="AC426" i="13"/>
  <c r="AB426" i="13"/>
  <c r="AB425" i="13"/>
  <c r="AB424" i="13"/>
  <c r="D424" i="13" a="1"/>
  <c r="D424" i="13" s="1"/>
  <c r="AC424" i="13" s="1"/>
  <c r="AF423" i="13"/>
  <c r="G423" i="13"/>
  <c r="AO422" i="13"/>
  <c r="AN422" i="13"/>
  <c r="AM422" i="13"/>
  <c r="AL422" i="13"/>
  <c r="AK422" i="13"/>
  <c r="AJ422" i="13"/>
  <c r="AI422" i="13"/>
  <c r="AH422" i="13"/>
  <c r="AG422" i="13"/>
  <c r="AF422" i="13"/>
  <c r="AE422" i="13"/>
  <c r="Z422" i="13"/>
  <c r="Y422" i="13"/>
  <c r="X422" i="13"/>
  <c r="W422" i="13"/>
  <c r="V422" i="13"/>
  <c r="U422" i="13"/>
  <c r="T422" i="13"/>
  <c r="S422" i="13"/>
  <c r="R422" i="13"/>
  <c r="Q422" i="13"/>
  <c r="P422" i="13"/>
  <c r="O422" i="13"/>
  <c r="N422" i="13"/>
  <c r="M422" i="13"/>
  <c r="L422" i="13"/>
  <c r="K422" i="13"/>
  <c r="J422" i="13"/>
  <c r="I422" i="13"/>
  <c r="H422" i="13"/>
  <c r="G422" i="13"/>
  <c r="F422" i="13"/>
  <c r="AC418" i="13"/>
  <c r="AB418" i="13"/>
  <c r="AC417" i="13"/>
  <c r="AB417" i="13"/>
  <c r="AB416" i="13"/>
  <c r="AB415" i="13"/>
  <c r="D415" i="13" a="1"/>
  <c r="D415" i="13" s="1"/>
  <c r="AC415" i="13" s="1"/>
  <c r="AC414" i="13"/>
  <c r="AB414" i="13"/>
  <c r="AC413" i="13"/>
  <c r="AB413" i="13"/>
  <c r="AB412" i="13"/>
  <c r="AB411" i="13"/>
  <c r="D411" i="13" a="1"/>
  <c r="D411" i="13" s="1"/>
  <c r="AC411" i="13" s="1"/>
  <c r="AC410" i="13"/>
  <c r="AB410" i="13"/>
  <c r="AC409" i="13"/>
  <c r="AB409" i="13"/>
  <c r="AB408" i="13"/>
  <c r="AB407" i="13"/>
  <c r="D407" i="13" a="1"/>
  <c r="D407" i="13" s="1"/>
  <c r="AC407" i="13" s="1"/>
  <c r="AC406" i="13"/>
  <c r="AB406" i="13"/>
  <c r="AC405" i="13"/>
  <c r="AB405" i="13"/>
  <c r="AB404" i="13"/>
  <c r="AB403" i="13"/>
  <c r="D403" i="13" a="1"/>
  <c r="D403" i="13" s="1"/>
  <c r="AC403" i="13" s="1"/>
  <c r="AC402" i="13"/>
  <c r="AB402" i="13"/>
  <c r="AC401" i="13"/>
  <c r="AB401" i="13"/>
  <c r="AB400" i="13"/>
  <c r="AB399" i="13"/>
  <c r="D399" i="13" a="1"/>
  <c r="D399" i="13" s="1"/>
  <c r="AC399" i="13" s="1"/>
  <c r="AC398" i="13"/>
  <c r="AB398" i="13"/>
  <c r="AC397" i="13"/>
  <c r="AB397" i="13"/>
  <c r="AB396" i="13"/>
  <c r="AB395" i="13"/>
  <c r="D395" i="13" a="1"/>
  <c r="D395" i="13" s="1"/>
  <c r="AC395" i="13" s="1"/>
  <c r="AC394" i="13"/>
  <c r="AB394" i="13"/>
  <c r="AC393" i="13"/>
  <c r="AB393" i="13"/>
  <c r="AB392" i="13"/>
  <c r="AB391" i="13"/>
  <c r="D391" i="13" a="1"/>
  <c r="D391" i="13" s="1"/>
  <c r="AC391" i="13" s="1"/>
  <c r="AC390" i="13"/>
  <c r="AB390" i="13"/>
  <c r="AC389" i="13"/>
  <c r="AB389" i="13"/>
  <c r="AB388" i="13"/>
  <c r="AB387" i="13"/>
  <c r="D387" i="13" a="1"/>
  <c r="D387" i="13" s="1"/>
  <c r="AC387" i="13" s="1"/>
  <c r="AF386" i="13"/>
  <c r="G386" i="13"/>
  <c r="AO385" i="13"/>
  <c r="AN385" i="13"/>
  <c r="AM385" i="13"/>
  <c r="AL385" i="13"/>
  <c r="AK385" i="13"/>
  <c r="AJ385" i="13"/>
  <c r="AI385" i="13"/>
  <c r="AH385" i="13"/>
  <c r="AG385" i="13"/>
  <c r="AF385" i="13"/>
  <c r="AE385" i="13"/>
  <c r="Z385" i="13"/>
  <c r="Y385" i="13"/>
  <c r="X385" i="13"/>
  <c r="W385" i="13"/>
  <c r="V385" i="13"/>
  <c r="U385" i="13"/>
  <c r="T385" i="13"/>
  <c r="S385" i="13"/>
  <c r="R385" i="13"/>
  <c r="Q385" i="13"/>
  <c r="P385" i="13"/>
  <c r="O385" i="13"/>
  <c r="N385" i="13"/>
  <c r="M385" i="13"/>
  <c r="L385" i="13"/>
  <c r="K385" i="13"/>
  <c r="J385" i="13"/>
  <c r="I385" i="13"/>
  <c r="H385" i="13"/>
  <c r="G385" i="13"/>
  <c r="F385" i="13"/>
  <c r="AC381" i="13"/>
  <c r="AB381" i="13"/>
  <c r="AC380" i="13"/>
  <c r="AB380" i="13"/>
  <c r="AB379" i="13"/>
  <c r="AB378" i="13"/>
  <c r="D378" i="13" a="1"/>
  <c r="D378" i="13" s="1"/>
  <c r="AC378" i="13" s="1"/>
  <c r="AC377" i="13"/>
  <c r="AB377" i="13"/>
  <c r="AC376" i="13"/>
  <c r="AB376" i="13"/>
  <c r="AB375" i="13"/>
  <c r="AB374" i="13"/>
  <c r="D374" i="13" a="1"/>
  <c r="D374" i="13" s="1"/>
  <c r="AC374" i="13" s="1"/>
  <c r="AC373" i="13"/>
  <c r="AB373" i="13"/>
  <c r="AC372" i="13"/>
  <c r="AB372" i="13"/>
  <c r="AB371" i="13"/>
  <c r="AB370" i="13"/>
  <c r="D370" i="13" a="1"/>
  <c r="D370" i="13" s="1"/>
  <c r="AC370" i="13" s="1"/>
  <c r="AC369" i="13"/>
  <c r="AB369" i="13"/>
  <c r="AC368" i="13"/>
  <c r="AB368" i="13"/>
  <c r="AB367" i="13"/>
  <c r="AB366" i="13"/>
  <c r="D366" i="13" a="1"/>
  <c r="D366" i="13" s="1"/>
  <c r="AC366" i="13" s="1"/>
  <c r="AC365" i="13"/>
  <c r="AB365" i="13"/>
  <c r="AC364" i="13"/>
  <c r="AB364" i="13"/>
  <c r="AB363" i="13"/>
  <c r="AB362" i="13"/>
  <c r="D362" i="13" a="1"/>
  <c r="D362" i="13" s="1"/>
  <c r="AC362" i="13" s="1"/>
  <c r="AF361" i="13"/>
  <c r="G361" i="13"/>
  <c r="AO360" i="13"/>
  <c r="AN360" i="13"/>
  <c r="AM360" i="13"/>
  <c r="AL360" i="13"/>
  <c r="AK360" i="13"/>
  <c r="AJ360" i="13"/>
  <c r="AI360" i="13"/>
  <c r="AH360" i="13"/>
  <c r="AG360" i="13"/>
  <c r="AF360" i="13"/>
  <c r="AE360" i="13"/>
  <c r="Z360" i="13"/>
  <c r="Y360" i="13"/>
  <c r="X360" i="13"/>
  <c r="W360" i="13"/>
  <c r="V360" i="13"/>
  <c r="U360" i="13"/>
  <c r="T360" i="13"/>
  <c r="S360" i="13"/>
  <c r="R360" i="13"/>
  <c r="Q360" i="13"/>
  <c r="P360" i="13"/>
  <c r="O360" i="13"/>
  <c r="N360" i="13"/>
  <c r="M360" i="13"/>
  <c r="L360" i="13"/>
  <c r="K360" i="13"/>
  <c r="J360" i="13"/>
  <c r="I360" i="13"/>
  <c r="H360" i="13"/>
  <c r="G360" i="13"/>
  <c r="F360" i="13"/>
  <c r="AC356" i="13"/>
  <c r="AB356" i="13"/>
  <c r="AC355" i="13"/>
  <c r="AB355" i="13"/>
  <c r="AB354" i="13"/>
  <c r="AB353" i="13"/>
  <c r="D353" i="13" a="1"/>
  <c r="D353" i="13" s="1"/>
  <c r="AC353" i="13" s="1"/>
  <c r="AC352" i="13"/>
  <c r="AB352" i="13"/>
  <c r="AC351" i="13"/>
  <c r="AB351" i="13"/>
  <c r="AB350" i="13"/>
  <c r="AB349" i="13"/>
  <c r="D349" i="13" a="1"/>
  <c r="D349" i="13" s="1"/>
  <c r="AC349" i="13" s="1"/>
  <c r="AC348" i="13"/>
  <c r="AB348" i="13"/>
  <c r="AC347" i="13"/>
  <c r="AB347" i="13"/>
  <c r="AB346" i="13"/>
  <c r="AB345" i="13"/>
  <c r="D345" i="13" a="1"/>
  <c r="D345" i="13" s="1"/>
  <c r="AC345" i="13" s="1"/>
  <c r="AC344" i="13"/>
  <c r="AB344" i="13"/>
  <c r="AC343" i="13"/>
  <c r="AB343" i="13"/>
  <c r="AB342" i="13"/>
  <c r="AB341" i="13"/>
  <c r="D341" i="13" a="1"/>
  <c r="D341" i="13" s="1"/>
  <c r="AC341" i="13" s="1"/>
  <c r="AC340" i="13"/>
  <c r="AB340" i="13"/>
  <c r="AC339" i="13"/>
  <c r="AB339" i="13"/>
  <c r="AB338" i="13"/>
  <c r="AB337" i="13"/>
  <c r="D337" i="13" a="1"/>
  <c r="D337" i="13" s="1"/>
  <c r="AC337" i="13" s="1"/>
  <c r="AF336" i="13"/>
  <c r="G336" i="13"/>
  <c r="AO335" i="13"/>
  <c r="AN335" i="13"/>
  <c r="AM335" i="13"/>
  <c r="AL335" i="13"/>
  <c r="AK335" i="13"/>
  <c r="AJ335" i="13"/>
  <c r="AI335" i="13"/>
  <c r="AH335" i="13"/>
  <c r="AG335" i="13"/>
  <c r="AF335" i="13"/>
  <c r="AE335" i="13"/>
  <c r="Z335" i="13"/>
  <c r="Y335" i="13"/>
  <c r="X335" i="13"/>
  <c r="W335" i="13"/>
  <c r="V335" i="13"/>
  <c r="U335" i="13"/>
  <c r="T335" i="13"/>
  <c r="S335" i="13"/>
  <c r="R335" i="13"/>
  <c r="Q335" i="13"/>
  <c r="P335" i="13"/>
  <c r="O335" i="13"/>
  <c r="N335" i="13"/>
  <c r="M335" i="13"/>
  <c r="L335" i="13"/>
  <c r="K335" i="13"/>
  <c r="J335" i="13"/>
  <c r="I335" i="13"/>
  <c r="H335" i="13"/>
  <c r="G335" i="13"/>
  <c r="F335" i="13"/>
  <c r="AC331" i="13"/>
  <c r="AB331" i="13"/>
  <c r="AC330" i="13"/>
  <c r="AB330" i="13"/>
  <c r="AB329" i="13"/>
  <c r="AB328" i="13"/>
  <c r="D328" i="13" a="1"/>
  <c r="D328" i="13" s="1"/>
  <c r="AC328" i="13" s="1"/>
  <c r="AC327" i="13"/>
  <c r="AB327" i="13"/>
  <c r="AC326" i="13"/>
  <c r="AB326" i="13"/>
  <c r="AB325" i="13"/>
  <c r="AB324" i="13"/>
  <c r="D324" i="13" a="1"/>
  <c r="D324" i="13" s="1"/>
  <c r="AC324" i="13" s="1"/>
  <c r="AC323" i="13"/>
  <c r="AB323" i="13"/>
  <c r="AC322" i="13"/>
  <c r="AB322" i="13"/>
  <c r="AB321" i="13"/>
  <c r="AB320" i="13"/>
  <c r="D320" i="13" a="1"/>
  <c r="D320" i="13" s="1"/>
  <c r="AC320" i="13" s="1"/>
  <c r="AC319" i="13"/>
  <c r="AB319" i="13"/>
  <c r="AC318" i="13"/>
  <c r="AB318" i="13"/>
  <c r="AB317" i="13"/>
  <c r="AB316" i="13"/>
  <c r="D316" i="13" a="1"/>
  <c r="D316" i="13" s="1"/>
  <c r="AC316" i="13" s="1"/>
  <c r="AC315" i="13"/>
  <c r="AB315" i="13"/>
  <c r="AC314" i="13"/>
  <c r="AB314" i="13"/>
  <c r="AB313" i="13"/>
  <c r="AB312" i="13"/>
  <c r="D312" i="13" a="1"/>
  <c r="D312" i="13" s="1"/>
  <c r="AC312" i="13" s="1"/>
  <c r="AC311" i="13"/>
  <c r="AB311" i="13"/>
  <c r="AC310" i="13"/>
  <c r="AB310" i="13"/>
  <c r="AB309" i="13"/>
  <c r="AB308" i="13"/>
  <c r="D308" i="13" a="1"/>
  <c r="D308" i="13" s="1"/>
  <c r="AC308" i="13" s="1"/>
  <c r="AF307" i="13"/>
  <c r="G307" i="13"/>
  <c r="AO306" i="13"/>
  <c r="AN306" i="13"/>
  <c r="AM306" i="13"/>
  <c r="AL306" i="13"/>
  <c r="AK306" i="13"/>
  <c r="AJ306" i="13"/>
  <c r="AI306" i="13"/>
  <c r="AH306" i="13"/>
  <c r="AG306" i="13"/>
  <c r="AF306" i="13"/>
  <c r="AE306" i="13"/>
  <c r="Z306" i="13"/>
  <c r="Y306" i="13"/>
  <c r="X306" i="13"/>
  <c r="W306" i="13"/>
  <c r="V306" i="13"/>
  <c r="U306" i="13"/>
  <c r="T306" i="13"/>
  <c r="S306" i="13"/>
  <c r="R306" i="13"/>
  <c r="Q306" i="13"/>
  <c r="P306" i="13"/>
  <c r="O306" i="13"/>
  <c r="N306" i="13"/>
  <c r="M306" i="13"/>
  <c r="L306" i="13"/>
  <c r="K306" i="13"/>
  <c r="J306" i="13"/>
  <c r="I306" i="13"/>
  <c r="H306" i="13"/>
  <c r="G306" i="13"/>
  <c r="F306" i="13"/>
  <c r="AC302" i="13"/>
  <c r="AB302" i="13"/>
  <c r="AC301" i="13"/>
  <c r="AB301" i="13"/>
  <c r="AB300" i="13"/>
  <c r="AB299" i="13"/>
  <c r="D299" i="13" a="1"/>
  <c r="D299" i="13" s="1"/>
  <c r="AC299" i="13" s="1"/>
  <c r="AC298" i="13"/>
  <c r="AB298" i="13"/>
  <c r="AC297" i="13"/>
  <c r="AB297" i="13"/>
  <c r="AB296" i="13"/>
  <c r="AB295" i="13"/>
  <c r="D295" i="13" a="1"/>
  <c r="D295" i="13" s="1"/>
  <c r="AC295" i="13" s="1"/>
  <c r="AC294" i="13"/>
  <c r="AB294" i="13"/>
  <c r="AC293" i="13"/>
  <c r="AB293" i="13"/>
  <c r="AB292" i="13"/>
  <c r="AB291" i="13"/>
  <c r="D291" i="13" a="1"/>
  <c r="D291" i="13" s="1"/>
  <c r="AC291" i="13" s="1"/>
  <c r="AC290" i="13"/>
  <c r="AB290" i="13"/>
  <c r="AC289" i="13"/>
  <c r="AB289" i="13"/>
  <c r="AB288" i="13"/>
  <c r="AB287" i="13"/>
  <c r="D287" i="13" a="1"/>
  <c r="D287" i="13" s="1"/>
  <c r="AC287" i="13" s="1"/>
  <c r="AC286" i="13"/>
  <c r="AB286" i="13"/>
  <c r="AC285" i="13"/>
  <c r="AB285" i="13"/>
  <c r="AB284" i="13"/>
  <c r="AB283" i="13"/>
  <c r="D283" i="13" a="1"/>
  <c r="D283" i="13" s="1"/>
  <c r="AC283" i="13" s="1"/>
  <c r="AC282" i="13"/>
  <c r="AB282" i="13"/>
  <c r="AC281" i="13"/>
  <c r="AB281" i="13"/>
  <c r="AB280" i="13"/>
  <c r="AB279" i="13"/>
  <c r="D279" i="13" a="1"/>
  <c r="D279" i="13" s="1"/>
  <c r="AC279" i="13" s="1"/>
  <c r="AF278" i="13"/>
  <c r="G278" i="13"/>
  <c r="AO277" i="13"/>
  <c r="AN277" i="13"/>
  <c r="AM277" i="13"/>
  <c r="AL277" i="13"/>
  <c r="AK277" i="13"/>
  <c r="AJ277" i="13"/>
  <c r="AI277" i="13"/>
  <c r="AH277" i="13"/>
  <c r="AG277" i="13"/>
  <c r="AF277" i="13"/>
  <c r="AE277" i="13"/>
  <c r="Z277" i="13"/>
  <c r="Y277" i="13"/>
  <c r="X277" i="13"/>
  <c r="W277" i="13"/>
  <c r="V277" i="13"/>
  <c r="U277" i="13"/>
  <c r="T277" i="13"/>
  <c r="S277" i="13"/>
  <c r="R277" i="13"/>
  <c r="Q277" i="13"/>
  <c r="P277" i="13"/>
  <c r="O277" i="13"/>
  <c r="N277" i="13"/>
  <c r="M277" i="13"/>
  <c r="L277" i="13"/>
  <c r="K277" i="13"/>
  <c r="J277" i="13"/>
  <c r="I277" i="13"/>
  <c r="H277" i="13"/>
  <c r="G277" i="13"/>
  <c r="F277" i="13"/>
  <c r="AC273" i="13"/>
  <c r="AB273" i="13"/>
  <c r="AC272" i="13"/>
  <c r="AB272" i="13"/>
  <c r="AB271" i="13"/>
  <c r="AB270" i="13"/>
  <c r="D270" i="13" a="1"/>
  <c r="D270" i="13" s="1"/>
  <c r="AC270" i="13" s="1"/>
  <c r="AC269" i="13"/>
  <c r="AB269" i="13"/>
  <c r="AC268" i="13"/>
  <c r="AB268" i="13"/>
  <c r="AB267" i="13"/>
  <c r="AB266" i="13"/>
  <c r="D266" i="13" a="1"/>
  <c r="D266" i="13" s="1"/>
  <c r="AC266" i="13" s="1"/>
  <c r="AC265" i="13"/>
  <c r="AB265" i="13"/>
  <c r="AC264" i="13"/>
  <c r="AB264" i="13"/>
  <c r="AB263" i="13"/>
  <c r="AB262" i="13"/>
  <c r="D262" i="13" a="1"/>
  <c r="D262" i="13" s="1"/>
  <c r="AC262" i="13" s="1"/>
  <c r="AC261" i="13"/>
  <c r="AB261" i="13"/>
  <c r="AC260" i="13"/>
  <c r="AB260" i="13"/>
  <c r="AB259" i="13"/>
  <c r="AB258" i="13"/>
  <c r="D258" i="13" a="1"/>
  <c r="D258" i="13" s="1"/>
  <c r="AC258" i="13" s="1"/>
  <c r="AC257" i="13"/>
  <c r="AB257" i="13"/>
  <c r="AC256" i="13"/>
  <c r="AB256" i="13"/>
  <c r="AB255" i="13"/>
  <c r="AB254" i="13"/>
  <c r="D254" i="13" a="1"/>
  <c r="D254" i="13" s="1"/>
  <c r="AC254" i="13" s="1"/>
  <c r="AC253" i="13"/>
  <c r="AB253" i="13"/>
  <c r="AC252" i="13"/>
  <c r="AB252" i="13"/>
  <c r="AB251" i="13"/>
  <c r="AB250" i="13"/>
  <c r="D250" i="13" a="1"/>
  <c r="D250" i="13" s="1"/>
  <c r="AC250" i="13" s="1"/>
  <c r="AF249" i="13"/>
  <c r="G249" i="13"/>
  <c r="AO248" i="13"/>
  <c r="AN248" i="13"/>
  <c r="AM248" i="13"/>
  <c r="AL248" i="13"/>
  <c r="AK248" i="13"/>
  <c r="AJ248" i="13"/>
  <c r="AI248" i="13"/>
  <c r="AH248" i="13"/>
  <c r="AG248" i="13"/>
  <c r="AF248" i="13"/>
  <c r="AE248" i="13"/>
  <c r="Z248" i="13"/>
  <c r="Y248" i="13"/>
  <c r="X248" i="13"/>
  <c r="W248" i="13"/>
  <c r="V248" i="13"/>
  <c r="U248" i="13"/>
  <c r="T248" i="13"/>
  <c r="S248" i="13"/>
  <c r="R248" i="13"/>
  <c r="Q248" i="13"/>
  <c r="P248" i="13"/>
  <c r="O248" i="13"/>
  <c r="N248" i="13"/>
  <c r="M248" i="13"/>
  <c r="L248" i="13"/>
  <c r="K248" i="13"/>
  <c r="J248" i="13"/>
  <c r="I248" i="13"/>
  <c r="H248" i="13"/>
  <c r="G248" i="13"/>
  <c r="F248" i="13"/>
  <c r="AC244" i="13"/>
  <c r="AB244" i="13"/>
  <c r="AC243" i="13"/>
  <c r="AB243" i="13"/>
  <c r="AB242" i="13"/>
  <c r="AB241" i="13"/>
  <c r="D241" i="13" a="1"/>
  <c r="D241" i="13" s="1"/>
  <c r="AC241" i="13" s="1"/>
  <c r="AC240" i="13"/>
  <c r="AB240" i="13"/>
  <c r="AC239" i="13"/>
  <c r="AB239" i="13"/>
  <c r="AB238" i="13"/>
  <c r="AB237" i="13"/>
  <c r="D237" i="13" a="1"/>
  <c r="D237" i="13" s="1"/>
  <c r="AC237" i="13" s="1"/>
  <c r="AC236" i="13"/>
  <c r="AB236" i="13"/>
  <c r="AC235" i="13"/>
  <c r="AB235" i="13"/>
  <c r="AB234" i="13"/>
  <c r="AB233" i="13"/>
  <c r="D233" i="13" a="1"/>
  <c r="D233" i="13" s="1"/>
  <c r="AC233" i="13" s="1"/>
  <c r="AC232" i="13"/>
  <c r="AB232" i="13"/>
  <c r="AC231" i="13"/>
  <c r="AB231" i="13"/>
  <c r="AB230" i="13"/>
  <c r="AB229" i="13"/>
  <c r="D229" i="13" a="1"/>
  <c r="D229" i="13" s="1"/>
  <c r="AC229" i="13" s="1"/>
  <c r="AC228" i="13"/>
  <c r="AB228" i="13"/>
  <c r="AC227" i="13"/>
  <c r="AB227" i="13"/>
  <c r="AB226" i="13"/>
  <c r="AB225" i="13"/>
  <c r="D225" i="13" a="1"/>
  <c r="D225" i="13" s="1"/>
  <c r="AC225" i="13" s="1"/>
  <c r="AC224" i="13"/>
  <c r="AB224" i="13"/>
  <c r="AC223" i="13"/>
  <c r="AB223" i="13"/>
  <c r="AB222" i="13"/>
  <c r="AB221" i="13"/>
  <c r="D221" i="13" a="1"/>
  <c r="D221" i="13" s="1"/>
  <c r="AC221" i="13" s="1"/>
  <c r="AF220" i="13"/>
  <c r="G220" i="13"/>
  <c r="AO219" i="13"/>
  <c r="AO221" i="13" s="1" a="1"/>
  <c r="AO221" i="13" s="1"/>
  <c r="AN219" i="13"/>
  <c r="AN237" i="13" s="1" a="1"/>
  <c r="AN237" i="13" s="1"/>
  <c r="AM219" i="13"/>
  <c r="AM229" i="13" s="1" a="1"/>
  <c r="AM229" i="13" s="1"/>
  <c r="AL219" i="13"/>
  <c r="AL254" i="13" s="1" a="1"/>
  <c r="AL254" i="13" s="1"/>
  <c r="AK219" i="13"/>
  <c r="AK221" i="13" s="1" a="1"/>
  <c r="AK221" i="13" s="1"/>
  <c r="AJ219" i="13"/>
  <c r="AJ254" i="13" s="1" a="1"/>
  <c r="AJ254" i="13" s="1"/>
  <c r="AI219" i="13"/>
  <c r="AI225" i="13" s="1" a="1"/>
  <c r="AI225" i="13" s="1"/>
  <c r="AH219" i="13"/>
  <c r="AG219" i="13"/>
  <c r="AF219" i="13"/>
  <c r="AF266" i="13" s="1" a="1"/>
  <c r="AF266" i="13" s="1"/>
  <c r="AE219" i="13"/>
  <c r="Z219" i="13"/>
  <c r="Z254" i="13" s="1" a="1"/>
  <c r="Z254" i="13" s="1"/>
  <c r="Y219" i="13"/>
  <c r="Y229" i="13" s="1" a="1"/>
  <c r="Y229" i="13" s="1"/>
  <c r="X219" i="13"/>
  <c r="X221" i="13" s="1" a="1"/>
  <c r="X221" i="13" s="1"/>
  <c r="W219" i="13"/>
  <c r="W225" i="13" s="1" a="1"/>
  <c r="W225" i="13" s="1"/>
  <c r="V219" i="13"/>
  <c r="V241" i="13" s="1" a="1"/>
  <c r="V241" i="13" s="1"/>
  <c r="U219" i="13"/>
  <c r="U221" i="13" s="1" a="1"/>
  <c r="U221" i="13" s="1"/>
  <c r="T219" i="13"/>
  <c r="T229" i="13" s="1" a="1"/>
  <c r="T229" i="13" s="1"/>
  <c r="S219" i="13"/>
  <c r="S229" i="13" s="1" a="1"/>
  <c r="S229" i="13" s="1"/>
  <c r="R219" i="13"/>
  <c r="R229" i="13" s="1" a="1"/>
  <c r="R229" i="13" s="1"/>
  <c r="Q219" i="13"/>
  <c r="P219" i="13"/>
  <c r="P229" i="13" s="1" a="1"/>
  <c r="P229" i="13" s="1"/>
  <c r="O219" i="13"/>
  <c r="O225" i="13" s="1" a="1"/>
  <c r="O225" i="13" s="1"/>
  <c r="N219" i="13"/>
  <c r="N225" i="13" s="1" a="1"/>
  <c r="N225" i="13" s="1"/>
  <c r="M219" i="13"/>
  <c r="L219" i="13"/>
  <c r="L225" i="13" s="1" a="1"/>
  <c r="L225" i="13" s="1"/>
  <c r="K219" i="13"/>
  <c r="J219" i="13"/>
  <c r="J221" i="13" s="1" a="1"/>
  <c r="J221" i="13" s="1"/>
  <c r="I219" i="13"/>
  <c r="H219" i="13"/>
  <c r="H221" i="13" s="1" a="1"/>
  <c r="H221" i="13" s="1"/>
  <c r="G219" i="13"/>
  <c r="G229" i="13" s="1" a="1"/>
  <c r="G229" i="13" s="1"/>
  <c r="F219" i="13"/>
  <c r="F109" i="13"/>
  <c r="AE109" i="13" s="1"/>
  <c r="B109" i="13"/>
  <c r="B108" i="13"/>
  <c r="F107" i="13"/>
  <c r="AE107" i="13" s="1"/>
  <c r="B107" i="13"/>
  <c r="B106" i="13"/>
  <c r="P103" i="13"/>
  <c r="O103" i="13"/>
  <c r="N103" i="13"/>
  <c r="M103" i="13"/>
  <c r="K103" i="13"/>
  <c r="J103" i="13"/>
  <c r="I103" i="13"/>
  <c r="G103" i="13"/>
  <c r="B103" i="13"/>
  <c r="Q102" i="13"/>
  <c r="O102" i="13"/>
  <c r="M102" i="13"/>
  <c r="K102" i="13"/>
  <c r="I102" i="13"/>
  <c r="G102" i="13"/>
  <c r="B102" i="13"/>
  <c r="Q101" i="13"/>
  <c r="O101" i="13"/>
  <c r="M101" i="13"/>
  <c r="K101" i="13"/>
  <c r="I101" i="13"/>
  <c r="G101" i="13"/>
  <c r="B101" i="13"/>
  <c r="Z100" i="13"/>
  <c r="Y100" i="13"/>
  <c r="AO100" i="13" s="1"/>
  <c r="X100" i="13"/>
  <c r="W100" i="13"/>
  <c r="AN100" i="13" s="1"/>
  <c r="V100" i="13"/>
  <c r="U100" i="13"/>
  <c r="AM100" i="13" s="1"/>
  <c r="T100" i="13"/>
  <c r="S100" i="13"/>
  <c r="AL100" i="13" s="1"/>
  <c r="R100" i="13"/>
  <c r="Q100" i="13"/>
  <c r="AK100" i="13" s="1"/>
  <c r="P100" i="13"/>
  <c r="O100" i="13"/>
  <c r="AJ100" i="13" s="1"/>
  <c r="N100" i="13"/>
  <c r="M100" i="13"/>
  <c r="AI100" i="13" s="1"/>
  <c r="L100" i="13"/>
  <c r="K100" i="13"/>
  <c r="AH100" i="13" s="1"/>
  <c r="J100" i="13"/>
  <c r="I100" i="13"/>
  <c r="AG100" i="13" s="1"/>
  <c r="H100" i="13"/>
  <c r="G100" i="13"/>
  <c r="AF100" i="13" s="1"/>
  <c r="B100" i="13"/>
  <c r="Z99" i="13"/>
  <c r="Y99" i="13"/>
  <c r="AO99" i="13" s="1"/>
  <c r="X99" i="13"/>
  <c r="W99" i="13"/>
  <c r="AN99" i="13" s="1"/>
  <c r="V99" i="13"/>
  <c r="U99" i="13"/>
  <c r="AM99" i="13" s="1"/>
  <c r="T99" i="13"/>
  <c r="S99" i="13"/>
  <c r="AL99" i="13" s="1"/>
  <c r="R99" i="13"/>
  <c r="Q99" i="13"/>
  <c r="AK99" i="13" s="1"/>
  <c r="P99" i="13"/>
  <c r="O99" i="13"/>
  <c r="AJ99" i="13" s="1"/>
  <c r="N99" i="13"/>
  <c r="M99" i="13"/>
  <c r="AI99" i="13" s="1"/>
  <c r="L99" i="13"/>
  <c r="K99" i="13"/>
  <c r="AH99" i="13" s="1"/>
  <c r="J99" i="13"/>
  <c r="I99" i="13"/>
  <c r="AG99" i="13" s="1"/>
  <c r="H99" i="13"/>
  <c r="G99" i="13"/>
  <c r="AF99" i="13" s="1"/>
  <c r="B99" i="13"/>
  <c r="Z98" i="13"/>
  <c r="Y98" i="13"/>
  <c r="AO98" i="13" s="1"/>
  <c r="X98" i="13"/>
  <c r="W98" i="13"/>
  <c r="AN98" i="13" s="1"/>
  <c r="V98" i="13"/>
  <c r="U98" i="13"/>
  <c r="AM98" i="13" s="1"/>
  <c r="T98" i="13"/>
  <c r="S98" i="13"/>
  <c r="AL98" i="13" s="1"/>
  <c r="R98" i="13"/>
  <c r="Q98" i="13"/>
  <c r="AK98" i="13" s="1"/>
  <c r="P98" i="13"/>
  <c r="O98" i="13"/>
  <c r="AJ98" i="13" s="1"/>
  <c r="N98" i="13"/>
  <c r="M98" i="13"/>
  <c r="AI98" i="13" s="1"/>
  <c r="L98" i="13"/>
  <c r="K98" i="13"/>
  <c r="AH98" i="13" s="1"/>
  <c r="J98" i="13"/>
  <c r="I98" i="13"/>
  <c r="AG98" i="13" s="1"/>
  <c r="H98" i="13"/>
  <c r="G98" i="13"/>
  <c r="AF98" i="13" s="1"/>
  <c r="B98" i="13"/>
  <c r="Z97" i="13"/>
  <c r="Y97" i="13"/>
  <c r="AO97" i="13" s="1"/>
  <c r="X97" i="13"/>
  <c r="W97" i="13"/>
  <c r="AN97" i="13" s="1"/>
  <c r="V97" i="13"/>
  <c r="U97" i="13"/>
  <c r="AM97" i="13" s="1"/>
  <c r="T97" i="13"/>
  <c r="S97" i="13"/>
  <c r="AL97" i="13" s="1"/>
  <c r="R97" i="13"/>
  <c r="Q97" i="13"/>
  <c r="AK97" i="13" s="1"/>
  <c r="P97" i="13"/>
  <c r="O97" i="13"/>
  <c r="AJ97" i="13" s="1"/>
  <c r="N97" i="13"/>
  <c r="M97" i="13"/>
  <c r="AI97" i="13" s="1"/>
  <c r="L97" i="13"/>
  <c r="K97" i="13"/>
  <c r="AH97" i="13" s="1"/>
  <c r="J97" i="13"/>
  <c r="I97" i="13"/>
  <c r="AG97" i="13" s="1"/>
  <c r="H97" i="13"/>
  <c r="G97" i="13"/>
  <c r="AF97" i="13" s="1"/>
  <c r="B97" i="13"/>
  <c r="Z96" i="13"/>
  <c r="Y96" i="13"/>
  <c r="AO96" i="13" s="1"/>
  <c r="X96" i="13"/>
  <c r="W96" i="13"/>
  <c r="AN96" i="13" s="1"/>
  <c r="V96" i="13"/>
  <c r="U96" i="13"/>
  <c r="AM96" i="13" s="1"/>
  <c r="T96" i="13"/>
  <c r="S96" i="13"/>
  <c r="AL96" i="13" s="1"/>
  <c r="R96" i="13"/>
  <c r="Q96" i="13"/>
  <c r="AK96" i="13" s="1"/>
  <c r="P96" i="13"/>
  <c r="O96" i="13"/>
  <c r="AJ96" i="13" s="1"/>
  <c r="N96" i="13"/>
  <c r="M96" i="13"/>
  <c r="AI96" i="13" s="1"/>
  <c r="L96" i="13"/>
  <c r="K96" i="13"/>
  <c r="AH96" i="13" s="1"/>
  <c r="J96" i="13"/>
  <c r="I96" i="13"/>
  <c r="AG96" i="13" s="1"/>
  <c r="H96" i="13"/>
  <c r="G96" i="13"/>
  <c r="AF96" i="13" s="1"/>
  <c r="B96" i="13"/>
  <c r="Z95" i="13"/>
  <c r="Y95" i="13"/>
  <c r="AO95" i="13" s="1"/>
  <c r="X95" i="13"/>
  <c r="W95" i="13"/>
  <c r="AN95" i="13" s="1"/>
  <c r="V95" i="13"/>
  <c r="U95" i="13"/>
  <c r="AM95" i="13" s="1"/>
  <c r="T95" i="13"/>
  <c r="S95" i="13"/>
  <c r="AL95" i="13" s="1"/>
  <c r="R95" i="13"/>
  <c r="Q95" i="13"/>
  <c r="AK95" i="13" s="1"/>
  <c r="P95" i="13"/>
  <c r="O95" i="13"/>
  <c r="AJ95" i="13" s="1"/>
  <c r="N95" i="13"/>
  <c r="M95" i="13"/>
  <c r="AI95" i="13" s="1"/>
  <c r="L95" i="13"/>
  <c r="K95" i="13"/>
  <c r="AH95" i="13" s="1"/>
  <c r="J95" i="13"/>
  <c r="I95" i="13"/>
  <c r="AG95" i="13" s="1"/>
  <c r="H95" i="13"/>
  <c r="G95" i="13"/>
  <c r="AF95" i="13" s="1"/>
  <c r="B95" i="13"/>
  <c r="Z94" i="13"/>
  <c r="Y94" i="13"/>
  <c r="AO94" i="13" s="1"/>
  <c r="X94" i="13"/>
  <c r="W94" i="13"/>
  <c r="AN94" i="13" s="1"/>
  <c r="V94" i="13"/>
  <c r="U94" i="13"/>
  <c r="AM94" i="13" s="1"/>
  <c r="T94" i="13"/>
  <c r="S94" i="13"/>
  <c r="AL94" i="13" s="1"/>
  <c r="R94" i="13"/>
  <c r="Q94" i="13"/>
  <c r="AK94" i="13" s="1"/>
  <c r="P94" i="13"/>
  <c r="O94" i="13"/>
  <c r="AJ94" i="13" s="1"/>
  <c r="N94" i="13"/>
  <c r="M94" i="13"/>
  <c r="AI94" i="13" s="1"/>
  <c r="L94" i="13"/>
  <c r="K94" i="13"/>
  <c r="AH94" i="13" s="1"/>
  <c r="J94" i="13"/>
  <c r="I94" i="13"/>
  <c r="AG94" i="13" s="1"/>
  <c r="H94" i="13"/>
  <c r="G94" i="13"/>
  <c r="AF94" i="13" s="1"/>
  <c r="B94" i="13"/>
  <c r="Q93" i="13"/>
  <c r="O93" i="13"/>
  <c r="M93" i="13"/>
  <c r="K93" i="13"/>
  <c r="I93" i="13"/>
  <c r="G93" i="13"/>
  <c r="B93" i="13"/>
  <c r="P89" i="13"/>
  <c r="O89" i="13"/>
  <c r="N89" i="13"/>
  <c r="M89" i="13"/>
  <c r="K89" i="13"/>
  <c r="J89" i="13"/>
  <c r="I89" i="13"/>
  <c r="G89" i="13"/>
  <c r="B89" i="13"/>
  <c r="Q88" i="13"/>
  <c r="O88" i="13"/>
  <c r="M88" i="13"/>
  <c r="K88" i="13"/>
  <c r="I88" i="13"/>
  <c r="G88" i="13"/>
  <c r="B88" i="13"/>
  <c r="Q87" i="13"/>
  <c r="O87" i="13"/>
  <c r="M87" i="13"/>
  <c r="K87" i="13"/>
  <c r="I87" i="13"/>
  <c r="G87" i="13"/>
  <c r="B87" i="13"/>
  <c r="B86" i="13"/>
  <c r="B85" i="13"/>
  <c r="Q84" i="13"/>
  <c r="O84" i="13"/>
  <c r="M84" i="13"/>
  <c r="K84" i="13"/>
  <c r="I84" i="13"/>
  <c r="G84" i="13"/>
  <c r="B84" i="13"/>
  <c r="B83" i="13"/>
  <c r="J82" i="13"/>
  <c r="I82" i="13"/>
  <c r="H82" i="13"/>
  <c r="G82" i="13"/>
  <c r="B82" i="13"/>
  <c r="Z81" i="13"/>
  <c r="Y81" i="13"/>
  <c r="AO81" i="13" s="1"/>
  <c r="X81" i="13"/>
  <c r="W81" i="13"/>
  <c r="AN81" i="13" s="1"/>
  <c r="V81" i="13"/>
  <c r="U81" i="13"/>
  <c r="AM81" i="13" s="1"/>
  <c r="T81" i="13"/>
  <c r="S81" i="13"/>
  <c r="AL81" i="13" s="1"/>
  <c r="R81" i="13"/>
  <c r="Q81" i="13"/>
  <c r="AK81" i="13" s="1"/>
  <c r="P81" i="13"/>
  <c r="O81" i="13"/>
  <c r="AJ81" i="13" s="1"/>
  <c r="N81" i="13"/>
  <c r="M81" i="13"/>
  <c r="AI81" i="13" s="1"/>
  <c r="L81" i="13"/>
  <c r="K81" i="13"/>
  <c r="AH81" i="13" s="1"/>
  <c r="J81" i="13"/>
  <c r="I81" i="13"/>
  <c r="AG81" i="13" s="1"/>
  <c r="H81" i="13"/>
  <c r="G81" i="13"/>
  <c r="AF81" i="13" s="1"/>
  <c r="B81" i="13"/>
  <c r="B80" i="13"/>
  <c r="Z79" i="13"/>
  <c r="Y79" i="13"/>
  <c r="AO79" i="13" s="1"/>
  <c r="X79" i="13"/>
  <c r="W79" i="13"/>
  <c r="AN79" i="13" s="1"/>
  <c r="V79" i="13"/>
  <c r="U79" i="13"/>
  <c r="AM79" i="13" s="1"/>
  <c r="T79" i="13"/>
  <c r="S79" i="13"/>
  <c r="AL79" i="13" s="1"/>
  <c r="R79" i="13"/>
  <c r="Q79" i="13"/>
  <c r="AK79" i="13" s="1"/>
  <c r="P79" i="13"/>
  <c r="O79" i="13"/>
  <c r="AJ79" i="13" s="1"/>
  <c r="N79" i="13"/>
  <c r="M79" i="13"/>
  <c r="AI79" i="13" s="1"/>
  <c r="L79" i="13"/>
  <c r="K79" i="13"/>
  <c r="AH79" i="13" s="1"/>
  <c r="J79" i="13"/>
  <c r="I79" i="13"/>
  <c r="AG79" i="13" s="1"/>
  <c r="H79" i="13"/>
  <c r="G79" i="13"/>
  <c r="AF79" i="13" s="1"/>
  <c r="B79" i="13"/>
  <c r="Z76" i="13"/>
  <c r="Y76" i="13"/>
  <c r="AO76" i="13" s="1"/>
  <c r="X76" i="13"/>
  <c r="W76" i="13"/>
  <c r="AN76" i="13" s="1"/>
  <c r="V76" i="13"/>
  <c r="U76" i="13"/>
  <c r="AM76" i="13" s="1"/>
  <c r="T76" i="13"/>
  <c r="S76" i="13"/>
  <c r="AL76" i="13" s="1"/>
  <c r="R76" i="13"/>
  <c r="Q76" i="13"/>
  <c r="AK76" i="13" s="1"/>
  <c r="P76" i="13"/>
  <c r="O76" i="13"/>
  <c r="AJ76" i="13" s="1"/>
  <c r="N76" i="13"/>
  <c r="M76" i="13"/>
  <c r="AI76" i="13" s="1"/>
  <c r="L76" i="13"/>
  <c r="K76" i="13"/>
  <c r="AH76" i="13" s="1"/>
  <c r="J76" i="13"/>
  <c r="I76" i="13"/>
  <c r="AG76" i="13" s="1"/>
  <c r="H76" i="13"/>
  <c r="G76" i="13"/>
  <c r="AF76" i="13" s="1"/>
  <c r="B76" i="13"/>
  <c r="Z75" i="13"/>
  <c r="Y75" i="13"/>
  <c r="AO75" i="13" s="1"/>
  <c r="X75" i="13"/>
  <c r="W75" i="13"/>
  <c r="AN75" i="13" s="1"/>
  <c r="V75" i="13"/>
  <c r="U75" i="13"/>
  <c r="AM75" i="13" s="1"/>
  <c r="T75" i="13"/>
  <c r="S75" i="13"/>
  <c r="AL75" i="13" s="1"/>
  <c r="R75" i="13"/>
  <c r="Q75" i="13"/>
  <c r="AK75" i="13" s="1"/>
  <c r="P75" i="13"/>
  <c r="O75" i="13"/>
  <c r="AJ75" i="13" s="1"/>
  <c r="N75" i="13"/>
  <c r="M75" i="13"/>
  <c r="AI75" i="13" s="1"/>
  <c r="L75" i="13"/>
  <c r="K75" i="13"/>
  <c r="AH75" i="13" s="1"/>
  <c r="J75" i="13"/>
  <c r="I75" i="13"/>
  <c r="AG75" i="13" s="1"/>
  <c r="H75" i="13"/>
  <c r="G75" i="13"/>
  <c r="AF75" i="13" s="1"/>
  <c r="B75" i="13"/>
  <c r="Z74" i="13"/>
  <c r="Y74" i="13"/>
  <c r="AO74" i="13" s="1"/>
  <c r="X74" i="13"/>
  <c r="W74" i="13"/>
  <c r="AN74" i="13" s="1"/>
  <c r="V74" i="13"/>
  <c r="U74" i="13"/>
  <c r="AM74" i="13" s="1"/>
  <c r="T74" i="13"/>
  <c r="S74" i="13"/>
  <c r="AL74" i="13" s="1"/>
  <c r="R74" i="13"/>
  <c r="Q74" i="13"/>
  <c r="AK74" i="13" s="1"/>
  <c r="P74" i="13"/>
  <c r="O74" i="13"/>
  <c r="AJ74" i="13" s="1"/>
  <c r="N74" i="13"/>
  <c r="M74" i="13"/>
  <c r="AI74" i="13" s="1"/>
  <c r="L74" i="13"/>
  <c r="K74" i="13"/>
  <c r="AH74" i="13" s="1"/>
  <c r="J74" i="13"/>
  <c r="I74" i="13"/>
  <c r="AG74" i="13" s="1"/>
  <c r="H74" i="13"/>
  <c r="G74" i="13"/>
  <c r="AF74" i="13" s="1"/>
  <c r="B74" i="13"/>
  <c r="Z73" i="13"/>
  <c r="Y73" i="13"/>
  <c r="AO73" i="13" s="1"/>
  <c r="X73" i="13"/>
  <c r="W73" i="13"/>
  <c r="AN73" i="13" s="1"/>
  <c r="V73" i="13"/>
  <c r="U73" i="13"/>
  <c r="AM73" i="13" s="1"/>
  <c r="T73" i="13"/>
  <c r="S73" i="13"/>
  <c r="AL73" i="13" s="1"/>
  <c r="R73" i="13"/>
  <c r="Q73" i="13"/>
  <c r="AK73" i="13" s="1"/>
  <c r="P73" i="13"/>
  <c r="O73" i="13"/>
  <c r="AJ73" i="13" s="1"/>
  <c r="N73" i="13"/>
  <c r="M73" i="13"/>
  <c r="AI73" i="13" s="1"/>
  <c r="L73" i="13"/>
  <c r="K73" i="13"/>
  <c r="AH73" i="13" s="1"/>
  <c r="J73" i="13"/>
  <c r="I73" i="13"/>
  <c r="AG73" i="13" s="1"/>
  <c r="H73" i="13"/>
  <c r="G73" i="13"/>
  <c r="AF73" i="13" s="1"/>
  <c r="B73" i="13"/>
  <c r="Z72" i="13"/>
  <c r="Y72" i="13"/>
  <c r="AO72" i="13" s="1"/>
  <c r="X72" i="13"/>
  <c r="W72" i="13"/>
  <c r="AN72" i="13" s="1"/>
  <c r="V72" i="13"/>
  <c r="U72" i="13"/>
  <c r="AM72" i="13" s="1"/>
  <c r="T72" i="13"/>
  <c r="S72" i="13"/>
  <c r="AL72" i="13" s="1"/>
  <c r="R72" i="13"/>
  <c r="Q72" i="13"/>
  <c r="AK72" i="13" s="1"/>
  <c r="P72" i="13"/>
  <c r="O72" i="13"/>
  <c r="AJ72" i="13" s="1"/>
  <c r="N72" i="13"/>
  <c r="M72" i="13"/>
  <c r="AI72" i="13" s="1"/>
  <c r="L72" i="13"/>
  <c r="K72" i="13"/>
  <c r="AH72" i="13" s="1"/>
  <c r="J72" i="13"/>
  <c r="I72" i="13"/>
  <c r="AG72" i="13" s="1"/>
  <c r="H72" i="13"/>
  <c r="G72" i="13"/>
  <c r="AF72" i="13" s="1"/>
  <c r="B72" i="13"/>
  <c r="Z71" i="13"/>
  <c r="Y71" i="13"/>
  <c r="AO71" i="13" s="1"/>
  <c r="X71" i="13"/>
  <c r="W71" i="13"/>
  <c r="AN71" i="13" s="1"/>
  <c r="V71" i="13"/>
  <c r="U71" i="13"/>
  <c r="AM71" i="13" s="1"/>
  <c r="T71" i="13"/>
  <c r="S71" i="13"/>
  <c r="AL71" i="13" s="1"/>
  <c r="R71" i="13"/>
  <c r="Q71" i="13"/>
  <c r="AK71" i="13" s="1"/>
  <c r="P71" i="13"/>
  <c r="O71" i="13"/>
  <c r="AJ71" i="13" s="1"/>
  <c r="N71" i="13"/>
  <c r="M71" i="13"/>
  <c r="AI71" i="13" s="1"/>
  <c r="L71" i="13"/>
  <c r="K71" i="13"/>
  <c r="AH71" i="13" s="1"/>
  <c r="J71" i="13"/>
  <c r="I71" i="13"/>
  <c r="AG71" i="13" s="1"/>
  <c r="H71" i="13"/>
  <c r="G71" i="13"/>
  <c r="AF71" i="13" s="1"/>
  <c r="B71" i="13"/>
  <c r="Z70" i="13"/>
  <c r="Y70" i="13"/>
  <c r="AO70" i="13" s="1"/>
  <c r="X70" i="13"/>
  <c r="W70" i="13"/>
  <c r="AN70" i="13" s="1"/>
  <c r="V70" i="13"/>
  <c r="U70" i="13"/>
  <c r="AM70" i="13" s="1"/>
  <c r="T70" i="13"/>
  <c r="S70" i="13"/>
  <c r="AL70" i="13" s="1"/>
  <c r="R70" i="13"/>
  <c r="Q70" i="13"/>
  <c r="AK70" i="13" s="1"/>
  <c r="P70" i="13"/>
  <c r="O70" i="13"/>
  <c r="AJ70" i="13" s="1"/>
  <c r="N70" i="13"/>
  <c r="M70" i="13"/>
  <c r="AI70" i="13" s="1"/>
  <c r="L70" i="13"/>
  <c r="K70" i="13"/>
  <c r="AH70" i="13" s="1"/>
  <c r="J70" i="13"/>
  <c r="I70" i="13"/>
  <c r="AG70" i="13" s="1"/>
  <c r="H70" i="13"/>
  <c r="G70" i="13"/>
  <c r="AF70" i="13" s="1"/>
  <c r="B70" i="13"/>
  <c r="Z69" i="13"/>
  <c r="Y69" i="13"/>
  <c r="AO69" i="13" s="1"/>
  <c r="X69" i="13"/>
  <c r="W69" i="13"/>
  <c r="AN69" i="13" s="1"/>
  <c r="V69" i="13"/>
  <c r="U69" i="13"/>
  <c r="AM69" i="13" s="1"/>
  <c r="T69" i="13"/>
  <c r="S69" i="13"/>
  <c r="AL69" i="13" s="1"/>
  <c r="R69" i="13"/>
  <c r="Q69" i="13"/>
  <c r="AK69" i="13" s="1"/>
  <c r="P69" i="13"/>
  <c r="O69" i="13"/>
  <c r="AJ69" i="13" s="1"/>
  <c r="N69" i="13"/>
  <c r="M69" i="13"/>
  <c r="AI69" i="13" s="1"/>
  <c r="L69" i="13"/>
  <c r="K69" i="13"/>
  <c r="AH69" i="13" s="1"/>
  <c r="J69" i="13"/>
  <c r="I69" i="13"/>
  <c r="AG69" i="13" s="1"/>
  <c r="H69" i="13"/>
  <c r="G69" i="13"/>
  <c r="AF69" i="13" s="1"/>
  <c r="B69" i="13"/>
  <c r="Z68" i="13"/>
  <c r="Y68" i="13"/>
  <c r="AO68" i="13" s="1"/>
  <c r="X68" i="13"/>
  <c r="W68" i="13"/>
  <c r="AN68" i="13" s="1"/>
  <c r="V68" i="13"/>
  <c r="U68" i="13"/>
  <c r="AM68" i="13" s="1"/>
  <c r="T68" i="13"/>
  <c r="S68" i="13"/>
  <c r="AL68" i="13" s="1"/>
  <c r="R68" i="13"/>
  <c r="Q68" i="13"/>
  <c r="AK68" i="13" s="1"/>
  <c r="P68" i="13"/>
  <c r="O68" i="13"/>
  <c r="AJ68" i="13" s="1"/>
  <c r="N68" i="13"/>
  <c r="M68" i="13"/>
  <c r="AI68" i="13" s="1"/>
  <c r="L68" i="13"/>
  <c r="K68" i="13"/>
  <c r="AH68" i="13" s="1"/>
  <c r="J68" i="13"/>
  <c r="I68" i="13"/>
  <c r="AG68" i="13" s="1"/>
  <c r="H68" i="13"/>
  <c r="G68" i="13"/>
  <c r="AF68" i="13" s="1"/>
  <c r="B68" i="13"/>
  <c r="Z67" i="13"/>
  <c r="Y67" i="13"/>
  <c r="AO67" i="13" s="1"/>
  <c r="X67" i="13"/>
  <c r="W67" i="13"/>
  <c r="AN67" i="13" s="1"/>
  <c r="V67" i="13"/>
  <c r="U67" i="13"/>
  <c r="AM67" i="13" s="1"/>
  <c r="T67" i="13"/>
  <c r="S67" i="13"/>
  <c r="AL67" i="13" s="1"/>
  <c r="R67" i="13"/>
  <c r="Q67" i="13"/>
  <c r="AK67" i="13" s="1"/>
  <c r="P67" i="13"/>
  <c r="O67" i="13"/>
  <c r="AJ67" i="13" s="1"/>
  <c r="N67" i="13"/>
  <c r="M67" i="13"/>
  <c r="AI67" i="13" s="1"/>
  <c r="L67" i="13"/>
  <c r="K67" i="13"/>
  <c r="AH67" i="13" s="1"/>
  <c r="J67" i="13"/>
  <c r="I67" i="13"/>
  <c r="AG67" i="13" s="1"/>
  <c r="H67" i="13"/>
  <c r="G67" i="13"/>
  <c r="AF67" i="13" s="1"/>
  <c r="B67" i="13"/>
  <c r="Z64" i="13"/>
  <c r="Y64" i="13"/>
  <c r="AO64" i="13" s="1"/>
  <c r="X64" i="13"/>
  <c r="W64" i="13"/>
  <c r="AN64" i="13" s="1"/>
  <c r="V64" i="13"/>
  <c r="U64" i="13"/>
  <c r="AM64" i="13" s="1"/>
  <c r="T64" i="13"/>
  <c r="S64" i="13"/>
  <c r="AL64" i="13" s="1"/>
  <c r="R64" i="13"/>
  <c r="Q64" i="13"/>
  <c r="AK64" i="13" s="1"/>
  <c r="P64" i="13"/>
  <c r="O64" i="13"/>
  <c r="AJ64" i="13" s="1"/>
  <c r="N64" i="13"/>
  <c r="M64" i="13"/>
  <c r="AI64" i="13" s="1"/>
  <c r="L64" i="13"/>
  <c r="K64" i="13"/>
  <c r="AH64" i="13" s="1"/>
  <c r="J64" i="13"/>
  <c r="I64" i="13"/>
  <c r="AG64" i="13" s="1"/>
  <c r="H64" i="13"/>
  <c r="G64" i="13"/>
  <c r="AF64" i="13" s="1"/>
  <c r="B64" i="13"/>
  <c r="Z63" i="13"/>
  <c r="Y63" i="13"/>
  <c r="AO63" i="13" s="1"/>
  <c r="X63" i="13"/>
  <c r="W63" i="13"/>
  <c r="AN63" i="13" s="1"/>
  <c r="V63" i="13"/>
  <c r="U63" i="13"/>
  <c r="AM63" i="13" s="1"/>
  <c r="T63" i="13"/>
  <c r="S63" i="13"/>
  <c r="AL63" i="13" s="1"/>
  <c r="R63" i="13"/>
  <c r="Q63" i="13"/>
  <c r="AK63" i="13" s="1"/>
  <c r="P63" i="13"/>
  <c r="O63" i="13"/>
  <c r="AJ63" i="13" s="1"/>
  <c r="N63" i="13"/>
  <c r="M63" i="13"/>
  <c r="AI63" i="13" s="1"/>
  <c r="L63" i="13"/>
  <c r="K63" i="13"/>
  <c r="AH63" i="13" s="1"/>
  <c r="J63" i="13"/>
  <c r="I63" i="13"/>
  <c r="AG63" i="13" s="1"/>
  <c r="H63" i="13"/>
  <c r="G63" i="13"/>
  <c r="AF63" i="13" s="1"/>
  <c r="B63" i="13"/>
  <c r="Z62" i="13"/>
  <c r="Y62" i="13"/>
  <c r="AO62" i="13" s="1"/>
  <c r="X62" i="13"/>
  <c r="W62" i="13"/>
  <c r="AN62" i="13" s="1"/>
  <c r="V62" i="13"/>
  <c r="U62" i="13"/>
  <c r="AM62" i="13" s="1"/>
  <c r="T62" i="13"/>
  <c r="S62" i="13"/>
  <c r="AL62" i="13" s="1"/>
  <c r="R62" i="13"/>
  <c r="Q62" i="13"/>
  <c r="AK62" i="13" s="1"/>
  <c r="P62" i="13"/>
  <c r="O62" i="13"/>
  <c r="AJ62" i="13" s="1"/>
  <c r="N62" i="13"/>
  <c r="M62" i="13"/>
  <c r="AI62" i="13" s="1"/>
  <c r="L62" i="13"/>
  <c r="K62" i="13"/>
  <c r="AH62" i="13" s="1"/>
  <c r="J62" i="13"/>
  <c r="I62" i="13"/>
  <c r="AG62" i="13" s="1"/>
  <c r="H62" i="13"/>
  <c r="G62" i="13"/>
  <c r="AF62" i="13" s="1"/>
  <c r="B62" i="13"/>
  <c r="Z61" i="13"/>
  <c r="Y61" i="13"/>
  <c r="AO61" i="13" s="1"/>
  <c r="X61" i="13"/>
  <c r="W61" i="13"/>
  <c r="AN61" i="13" s="1"/>
  <c r="V61" i="13"/>
  <c r="U61" i="13"/>
  <c r="AM61" i="13" s="1"/>
  <c r="T61" i="13"/>
  <c r="S61" i="13"/>
  <c r="AL61" i="13" s="1"/>
  <c r="R61" i="13"/>
  <c r="Q61" i="13"/>
  <c r="AK61" i="13" s="1"/>
  <c r="P61" i="13"/>
  <c r="O61" i="13"/>
  <c r="AJ61" i="13" s="1"/>
  <c r="N61" i="13"/>
  <c r="M61" i="13"/>
  <c r="AI61" i="13" s="1"/>
  <c r="L61" i="13"/>
  <c r="K61" i="13"/>
  <c r="AH61" i="13" s="1"/>
  <c r="J61" i="13"/>
  <c r="I61" i="13"/>
  <c r="AG61" i="13" s="1"/>
  <c r="H61" i="13"/>
  <c r="G61" i="13"/>
  <c r="AF61" i="13" s="1"/>
  <c r="B61" i="13"/>
  <c r="Z60" i="13"/>
  <c r="Y60" i="13"/>
  <c r="AO60" i="13" s="1"/>
  <c r="X60" i="13"/>
  <c r="W60" i="13"/>
  <c r="AN60" i="13" s="1"/>
  <c r="V60" i="13"/>
  <c r="U60" i="13"/>
  <c r="AM60" i="13" s="1"/>
  <c r="T60" i="13"/>
  <c r="S60" i="13"/>
  <c r="AL60" i="13" s="1"/>
  <c r="R60" i="13"/>
  <c r="Q60" i="13"/>
  <c r="AK60" i="13" s="1"/>
  <c r="P60" i="13"/>
  <c r="O60" i="13"/>
  <c r="AJ60" i="13" s="1"/>
  <c r="N60" i="13"/>
  <c r="M60" i="13"/>
  <c r="AI60" i="13" s="1"/>
  <c r="L60" i="13"/>
  <c r="K60" i="13"/>
  <c r="AH60" i="13" s="1"/>
  <c r="J60" i="13"/>
  <c r="I60" i="13"/>
  <c r="AG60" i="13" s="1"/>
  <c r="H60" i="13"/>
  <c r="G60" i="13"/>
  <c r="AF60" i="13" s="1"/>
  <c r="B60" i="13"/>
  <c r="Z59" i="13"/>
  <c r="Y59" i="13"/>
  <c r="AO59" i="13" s="1"/>
  <c r="X59" i="13"/>
  <c r="W59" i="13"/>
  <c r="AN59" i="13" s="1"/>
  <c r="V59" i="13"/>
  <c r="U59" i="13"/>
  <c r="AM59" i="13" s="1"/>
  <c r="T59" i="13"/>
  <c r="S59" i="13"/>
  <c r="AL59" i="13" s="1"/>
  <c r="R59" i="13"/>
  <c r="Q59" i="13"/>
  <c r="AK59" i="13" s="1"/>
  <c r="P59" i="13"/>
  <c r="O59" i="13"/>
  <c r="AJ59" i="13" s="1"/>
  <c r="N59" i="13"/>
  <c r="M59" i="13"/>
  <c r="AI59" i="13" s="1"/>
  <c r="L59" i="13"/>
  <c r="K59" i="13"/>
  <c r="AH59" i="13" s="1"/>
  <c r="J59" i="13"/>
  <c r="I59" i="13"/>
  <c r="AG59" i="13" s="1"/>
  <c r="H59" i="13"/>
  <c r="G59" i="13"/>
  <c r="AF59" i="13" s="1"/>
  <c r="B59" i="13"/>
  <c r="Z58" i="13"/>
  <c r="Y58" i="13"/>
  <c r="AO58" i="13" s="1"/>
  <c r="X58" i="13"/>
  <c r="W58" i="13"/>
  <c r="AN58" i="13" s="1"/>
  <c r="V58" i="13"/>
  <c r="U58" i="13"/>
  <c r="AM58" i="13" s="1"/>
  <c r="T58" i="13"/>
  <c r="S58" i="13"/>
  <c r="AL58" i="13" s="1"/>
  <c r="R58" i="13"/>
  <c r="Q58" i="13"/>
  <c r="AK58" i="13" s="1"/>
  <c r="P58" i="13"/>
  <c r="O58" i="13"/>
  <c r="AJ58" i="13" s="1"/>
  <c r="N58" i="13"/>
  <c r="M58" i="13"/>
  <c r="AI58" i="13" s="1"/>
  <c r="L58" i="13"/>
  <c r="K58" i="13"/>
  <c r="AH58" i="13" s="1"/>
  <c r="J58" i="13"/>
  <c r="I58" i="13"/>
  <c r="AG58" i="13" s="1"/>
  <c r="H58" i="13"/>
  <c r="G58" i="13"/>
  <c r="AF58" i="13" s="1"/>
  <c r="B58" i="13"/>
  <c r="Z57" i="13"/>
  <c r="Y57" i="13"/>
  <c r="AO57" i="13" s="1"/>
  <c r="X57" i="13"/>
  <c r="W57" i="13"/>
  <c r="AN57" i="13" s="1"/>
  <c r="V57" i="13"/>
  <c r="U57" i="13"/>
  <c r="AM57" i="13" s="1"/>
  <c r="T57" i="13"/>
  <c r="S57" i="13"/>
  <c r="AL57" i="13" s="1"/>
  <c r="R57" i="13"/>
  <c r="Q57" i="13"/>
  <c r="AK57" i="13" s="1"/>
  <c r="P57" i="13"/>
  <c r="O57" i="13"/>
  <c r="AJ57" i="13" s="1"/>
  <c r="N57" i="13"/>
  <c r="M57" i="13"/>
  <c r="AI57" i="13" s="1"/>
  <c r="L57" i="13"/>
  <c r="K57" i="13"/>
  <c r="AH57" i="13" s="1"/>
  <c r="J57" i="13"/>
  <c r="I57" i="13"/>
  <c r="AG57" i="13" s="1"/>
  <c r="H57" i="13"/>
  <c r="G57" i="13"/>
  <c r="AF57" i="13" s="1"/>
  <c r="B57" i="13"/>
  <c r="Z54" i="13"/>
  <c r="Y54" i="13"/>
  <c r="X54" i="13"/>
  <c r="W54" i="13"/>
  <c r="V54" i="13"/>
  <c r="U54" i="13"/>
  <c r="T54" i="13"/>
  <c r="S54" i="13"/>
  <c r="R54" i="13"/>
  <c r="Q54" i="13"/>
  <c r="P54" i="13"/>
  <c r="O54" i="13"/>
  <c r="M54" i="13"/>
  <c r="K54" i="13"/>
  <c r="B54" i="13"/>
  <c r="Q53" i="13"/>
  <c r="O53" i="13"/>
  <c r="M53" i="13"/>
  <c r="K53" i="13"/>
  <c r="I53" i="13"/>
  <c r="G53" i="13"/>
  <c r="B53" i="13"/>
  <c r="V52" i="13"/>
  <c r="U52" i="13"/>
  <c r="T52" i="13"/>
  <c r="S52" i="13"/>
  <c r="Q52" i="13"/>
  <c r="O52" i="13"/>
  <c r="M52" i="13"/>
  <c r="K52" i="13"/>
  <c r="I52" i="13"/>
  <c r="G52" i="13"/>
  <c r="B52" i="13"/>
  <c r="W51" i="13"/>
  <c r="V51" i="13"/>
  <c r="U51" i="13"/>
  <c r="T51" i="13"/>
  <c r="S51" i="13"/>
  <c r="Q51" i="13"/>
  <c r="O51" i="13"/>
  <c r="M51" i="13"/>
  <c r="K51" i="13"/>
  <c r="I51" i="13"/>
  <c r="G51" i="13"/>
  <c r="B51" i="13"/>
  <c r="Z50" i="13"/>
  <c r="Y50" i="13"/>
  <c r="X50" i="13"/>
  <c r="W50" i="13"/>
  <c r="V50" i="13"/>
  <c r="U50" i="13"/>
  <c r="T50" i="13"/>
  <c r="S50" i="13"/>
  <c r="R50" i="13"/>
  <c r="Q50" i="13"/>
  <c r="P50" i="13"/>
  <c r="O50" i="13"/>
  <c r="M50" i="13"/>
  <c r="K50" i="13"/>
  <c r="I50" i="13"/>
  <c r="H50" i="13"/>
  <c r="G50" i="13"/>
  <c r="B50" i="13"/>
  <c r="Z47" i="13"/>
  <c r="Y47" i="13"/>
  <c r="AO47" i="13" s="1"/>
  <c r="X47" i="13"/>
  <c r="W47" i="13"/>
  <c r="AN47" i="13" s="1"/>
  <c r="V47" i="13"/>
  <c r="U47" i="13"/>
  <c r="AM47" i="13" s="1"/>
  <c r="T47" i="13"/>
  <c r="S47" i="13"/>
  <c r="AL47" i="13" s="1"/>
  <c r="R47" i="13"/>
  <c r="Q47" i="13"/>
  <c r="AK47" i="13" s="1"/>
  <c r="P47" i="13"/>
  <c r="O47" i="13"/>
  <c r="AJ47" i="13" s="1"/>
  <c r="N47" i="13"/>
  <c r="M47" i="13"/>
  <c r="AI47" i="13" s="1"/>
  <c r="L47" i="13"/>
  <c r="K47" i="13"/>
  <c r="AH47" i="13" s="1"/>
  <c r="J47" i="13"/>
  <c r="I47" i="13"/>
  <c r="AG47" i="13" s="1"/>
  <c r="H47" i="13"/>
  <c r="G47" i="13"/>
  <c r="AF47" i="13" s="1"/>
  <c r="B47" i="13"/>
  <c r="Z46" i="13"/>
  <c r="Y46" i="13"/>
  <c r="AO46" i="13" s="1"/>
  <c r="X46" i="13"/>
  <c r="W46" i="13"/>
  <c r="AN46" i="13" s="1"/>
  <c r="V46" i="13"/>
  <c r="U46" i="13"/>
  <c r="AM46" i="13" s="1"/>
  <c r="T46" i="13"/>
  <c r="S46" i="13"/>
  <c r="AL46" i="13" s="1"/>
  <c r="R46" i="13"/>
  <c r="Q46" i="13"/>
  <c r="AK46" i="13" s="1"/>
  <c r="P46" i="13"/>
  <c r="O46" i="13"/>
  <c r="AJ46" i="13" s="1"/>
  <c r="N46" i="13"/>
  <c r="M46" i="13"/>
  <c r="AI46" i="13" s="1"/>
  <c r="L46" i="13"/>
  <c r="K46" i="13"/>
  <c r="AH46" i="13" s="1"/>
  <c r="J46" i="13"/>
  <c r="I46" i="13"/>
  <c r="AG46" i="13" s="1"/>
  <c r="H46" i="13"/>
  <c r="G46" i="13"/>
  <c r="AF46" i="13" s="1"/>
  <c r="B46" i="13"/>
  <c r="Z45" i="13"/>
  <c r="Y45" i="13"/>
  <c r="AO45" i="13" s="1"/>
  <c r="X45" i="13"/>
  <c r="W45" i="13"/>
  <c r="AN45" i="13" s="1"/>
  <c r="V45" i="13"/>
  <c r="U45" i="13"/>
  <c r="AM45" i="13" s="1"/>
  <c r="T45" i="13"/>
  <c r="S45" i="13"/>
  <c r="AL45" i="13" s="1"/>
  <c r="R45" i="13"/>
  <c r="Q45" i="13"/>
  <c r="AK45" i="13" s="1"/>
  <c r="P45" i="13"/>
  <c r="O45" i="13"/>
  <c r="AJ45" i="13" s="1"/>
  <c r="N45" i="13"/>
  <c r="M45" i="13"/>
  <c r="AI45" i="13" s="1"/>
  <c r="L45" i="13"/>
  <c r="K45" i="13"/>
  <c r="AH45" i="13" s="1"/>
  <c r="J45" i="13"/>
  <c r="I45" i="13"/>
  <c r="AG45" i="13" s="1"/>
  <c r="H45" i="13"/>
  <c r="G45" i="13"/>
  <c r="AF45" i="13" s="1"/>
  <c r="B45" i="13"/>
  <c r="Z44" i="13"/>
  <c r="Y44" i="13"/>
  <c r="AO44" i="13" s="1"/>
  <c r="X44" i="13"/>
  <c r="W44" i="13"/>
  <c r="AN44" i="13" s="1"/>
  <c r="V44" i="13"/>
  <c r="U44" i="13"/>
  <c r="AM44" i="13" s="1"/>
  <c r="T44" i="13"/>
  <c r="S44" i="13"/>
  <c r="AL44" i="13" s="1"/>
  <c r="R44" i="13"/>
  <c r="Q44" i="13"/>
  <c r="AK44" i="13" s="1"/>
  <c r="P44" i="13"/>
  <c r="O44" i="13"/>
  <c r="AJ44" i="13" s="1"/>
  <c r="N44" i="13"/>
  <c r="M44" i="13"/>
  <c r="AI44" i="13" s="1"/>
  <c r="L44" i="13"/>
  <c r="K44" i="13"/>
  <c r="AH44" i="13" s="1"/>
  <c r="J44" i="13"/>
  <c r="I44" i="13"/>
  <c r="AG44" i="13" s="1"/>
  <c r="H44" i="13"/>
  <c r="G44" i="13"/>
  <c r="AF44" i="13" s="1"/>
  <c r="B44" i="13"/>
  <c r="Z43" i="13"/>
  <c r="Y43" i="13"/>
  <c r="AO43" i="13" s="1"/>
  <c r="X43" i="13"/>
  <c r="W43" i="13"/>
  <c r="AN43" i="13" s="1"/>
  <c r="V43" i="13"/>
  <c r="U43" i="13"/>
  <c r="AM43" i="13" s="1"/>
  <c r="T43" i="13"/>
  <c r="S43" i="13"/>
  <c r="AL43" i="13" s="1"/>
  <c r="R43" i="13"/>
  <c r="Q43" i="13"/>
  <c r="AK43" i="13" s="1"/>
  <c r="P43" i="13"/>
  <c r="O43" i="13"/>
  <c r="AJ43" i="13" s="1"/>
  <c r="N43" i="13"/>
  <c r="M43" i="13"/>
  <c r="AI43" i="13" s="1"/>
  <c r="L43" i="13"/>
  <c r="K43" i="13"/>
  <c r="AH43" i="13" s="1"/>
  <c r="J43" i="13"/>
  <c r="I43" i="13"/>
  <c r="AG43" i="13" s="1"/>
  <c r="H43" i="13"/>
  <c r="G43" i="13"/>
  <c r="AF43" i="13" s="1"/>
  <c r="B43" i="13"/>
  <c r="Z40" i="13"/>
  <c r="Y40" i="13"/>
  <c r="AO40" i="13" s="1"/>
  <c r="X40" i="13"/>
  <c r="W40" i="13"/>
  <c r="AN40" i="13" s="1"/>
  <c r="V40" i="13"/>
  <c r="U40" i="13"/>
  <c r="AM40" i="13" s="1"/>
  <c r="T40" i="13"/>
  <c r="S40" i="13"/>
  <c r="AL40" i="13" s="1"/>
  <c r="R40" i="13"/>
  <c r="Q40" i="13"/>
  <c r="AK40" i="13" s="1"/>
  <c r="P40" i="13"/>
  <c r="O40" i="13"/>
  <c r="AJ40" i="13" s="1"/>
  <c r="N40" i="13"/>
  <c r="M40" i="13"/>
  <c r="AI40" i="13" s="1"/>
  <c r="L40" i="13"/>
  <c r="K40" i="13"/>
  <c r="AH40" i="13" s="1"/>
  <c r="J40" i="13"/>
  <c r="I40" i="13"/>
  <c r="AG40" i="13" s="1"/>
  <c r="H40" i="13"/>
  <c r="G40" i="13"/>
  <c r="AF40" i="13" s="1"/>
  <c r="B40" i="13"/>
  <c r="Z39" i="13"/>
  <c r="Y39" i="13"/>
  <c r="AO39" i="13" s="1"/>
  <c r="X39" i="13"/>
  <c r="W39" i="13"/>
  <c r="AN39" i="13" s="1"/>
  <c r="V39" i="13"/>
  <c r="U39" i="13"/>
  <c r="AM39" i="13" s="1"/>
  <c r="T39" i="13"/>
  <c r="S39" i="13"/>
  <c r="AL39" i="13" s="1"/>
  <c r="R39" i="13"/>
  <c r="Q39" i="13"/>
  <c r="AK39" i="13" s="1"/>
  <c r="P39" i="13"/>
  <c r="O39" i="13"/>
  <c r="AJ39" i="13" s="1"/>
  <c r="N39" i="13"/>
  <c r="M39" i="13"/>
  <c r="AI39" i="13" s="1"/>
  <c r="L39" i="13"/>
  <c r="K39" i="13"/>
  <c r="AH39" i="13" s="1"/>
  <c r="J39" i="13"/>
  <c r="I39" i="13"/>
  <c r="AG39" i="13" s="1"/>
  <c r="H39" i="13"/>
  <c r="G39" i="13"/>
  <c r="AF39" i="13" s="1"/>
  <c r="B39" i="13"/>
  <c r="Q38" i="13"/>
  <c r="O38" i="13"/>
  <c r="B38" i="13"/>
  <c r="Q37" i="13"/>
  <c r="O37" i="13"/>
  <c r="M37" i="13"/>
  <c r="K37" i="13"/>
  <c r="J37" i="13"/>
  <c r="I37" i="13"/>
  <c r="G37" i="13"/>
  <c r="B37" i="13"/>
  <c r="Q36" i="13"/>
  <c r="O36" i="13"/>
  <c r="M36" i="13"/>
  <c r="K36" i="13"/>
  <c r="J36" i="13"/>
  <c r="I36" i="13"/>
  <c r="H36" i="13"/>
  <c r="G36" i="13"/>
  <c r="B36" i="13"/>
  <c r="Q35" i="13"/>
  <c r="O35" i="13"/>
  <c r="M35" i="13"/>
  <c r="K35" i="13"/>
  <c r="J35" i="13"/>
  <c r="I35" i="13"/>
  <c r="H35" i="13"/>
  <c r="G35" i="13"/>
  <c r="B35" i="13"/>
  <c r="Z32" i="13"/>
  <c r="Y32" i="13"/>
  <c r="AO32" i="13" s="1"/>
  <c r="X32" i="13"/>
  <c r="W32" i="13"/>
  <c r="AN32" i="13" s="1"/>
  <c r="V32" i="13"/>
  <c r="U32" i="13"/>
  <c r="AM32" i="13" s="1"/>
  <c r="T32" i="13"/>
  <c r="S32" i="13"/>
  <c r="AL32" i="13" s="1"/>
  <c r="R32" i="13"/>
  <c r="Q32" i="13"/>
  <c r="AK32" i="13" s="1"/>
  <c r="P32" i="13"/>
  <c r="O32" i="13"/>
  <c r="AJ32" i="13" s="1"/>
  <c r="N32" i="13"/>
  <c r="M32" i="13"/>
  <c r="AI32" i="13" s="1"/>
  <c r="L32" i="13"/>
  <c r="K32" i="13"/>
  <c r="AH32" i="13" s="1"/>
  <c r="J32" i="13"/>
  <c r="I32" i="13"/>
  <c r="AG32" i="13" s="1"/>
  <c r="H32" i="13"/>
  <c r="G32" i="13"/>
  <c r="AF32" i="13" s="1"/>
  <c r="B32" i="13"/>
  <c r="Z31" i="13"/>
  <c r="Y31" i="13"/>
  <c r="AO31" i="13" s="1"/>
  <c r="X31" i="13"/>
  <c r="W31" i="13"/>
  <c r="AN31" i="13" s="1"/>
  <c r="V31" i="13"/>
  <c r="U31" i="13"/>
  <c r="AM31" i="13" s="1"/>
  <c r="T31" i="13"/>
  <c r="S31" i="13"/>
  <c r="AL31" i="13" s="1"/>
  <c r="R31" i="13"/>
  <c r="Q31" i="13"/>
  <c r="AK31" i="13" s="1"/>
  <c r="P31" i="13"/>
  <c r="O31" i="13"/>
  <c r="AJ31" i="13" s="1"/>
  <c r="N31" i="13"/>
  <c r="M31" i="13"/>
  <c r="AI31" i="13" s="1"/>
  <c r="L31" i="13"/>
  <c r="K31" i="13"/>
  <c r="AH31" i="13" s="1"/>
  <c r="J31" i="13"/>
  <c r="I31" i="13"/>
  <c r="AG31" i="13" s="1"/>
  <c r="H31" i="13"/>
  <c r="G31" i="13"/>
  <c r="AF31" i="13" s="1"/>
  <c r="B31" i="13"/>
  <c r="Z30" i="13"/>
  <c r="Y30" i="13"/>
  <c r="AO30" i="13" s="1"/>
  <c r="X30" i="13"/>
  <c r="W30" i="13"/>
  <c r="AN30" i="13" s="1"/>
  <c r="V30" i="13"/>
  <c r="U30" i="13"/>
  <c r="AM30" i="13" s="1"/>
  <c r="T30" i="13"/>
  <c r="S30" i="13"/>
  <c r="AL30" i="13" s="1"/>
  <c r="R30" i="13"/>
  <c r="Q30" i="13"/>
  <c r="AK30" i="13" s="1"/>
  <c r="P30" i="13"/>
  <c r="O30" i="13"/>
  <c r="AJ30" i="13" s="1"/>
  <c r="N30" i="13"/>
  <c r="M30" i="13"/>
  <c r="AI30" i="13" s="1"/>
  <c r="L30" i="13"/>
  <c r="K30" i="13"/>
  <c r="AH30" i="13" s="1"/>
  <c r="J30" i="13"/>
  <c r="I30" i="13"/>
  <c r="AG30" i="13" s="1"/>
  <c r="H30" i="13"/>
  <c r="G30" i="13"/>
  <c r="AF30" i="13" s="1"/>
  <c r="B30" i="13"/>
  <c r="Z29" i="13"/>
  <c r="Y29" i="13"/>
  <c r="AO29" i="13" s="1"/>
  <c r="X29" i="13"/>
  <c r="W29" i="13"/>
  <c r="AN29" i="13" s="1"/>
  <c r="V29" i="13"/>
  <c r="U29" i="13"/>
  <c r="AM29" i="13" s="1"/>
  <c r="T29" i="13"/>
  <c r="S29" i="13"/>
  <c r="AL29" i="13" s="1"/>
  <c r="R29" i="13"/>
  <c r="Q29" i="13"/>
  <c r="AK29" i="13" s="1"/>
  <c r="P29" i="13"/>
  <c r="O29" i="13"/>
  <c r="AJ29" i="13" s="1"/>
  <c r="N29" i="13"/>
  <c r="M29" i="13"/>
  <c r="AI29" i="13" s="1"/>
  <c r="L29" i="13"/>
  <c r="K29" i="13"/>
  <c r="AH29" i="13" s="1"/>
  <c r="J29" i="13"/>
  <c r="I29" i="13"/>
  <c r="AG29" i="13" s="1"/>
  <c r="H29" i="13"/>
  <c r="G29" i="13"/>
  <c r="AF29" i="13" s="1"/>
  <c r="B29" i="13"/>
  <c r="Z28" i="13"/>
  <c r="Y28" i="13"/>
  <c r="AO28" i="13" s="1"/>
  <c r="X28" i="13"/>
  <c r="W28" i="13"/>
  <c r="AN28" i="13" s="1"/>
  <c r="V28" i="13"/>
  <c r="U28" i="13"/>
  <c r="AM28" i="13" s="1"/>
  <c r="T28" i="13"/>
  <c r="S28" i="13"/>
  <c r="AL28" i="13" s="1"/>
  <c r="R28" i="13"/>
  <c r="Q28" i="13"/>
  <c r="AK28" i="13" s="1"/>
  <c r="P28" i="13"/>
  <c r="O28" i="13"/>
  <c r="AJ28" i="13" s="1"/>
  <c r="N28" i="13"/>
  <c r="M28" i="13"/>
  <c r="AI28" i="13" s="1"/>
  <c r="L28" i="13"/>
  <c r="K28" i="13"/>
  <c r="AH28" i="13" s="1"/>
  <c r="J28" i="13"/>
  <c r="I28" i="13"/>
  <c r="AG28" i="13" s="1"/>
  <c r="H28" i="13"/>
  <c r="G28" i="13"/>
  <c r="AF28" i="13" s="1"/>
  <c r="B28" i="13"/>
  <c r="Z27" i="13"/>
  <c r="Y27" i="13"/>
  <c r="AO27" i="13" s="1"/>
  <c r="X27" i="13"/>
  <c r="W27" i="13"/>
  <c r="AN27" i="13" s="1"/>
  <c r="V27" i="13"/>
  <c r="U27" i="13"/>
  <c r="AM27" i="13" s="1"/>
  <c r="T27" i="13"/>
  <c r="S27" i="13"/>
  <c r="AL27" i="13" s="1"/>
  <c r="R27" i="13"/>
  <c r="Q27" i="13"/>
  <c r="AK27" i="13" s="1"/>
  <c r="P27" i="13"/>
  <c r="O27" i="13"/>
  <c r="AJ27" i="13" s="1"/>
  <c r="N27" i="13"/>
  <c r="M27" i="13"/>
  <c r="AI27" i="13" s="1"/>
  <c r="L27" i="13"/>
  <c r="K27" i="13"/>
  <c r="AH27" i="13" s="1"/>
  <c r="J27" i="13"/>
  <c r="I27" i="13"/>
  <c r="AG27" i="13" s="1"/>
  <c r="H27" i="13"/>
  <c r="G27" i="13"/>
  <c r="AF27" i="13" s="1"/>
  <c r="B27" i="13"/>
  <c r="Z24" i="13"/>
  <c r="Y24" i="13"/>
  <c r="AO24" i="13" s="1"/>
  <c r="X24" i="13"/>
  <c r="W24" i="13"/>
  <c r="AN24" i="13" s="1"/>
  <c r="V24" i="13"/>
  <c r="U24" i="13"/>
  <c r="AM24" i="13" s="1"/>
  <c r="T24" i="13"/>
  <c r="S24" i="13"/>
  <c r="AL24" i="13" s="1"/>
  <c r="R24" i="13"/>
  <c r="Q24" i="13"/>
  <c r="AK24" i="13" s="1"/>
  <c r="P24" i="13"/>
  <c r="O24" i="13"/>
  <c r="AJ24" i="13" s="1"/>
  <c r="N24" i="13"/>
  <c r="M24" i="13"/>
  <c r="AI24" i="13" s="1"/>
  <c r="L24" i="13"/>
  <c r="K24" i="13"/>
  <c r="AH24" i="13" s="1"/>
  <c r="J24" i="13"/>
  <c r="I24" i="13"/>
  <c r="AG24" i="13" s="1"/>
  <c r="H24" i="13"/>
  <c r="G24" i="13"/>
  <c r="AF24" i="13" s="1"/>
  <c r="B24" i="13"/>
  <c r="Z23" i="13"/>
  <c r="Y23" i="13"/>
  <c r="AO23" i="13" s="1"/>
  <c r="X23" i="13"/>
  <c r="W23" i="13"/>
  <c r="AN23" i="13" s="1"/>
  <c r="V23" i="13"/>
  <c r="U23" i="13"/>
  <c r="AM23" i="13" s="1"/>
  <c r="T23" i="13"/>
  <c r="S23" i="13"/>
  <c r="AL23" i="13" s="1"/>
  <c r="R23" i="13"/>
  <c r="Q23" i="13"/>
  <c r="AK23" i="13" s="1"/>
  <c r="P23" i="13"/>
  <c r="O23" i="13"/>
  <c r="AJ23" i="13" s="1"/>
  <c r="N23" i="13"/>
  <c r="M23" i="13"/>
  <c r="AI23" i="13" s="1"/>
  <c r="L23" i="13"/>
  <c r="K23" i="13"/>
  <c r="AH23" i="13" s="1"/>
  <c r="J23" i="13"/>
  <c r="I23" i="13"/>
  <c r="AG23" i="13" s="1"/>
  <c r="H23" i="13"/>
  <c r="G23" i="13"/>
  <c r="AF23" i="13" s="1"/>
  <c r="B23" i="13"/>
  <c r="Z22" i="13"/>
  <c r="Y22" i="13"/>
  <c r="AO22" i="13" s="1"/>
  <c r="X22" i="13"/>
  <c r="W22" i="13"/>
  <c r="AN22" i="13" s="1"/>
  <c r="V22" i="13"/>
  <c r="U22" i="13"/>
  <c r="AM22" i="13" s="1"/>
  <c r="T22" i="13"/>
  <c r="S22" i="13"/>
  <c r="AL22" i="13" s="1"/>
  <c r="R22" i="13"/>
  <c r="Q22" i="13"/>
  <c r="AK22" i="13" s="1"/>
  <c r="P22" i="13"/>
  <c r="O22" i="13"/>
  <c r="AJ22" i="13" s="1"/>
  <c r="N22" i="13"/>
  <c r="M22" i="13"/>
  <c r="AI22" i="13" s="1"/>
  <c r="L22" i="13"/>
  <c r="K22" i="13"/>
  <c r="AH22" i="13" s="1"/>
  <c r="J22" i="13"/>
  <c r="I22" i="13"/>
  <c r="AG22" i="13" s="1"/>
  <c r="H22" i="13"/>
  <c r="G22" i="13"/>
  <c r="AF22" i="13" s="1"/>
  <c r="B22" i="13"/>
  <c r="Z21" i="13"/>
  <c r="Y21" i="13"/>
  <c r="AO21" i="13" s="1"/>
  <c r="X21" i="13"/>
  <c r="W21" i="13"/>
  <c r="AN21" i="13" s="1"/>
  <c r="V21" i="13"/>
  <c r="U21" i="13"/>
  <c r="AM21" i="13" s="1"/>
  <c r="T21" i="13"/>
  <c r="S21" i="13"/>
  <c r="AL21" i="13" s="1"/>
  <c r="R21" i="13"/>
  <c r="Q21" i="13"/>
  <c r="AK21" i="13" s="1"/>
  <c r="P21" i="13"/>
  <c r="O21" i="13"/>
  <c r="AJ21" i="13" s="1"/>
  <c r="N21" i="13"/>
  <c r="M21" i="13"/>
  <c r="AI21" i="13" s="1"/>
  <c r="L21" i="13"/>
  <c r="K21" i="13"/>
  <c r="AH21" i="13" s="1"/>
  <c r="J21" i="13"/>
  <c r="I21" i="13"/>
  <c r="AG21" i="13" s="1"/>
  <c r="H21" i="13"/>
  <c r="G21" i="13"/>
  <c r="AF21" i="13" s="1"/>
  <c r="B21" i="13"/>
  <c r="Z20" i="13"/>
  <c r="Y20" i="13"/>
  <c r="AO20" i="13" s="1"/>
  <c r="X20" i="13"/>
  <c r="W20" i="13"/>
  <c r="AN20" i="13" s="1"/>
  <c r="V20" i="13"/>
  <c r="U20" i="13"/>
  <c r="AM20" i="13" s="1"/>
  <c r="T20" i="13"/>
  <c r="S20" i="13"/>
  <c r="AL20" i="13" s="1"/>
  <c r="R20" i="13"/>
  <c r="Q20" i="13"/>
  <c r="AK20" i="13" s="1"/>
  <c r="P20" i="13"/>
  <c r="O20" i="13"/>
  <c r="AJ20" i="13" s="1"/>
  <c r="N20" i="13"/>
  <c r="M20" i="13"/>
  <c r="AI20" i="13" s="1"/>
  <c r="L20" i="13"/>
  <c r="K20" i="13"/>
  <c r="AH20" i="13" s="1"/>
  <c r="J20" i="13"/>
  <c r="I20" i="13"/>
  <c r="AG20" i="13" s="1"/>
  <c r="H20" i="13"/>
  <c r="G20" i="13"/>
  <c r="AF20" i="13" s="1"/>
  <c r="B20" i="13"/>
  <c r="Z19" i="13"/>
  <c r="Y19" i="13"/>
  <c r="AO19" i="13" s="1"/>
  <c r="X19" i="13"/>
  <c r="W19" i="13"/>
  <c r="AN19" i="13" s="1"/>
  <c r="V19" i="13"/>
  <c r="U19" i="13"/>
  <c r="AM19" i="13" s="1"/>
  <c r="T19" i="13"/>
  <c r="S19" i="13"/>
  <c r="AL19" i="13" s="1"/>
  <c r="R19" i="13"/>
  <c r="Q19" i="13"/>
  <c r="AK19" i="13" s="1"/>
  <c r="P19" i="13"/>
  <c r="O19" i="13"/>
  <c r="AJ19" i="13" s="1"/>
  <c r="N19" i="13"/>
  <c r="M19" i="13"/>
  <c r="AI19" i="13" s="1"/>
  <c r="L19" i="13"/>
  <c r="K19" i="13"/>
  <c r="AH19" i="13" s="1"/>
  <c r="J19" i="13"/>
  <c r="I19" i="13"/>
  <c r="AG19" i="13" s="1"/>
  <c r="H19" i="13"/>
  <c r="G19" i="13"/>
  <c r="AF19" i="13" s="1"/>
  <c r="B19" i="13"/>
  <c r="Z16" i="13"/>
  <c r="Y16" i="13"/>
  <c r="AO16" i="13" s="1"/>
  <c r="X16" i="13"/>
  <c r="W16" i="13"/>
  <c r="AN16" i="13" s="1"/>
  <c r="V16" i="13"/>
  <c r="U16" i="13"/>
  <c r="AM16" i="13" s="1"/>
  <c r="T16" i="13"/>
  <c r="S16" i="13"/>
  <c r="AL16" i="13" s="1"/>
  <c r="R16" i="13"/>
  <c r="Q16" i="13"/>
  <c r="AK16" i="13" s="1"/>
  <c r="P16" i="13"/>
  <c r="O16" i="13"/>
  <c r="AJ16" i="13" s="1"/>
  <c r="N16" i="13"/>
  <c r="M16" i="13"/>
  <c r="AI16" i="13" s="1"/>
  <c r="L16" i="13"/>
  <c r="K16" i="13"/>
  <c r="AH16" i="13" s="1"/>
  <c r="J16" i="13"/>
  <c r="I16" i="13"/>
  <c r="AG16" i="13" s="1"/>
  <c r="H16" i="13"/>
  <c r="G16" i="13"/>
  <c r="AF16" i="13" s="1"/>
  <c r="B16" i="13"/>
  <c r="Z15" i="13"/>
  <c r="Y15" i="13"/>
  <c r="AO15" i="13" s="1"/>
  <c r="X15" i="13"/>
  <c r="W15" i="13"/>
  <c r="AN15" i="13" s="1"/>
  <c r="V15" i="13"/>
  <c r="U15" i="13"/>
  <c r="AM15" i="13" s="1"/>
  <c r="T15" i="13"/>
  <c r="S15" i="13"/>
  <c r="AL15" i="13" s="1"/>
  <c r="R15" i="13"/>
  <c r="Q15" i="13"/>
  <c r="AK15" i="13" s="1"/>
  <c r="P15" i="13"/>
  <c r="O15" i="13"/>
  <c r="AJ15" i="13" s="1"/>
  <c r="N15" i="13"/>
  <c r="M15" i="13"/>
  <c r="AI15" i="13" s="1"/>
  <c r="L15" i="13"/>
  <c r="K15" i="13"/>
  <c r="AH15" i="13" s="1"/>
  <c r="J15" i="13"/>
  <c r="I15" i="13"/>
  <c r="AG15" i="13" s="1"/>
  <c r="H15" i="13"/>
  <c r="G15" i="13"/>
  <c r="AF15" i="13" s="1"/>
  <c r="B15" i="13"/>
  <c r="Q14" i="13"/>
  <c r="O14" i="13"/>
  <c r="B14" i="13"/>
  <c r="Q13" i="13"/>
  <c r="O13" i="13"/>
  <c r="M13" i="13"/>
  <c r="K13" i="13"/>
  <c r="J13" i="13"/>
  <c r="I13" i="13"/>
  <c r="G13" i="13"/>
  <c r="B13" i="13"/>
  <c r="Q12" i="13"/>
  <c r="O12" i="13"/>
  <c r="M12" i="13"/>
  <c r="K12" i="13"/>
  <c r="J12" i="13"/>
  <c r="I12" i="13"/>
  <c r="G12" i="13"/>
  <c r="B12" i="13"/>
  <c r="Q11" i="13"/>
  <c r="O11" i="13"/>
  <c r="M11" i="13"/>
  <c r="K11" i="13"/>
  <c r="J11" i="13"/>
  <c r="I11" i="13"/>
  <c r="G11" i="13"/>
  <c r="B11" i="13"/>
  <c r="AG6" i="13"/>
  <c r="H6" i="13"/>
  <c r="I6" i="13" s="1"/>
  <c r="U345" i="11"/>
  <c r="S345" i="11"/>
  <c r="Q345" i="11"/>
  <c r="O345" i="11"/>
  <c r="M345" i="11"/>
  <c r="K345" i="11"/>
  <c r="I345" i="11"/>
  <c r="G345" i="11"/>
  <c r="F345" i="11"/>
  <c r="E345" i="11"/>
  <c r="Z344" i="11"/>
  <c r="Y344" i="11"/>
  <c r="X344" i="11"/>
  <c r="W344" i="11"/>
  <c r="V344" i="11"/>
  <c r="U344" i="11"/>
  <c r="T344" i="11"/>
  <c r="S344" i="11"/>
  <c r="S346" i="11" s="1"/>
  <c r="R344" i="11"/>
  <c r="Q344" i="11"/>
  <c r="P344" i="11"/>
  <c r="O344" i="11"/>
  <c r="N344" i="11"/>
  <c r="M344" i="11"/>
  <c r="L344" i="11"/>
  <c r="K344" i="11"/>
  <c r="J344" i="11"/>
  <c r="I344" i="11"/>
  <c r="H344" i="11"/>
  <c r="G344" i="11"/>
  <c r="F344" i="11"/>
  <c r="E344" i="11"/>
  <c r="B344" i="11"/>
  <c r="U341" i="11"/>
  <c r="S341" i="11"/>
  <c r="Q341" i="11"/>
  <c r="O341" i="11"/>
  <c r="M341" i="11"/>
  <c r="K341" i="11"/>
  <c r="I341" i="11"/>
  <c r="G341" i="11"/>
  <c r="F341" i="11"/>
  <c r="E341" i="11"/>
  <c r="Z340" i="11"/>
  <c r="Y340" i="11"/>
  <c r="X340" i="11"/>
  <c r="W340" i="11"/>
  <c r="V340" i="11"/>
  <c r="U340" i="11"/>
  <c r="T340" i="11"/>
  <c r="S340" i="11"/>
  <c r="S342" i="11" s="1"/>
  <c r="R340" i="11"/>
  <c r="Q340" i="11"/>
  <c r="P340" i="11"/>
  <c r="O340" i="11"/>
  <c r="N340" i="11"/>
  <c r="M340" i="11"/>
  <c r="L340" i="11"/>
  <c r="K340" i="11"/>
  <c r="J340" i="11"/>
  <c r="I340" i="11"/>
  <c r="H340" i="11"/>
  <c r="G340" i="11"/>
  <c r="F340" i="11"/>
  <c r="E340" i="11"/>
  <c r="B340" i="11"/>
  <c r="Z337" i="11"/>
  <c r="Y337" i="11"/>
  <c r="X337" i="11"/>
  <c r="W337" i="11"/>
  <c r="V337" i="11"/>
  <c r="U337" i="11"/>
  <c r="T337" i="11"/>
  <c r="S337" i="11"/>
  <c r="R337" i="11"/>
  <c r="Q337" i="11"/>
  <c r="P337" i="11"/>
  <c r="O337" i="11"/>
  <c r="N337" i="11"/>
  <c r="M337" i="11"/>
  <c r="L337" i="11"/>
  <c r="K337" i="11"/>
  <c r="J337" i="11"/>
  <c r="I337" i="11"/>
  <c r="H337" i="11"/>
  <c r="G337" i="11"/>
  <c r="F337" i="11"/>
  <c r="E337" i="11"/>
  <c r="Z336" i="11"/>
  <c r="Y336" i="11"/>
  <c r="X336" i="11"/>
  <c r="W336" i="11"/>
  <c r="V336" i="11"/>
  <c r="U336" i="11"/>
  <c r="T336" i="11"/>
  <c r="S336" i="11"/>
  <c r="R336" i="11"/>
  <c r="Q336" i="11"/>
  <c r="P336" i="11"/>
  <c r="O336" i="11"/>
  <c r="N336" i="11"/>
  <c r="M336" i="11"/>
  <c r="L336" i="11"/>
  <c r="K336" i="11"/>
  <c r="J336" i="11"/>
  <c r="I336" i="11"/>
  <c r="H336" i="11"/>
  <c r="G336" i="11"/>
  <c r="F336" i="11"/>
  <c r="E336" i="11"/>
  <c r="B336" i="11"/>
  <c r="Z333" i="11"/>
  <c r="Y333" i="11"/>
  <c r="X333" i="11"/>
  <c r="W333" i="11"/>
  <c r="V333" i="11"/>
  <c r="U333" i="11"/>
  <c r="T333" i="11"/>
  <c r="S333" i="11"/>
  <c r="R333" i="11"/>
  <c r="Q333" i="11"/>
  <c r="P333" i="11"/>
  <c r="O333" i="11"/>
  <c r="N333" i="11"/>
  <c r="M333" i="11"/>
  <c r="L333" i="11"/>
  <c r="K333" i="11"/>
  <c r="J333" i="11"/>
  <c r="I333" i="11"/>
  <c r="H333" i="11"/>
  <c r="G333" i="11"/>
  <c r="F333" i="11"/>
  <c r="E333" i="11"/>
  <c r="Z332" i="11"/>
  <c r="Y332" i="11"/>
  <c r="X332" i="11"/>
  <c r="W332" i="11"/>
  <c r="V332" i="11"/>
  <c r="U332" i="11"/>
  <c r="T332" i="11"/>
  <c r="S332" i="11"/>
  <c r="R332" i="11"/>
  <c r="Q332" i="11"/>
  <c r="P332" i="11"/>
  <c r="O332" i="11"/>
  <c r="N332" i="11"/>
  <c r="M332" i="11"/>
  <c r="L332" i="11"/>
  <c r="K332" i="11"/>
  <c r="J332" i="11"/>
  <c r="I332" i="11"/>
  <c r="H332" i="11"/>
  <c r="G332" i="11"/>
  <c r="F332" i="11"/>
  <c r="E332" i="11"/>
  <c r="B332" i="11"/>
  <c r="Z329" i="11"/>
  <c r="Y329" i="11"/>
  <c r="X329" i="11"/>
  <c r="W329" i="11"/>
  <c r="V329" i="11"/>
  <c r="U329" i="11"/>
  <c r="T329" i="11"/>
  <c r="S329" i="11"/>
  <c r="R329" i="11"/>
  <c r="Q329" i="11"/>
  <c r="P329" i="11"/>
  <c r="O329" i="11"/>
  <c r="N329" i="11"/>
  <c r="M329" i="11"/>
  <c r="L329" i="11"/>
  <c r="K329" i="11"/>
  <c r="J329" i="11"/>
  <c r="I329" i="11"/>
  <c r="H329" i="11"/>
  <c r="G329" i="11"/>
  <c r="F329" i="11"/>
  <c r="E329" i="11"/>
  <c r="Z328" i="11"/>
  <c r="Y328" i="11"/>
  <c r="X328" i="11"/>
  <c r="W328" i="11"/>
  <c r="V328" i="11"/>
  <c r="U328" i="11"/>
  <c r="T328" i="11"/>
  <c r="S328" i="11"/>
  <c r="R328" i="11"/>
  <c r="Q328" i="11"/>
  <c r="P328" i="11"/>
  <c r="O328" i="11"/>
  <c r="N328" i="11"/>
  <c r="M328" i="11"/>
  <c r="L328" i="11"/>
  <c r="K328" i="11"/>
  <c r="J328" i="11"/>
  <c r="I328" i="11"/>
  <c r="H328" i="11"/>
  <c r="G328" i="11"/>
  <c r="F328" i="11"/>
  <c r="E328" i="11"/>
  <c r="B328" i="11"/>
  <c r="Z325" i="11"/>
  <c r="Y325" i="11"/>
  <c r="X325" i="11"/>
  <c r="W325" i="11"/>
  <c r="V325" i="11"/>
  <c r="U325" i="11"/>
  <c r="T325" i="11"/>
  <c r="S325" i="11"/>
  <c r="R325" i="11"/>
  <c r="Q325" i="11"/>
  <c r="P325" i="11"/>
  <c r="O325" i="11"/>
  <c r="N325" i="11"/>
  <c r="M325" i="11"/>
  <c r="L325" i="11"/>
  <c r="K325" i="11"/>
  <c r="J325" i="11"/>
  <c r="I325" i="11"/>
  <c r="H325" i="11"/>
  <c r="G325" i="11"/>
  <c r="F325" i="11"/>
  <c r="E325" i="11"/>
  <c r="Z324" i="11"/>
  <c r="Y324" i="11"/>
  <c r="X324" i="11"/>
  <c r="W324" i="11"/>
  <c r="V324" i="11"/>
  <c r="U324" i="11"/>
  <c r="T324" i="11"/>
  <c r="S324" i="11"/>
  <c r="R324" i="11"/>
  <c r="Q324" i="11"/>
  <c r="P324" i="11"/>
  <c r="O324" i="11"/>
  <c r="N324" i="11"/>
  <c r="M324" i="11"/>
  <c r="L324" i="11"/>
  <c r="K324" i="11"/>
  <c r="J324" i="11"/>
  <c r="I324" i="11"/>
  <c r="H324" i="11"/>
  <c r="G324" i="11"/>
  <c r="F324" i="11"/>
  <c r="E324" i="11"/>
  <c r="B324" i="11"/>
  <c r="Z321" i="11"/>
  <c r="Y321" i="11"/>
  <c r="X321" i="11"/>
  <c r="W321" i="11"/>
  <c r="V321" i="11"/>
  <c r="U321" i="11"/>
  <c r="T321" i="11"/>
  <c r="S321" i="11"/>
  <c r="R321" i="11"/>
  <c r="Q321" i="11"/>
  <c r="P321" i="11"/>
  <c r="O321" i="11"/>
  <c r="N321" i="11"/>
  <c r="M321" i="11"/>
  <c r="L321" i="11"/>
  <c r="K321" i="11"/>
  <c r="J321" i="11"/>
  <c r="I321" i="11"/>
  <c r="H321" i="11"/>
  <c r="G321" i="11"/>
  <c r="F321" i="11"/>
  <c r="E321" i="11"/>
  <c r="Z320" i="11"/>
  <c r="Y320" i="11"/>
  <c r="X320" i="11"/>
  <c r="W320" i="11"/>
  <c r="V320" i="11"/>
  <c r="U320" i="11"/>
  <c r="T320" i="11"/>
  <c r="S320" i="11"/>
  <c r="R320" i="11"/>
  <c r="Q320" i="11"/>
  <c r="P320" i="11"/>
  <c r="O320" i="11"/>
  <c r="N320" i="11"/>
  <c r="M320" i="11"/>
  <c r="L320" i="11"/>
  <c r="K320" i="11"/>
  <c r="J320" i="11"/>
  <c r="I320" i="11"/>
  <c r="H320" i="11"/>
  <c r="G320" i="11"/>
  <c r="F320" i="11"/>
  <c r="E320" i="11"/>
  <c r="B320" i="11"/>
  <c r="Z317" i="11"/>
  <c r="Y317" i="11"/>
  <c r="X317" i="11"/>
  <c r="W317" i="11"/>
  <c r="V317" i="11"/>
  <c r="U317" i="11"/>
  <c r="T317" i="11"/>
  <c r="S317" i="11"/>
  <c r="R317" i="11"/>
  <c r="Q317" i="11"/>
  <c r="P317" i="11"/>
  <c r="O317" i="11"/>
  <c r="N317" i="11"/>
  <c r="M317" i="11"/>
  <c r="L317" i="11"/>
  <c r="K317" i="11"/>
  <c r="J317" i="11"/>
  <c r="I317" i="11"/>
  <c r="H317" i="11"/>
  <c r="G317" i="11"/>
  <c r="F317" i="11"/>
  <c r="E317" i="11"/>
  <c r="Z316" i="11"/>
  <c r="Y316" i="11"/>
  <c r="X316" i="11"/>
  <c r="W316" i="11"/>
  <c r="V316" i="11"/>
  <c r="U316" i="11"/>
  <c r="T316" i="11"/>
  <c r="S316" i="11"/>
  <c r="R316" i="11"/>
  <c r="Q316" i="11"/>
  <c r="P316" i="11"/>
  <c r="O316" i="11"/>
  <c r="N316" i="11"/>
  <c r="M316" i="11"/>
  <c r="L316" i="11"/>
  <c r="K316" i="11"/>
  <c r="J316" i="11"/>
  <c r="I316" i="11"/>
  <c r="H316" i="11"/>
  <c r="G316" i="11"/>
  <c r="F316" i="11"/>
  <c r="E316" i="11"/>
  <c r="B316" i="11"/>
  <c r="U313" i="11"/>
  <c r="S313" i="11"/>
  <c r="Q313" i="11"/>
  <c r="O313" i="11"/>
  <c r="M313" i="11"/>
  <c r="K313" i="11"/>
  <c r="I313" i="11"/>
  <c r="G313" i="11"/>
  <c r="F313" i="11"/>
  <c r="E313" i="11"/>
  <c r="Z312" i="11"/>
  <c r="Y312" i="11"/>
  <c r="X312" i="11"/>
  <c r="W312" i="11"/>
  <c r="V312" i="11"/>
  <c r="U312" i="11"/>
  <c r="T312" i="11"/>
  <c r="S312" i="11"/>
  <c r="R312" i="11"/>
  <c r="Q312" i="11"/>
  <c r="P312" i="11"/>
  <c r="O312" i="11"/>
  <c r="N312" i="11"/>
  <c r="M312" i="11"/>
  <c r="L312" i="11"/>
  <c r="K312" i="11"/>
  <c r="J312" i="11"/>
  <c r="I312" i="11"/>
  <c r="H312" i="11"/>
  <c r="G312" i="11"/>
  <c r="F312" i="11"/>
  <c r="E312" i="11"/>
  <c r="B312" i="11"/>
  <c r="V307" i="11"/>
  <c r="U307" i="11"/>
  <c r="Z306" i="11"/>
  <c r="Y306" i="11"/>
  <c r="X306" i="11"/>
  <c r="W306" i="11"/>
  <c r="V306" i="11"/>
  <c r="U306" i="11"/>
  <c r="T306" i="11"/>
  <c r="S306" i="11"/>
  <c r="R306" i="11"/>
  <c r="Q306" i="11"/>
  <c r="P306" i="11"/>
  <c r="O306" i="11"/>
  <c r="N306" i="11"/>
  <c r="M306" i="11"/>
  <c r="L306" i="11"/>
  <c r="K306" i="11"/>
  <c r="J306" i="11"/>
  <c r="I306" i="11"/>
  <c r="H306" i="11"/>
  <c r="G306" i="11"/>
  <c r="F306" i="11"/>
  <c r="E306" i="11"/>
  <c r="B306" i="11"/>
  <c r="T303" i="11"/>
  <c r="S303" i="11"/>
  <c r="R303" i="11"/>
  <c r="Q303" i="11"/>
  <c r="O303" i="11"/>
  <c r="N303" i="11"/>
  <c r="M303" i="11"/>
  <c r="K303" i="11"/>
  <c r="I303" i="11"/>
  <c r="H303" i="11"/>
  <c r="G303" i="11"/>
  <c r="F303" i="11"/>
  <c r="E303" i="11"/>
  <c r="Z302" i="11"/>
  <c r="Y302" i="11"/>
  <c r="X302" i="11"/>
  <c r="W302" i="11"/>
  <c r="V302" i="11"/>
  <c r="U302" i="11"/>
  <c r="T302" i="11"/>
  <c r="S302" i="11"/>
  <c r="R302" i="11"/>
  <c r="Q302" i="11"/>
  <c r="P302" i="11"/>
  <c r="O302" i="11"/>
  <c r="N302" i="11"/>
  <c r="M302" i="11"/>
  <c r="L302" i="11"/>
  <c r="K302" i="11"/>
  <c r="J302" i="11"/>
  <c r="I302" i="11"/>
  <c r="H302" i="11"/>
  <c r="G302" i="11"/>
  <c r="F302" i="11"/>
  <c r="E302" i="11"/>
  <c r="B302" i="11"/>
  <c r="U299" i="11"/>
  <c r="S299" i="11"/>
  <c r="Q299" i="11"/>
  <c r="O299" i="11"/>
  <c r="M299" i="11"/>
  <c r="K299" i="11"/>
  <c r="I299" i="11"/>
  <c r="G299" i="11"/>
  <c r="F299" i="11"/>
  <c r="E299" i="11"/>
  <c r="Z298" i="11"/>
  <c r="Y298" i="11"/>
  <c r="X298" i="11"/>
  <c r="W298" i="11"/>
  <c r="V298" i="11"/>
  <c r="U298" i="11"/>
  <c r="T298" i="11"/>
  <c r="S298" i="11"/>
  <c r="S300" i="11" s="1"/>
  <c r="R298" i="11"/>
  <c r="Q298" i="11"/>
  <c r="P298" i="11"/>
  <c r="O298" i="11"/>
  <c r="N298" i="11"/>
  <c r="M298" i="11"/>
  <c r="L298" i="11"/>
  <c r="K298" i="11"/>
  <c r="J298" i="11"/>
  <c r="I298" i="11"/>
  <c r="H298" i="11"/>
  <c r="G298" i="11"/>
  <c r="F298" i="11"/>
  <c r="E298" i="11"/>
  <c r="B298" i="11"/>
  <c r="U295" i="11"/>
  <c r="S295" i="11"/>
  <c r="Q295" i="11"/>
  <c r="O295" i="11"/>
  <c r="M295" i="11"/>
  <c r="K295" i="11"/>
  <c r="I295" i="11"/>
  <c r="G295" i="11"/>
  <c r="F295" i="11"/>
  <c r="E295" i="11"/>
  <c r="Z294" i="11"/>
  <c r="Y294" i="11"/>
  <c r="X294" i="11"/>
  <c r="W294" i="11"/>
  <c r="V294" i="11"/>
  <c r="U294" i="11"/>
  <c r="T294" i="11"/>
  <c r="S294" i="11"/>
  <c r="R294" i="11"/>
  <c r="Q294" i="11"/>
  <c r="P294" i="11"/>
  <c r="O294" i="11"/>
  <c r="N294" i="11"/>
  <c r="M294" i="11"/>
  <c r="L294" i="11"/>
  <c r="K294" i="11"/>
  <c r="J294" i="11"/>
  <c r="I294" i="11"/>
  <c r="H294" i="11"/>
  <c r="G294" i="11"/>
  <c r="F294" i="11"/>
  <c r="E294" i="11"/>
  <c r="B294" i="11"/>
  <c r="F291" i="11"/>
  <c r="E291" i="11"/>
  <c r="Z290" i="11"/>
  <c r="Y290" i="11"/>
  <c r="X290" i="11"/>
  <c r="W290" i="11"/>
  <c r="V290" i="11"/>
  <c r="U290" i="11"/>
  <c r="T290" i="11"/>
  <c r="S290" i="11"/>
  <c r="R290" i="11"/>
  <c r="Q290" i="11"/>
  <c r="P290" i="11"/>
  <c r="O290" i="11"/>
  <c r="N290" i="11"/>
  <c r="M290" i="11"/>
  <c r="L290" i="11"/>
  <c r="K290" i="11"/>
  <c r="J290" i="11"/>
  <c r="I290" i="11"/>
  <c r="H290" i="11"/>
  <c r="G290" i="11"/>
  <c r="F290" i="11"/>
  <c r="E290" i="11"/>
  <c r="B290" i="11"/>
  <c r="U287" i="11"/>
  <c r="S287" i="11"/>
  <c r="Q287" i="11"/>
  <c r="O287" i="11"/>
  <c r="M287" i="11"/>
  <c r="K287" i="11"/>
  <c r="I287" i="11"/>
  <c r="G287" i="11"/>
  <c r="F287" i="11"/>
  <c r="E287" i="11"/>
  <c r="Z286" i="11"/>
  <c r="Y286" i="11"/>
  <c r="X286" i="11"/>
  <c r="W286" i="11"/>
  <c r="V286" i="11"/>
  <c r="U286" i="11"/>
  <c r="T286" i="11"/>
  <c r="S286" i="11"/>
  <c r="S288" i="11" s="1"/>
  <c r="R286" i="11"/>
  <c r="Q286" i="11"/>
  <c r="P286" i="11"/>
  <c r="O286" i="11"/>
  <c r="N286" i="11"/>
  <c r="M286" i="11"/>
  <c r="L286" i="11"/>
  <c r="K286" i="11"/>
  <c r="J286" i="11"/>
  <c r="I286" i="11"/>
  <c r="H286" i="11"/>
  <c r="G286" i="11"/>
  <c r="F286" i="11"/>
  <c r="E286" i="11"/>
  <c r="B286" i="11"/>
  <c r="F283" i="11"/>
  <c r="E283" i="11"/>
  <c r="Z282" i="11"/>
  <c r="Y282" i="11"/>
  <c r="X282" i="11"/>
  <c r="W282" i="11"/>
  <c r="V282" i="11"/>
  <c r="U282" i="11"/>
  <c r="T282" i="11"/>
  <c r="S282" i="11"/>
  <c r="R282" i="11"/>
  <c r="Q282" i="11"/>
  <c r="P282" i="11"/>
  <c r="O282" i="11"/>
  <c r="N282" i="11"/>
  <c r="M282" i="11"/>
  <c r="L282" i="11"/>
  <c r="K282" i="11"/>
  <c r="J282" i="11"/>
  <c r="I282" i="11"/>
  <c r="H282" i="11"/>
  <c r="G282" i="11"/>
  <c r="F282" i="11"/>
  <c r="E282" i="11"/>
  <c r="B282" i="11"/>
  <c r="Z279" i="11"/>
  <c r="Y279" i="11"/>
  <c r="X279" i="11"/>
  <c r="W279" i="11"/>
  <c r="V279" i="11"/>
  <c r="U279" i="11"/>
  <c r="T279" i="11"/>
  <c r="S279" i="11"/>
  <c r="R279" i="11"/>
  <c r="Q279" i="11"/>
  <c r="P279" i="11"/>
  <c r="O279" i="11"/>
  <c r="N279" i="11"/>
  <c r="M279" i="11"/>
  <c r="L279" i="11"/>
  <c r="K279" i="11"/>
  <c r="J279" i="11"/>
  <c r="I279" i="11"/>
  <c r="H279" i="11"/>
  <c r="G279" i="11"/>
  <c r="F279" i="11"/>
  <c r="E279" i="11"/>
  <c r="Z278" i="11"/>
  <c r="Y278" i="11"/>
  <c r="X278" i="11"/>
  <c r="W278" i="11"/>
  <c r="V278" i="11"/>
  <c r="U278" i="11"/>
  <c r="T278" i="11"/>
  <c r="S278" i="11"/>
  <c r="R278" i="11"/>
  <c r="Q278" i="11"/>
  <c r="P278" i="11"/>
  <c r="O278" i="11"/>
  <c r="N278" i="11"/>
  <c r="M278" i="11"/>
  <c r="L278" i="11"/>
  <c r="K278" i="11"/>
  <c r="J278" i="11"/>
  <c r="I278" i="11"/>
  <c r="H278" i="11"/>
  <c r="G278" i="11"/>
  <c r="F278" i="11"/>
  <c r="E278" i="11"/>
  <c r="B278" i="11"/>
  <c r="Z275" i="11"/>
  <c r="Y275" i="11"/>
  <c r="X275" i="11"/>
  <c r="W275" i="11"/>
  <c r="V275" i="11"/>
  <c r="U275" i="11"/>
  <c r="T275" i="11"/>
  <c r="S275" i="11"/>
  <c r="R275" i="11"/>
  <c r="Q275" i="11"/>
  <c r="P275" i="11"/>
  <c r="O275" i="11"/>
  <c r="N275" i="11"/>
  <c r="M275" i="11"/>
  <c r="L275" i="11"/>
  <c r="K275" i="11"/>
  <c r="J275" i="11"/>
  <c r="I275" i="11"/>
  <c r="H275" i="11"/>
  <c r="G275" i="11"/>
  <c r="F275" i="11"/>
  <c r="E275" i="11"/>
  <c r="Z274" i="11"/>
  <c r="Y274" i="11"/>
  <c r="X274" i="11"/>
  <c r="W274" i="11"/>
  <c r="V274" i="11"/>
  <c r="U274" i="11"/>
  <c r="T274" i="11"/>
  <c r="S274" i="11"/>
  <c r="R274" i="11"/>
  <c r="Q274" i="11"/>
  <c r="P274" i="11"/>
  <c r="O274" i="11"/>
  <c r="N274" i="11"/>
  <c r="M274" i="11"/>
  <c r="L274" i="11"/>
  <c r="K274" i="11"/>
  <c r="J274" i="11"/>
  <c r="I274" i="11"/>
  <c r="H274" i="11"/>
  <c r="G274" i="11"/>
  <c r="F274" i="11"/>
  <c r="E274" i="11"/>
  <c r="B274" i="11"/>
  <c r="Z270" i="11"/>
  <c r="Y270" i="11"/>
  <c r="X270" i="11"/>
  <c r="W270" i="11"/>
  <c r="V270" i="11"/>
  <c r="U270" i="11"/>
  <c r="T270" i="11"/>
  <c r="S270" i="11"/>
  <c r="R270" i="11"/>
  <c r="Q270" i="11"/>
  <c r="P270" i="11"/>
  <c r="O270" i="11"/>
  <c r="N270" i="11"/>
  <c r="M270" i="11"/>
  <c r="L270" i="11"/>
  <c r="K270" i="11"/>
  <c r="J270" i="11"/>
  <c r="I270" i="11"/>
  <c r="H270" i="11"/>
  <c r="G270" i="11"/>
  <c r="F270" i="11"/>
  <c r="E270" i="11"/>
  <c r="B270" i="11"/>
  <c r="Z267" i="11"/>
  <c r="Y267" i="11"/>
  <c r="X267" i="11"/>
  <c r="W267" i="11"/>
  <c r="V267" i="11"/>
  <c r="U267" i="11"/>
  <c r="T267" i="11"/>
  <c r="S267" i="11"/>
  <c r="R267" i="11"/>
  <c r="Q267" i="11"/>
  <c r="P267" i="11"/>
  <c r="O267" i="11"/>
  <c r="N267" i="11"/>
  <c r="M267" i="11"/>
  <c r="L267" i="11"/>
  <c r="K267" i="11"/>
  <c r="J267" i="11"/>
  <c r="I267" i="11"/>
  <c r="H267" i="11"/>
  <c r="G267" i="11"/>
  <c r="F267" i="11"/>
  <c r="E267" i="11"/>
  <c r="Z266" i="11"/>
  <c r="Y266" i="11"/>
  <c r="X266" i="11"/>
  <c r="W266" i="11"/>
  <c r="V266" i="11"/>
  <c r="U266" i="11"/>
  <c r="T266" i="11"/>
  <c r="S266" i="11"/>
  <c r="R266" i="11"/>
  <c r="Q266" i="11"/>
  <c r="P266" i="11"/>
  <c r="O266" i="11"/>
  <c r="N266" i="11"/>
  <c r="M266" i="11"/>
  <c r="L266" i="11"/>
  <c r="K266" i="11"/>
  <c r="J266" i="11"/>
  <c r="I266" i="11"/>
  <c r="H266" i="11"/>
  <c r="G266" i="11"/>
  <c r="F266" i="11"/>
  <c r="E266" i="11"/>
  <c r="B266" i="11"/>
  <c r="Z259" i="11"/>
  <c r="Y259" i="11"/>
  <c r="X259" i="11"/>
  <c r="W259" i="11"/>
  <c r="V259" i="11"/>
  <c r="U259" i="11"/>
  <c r="T259" i="11"/>
  <c r="S259" i="11"/>
  <c r="R259" i="11"/>
  <c r="Q259" i="11"/>
  <c r="P259" i="11"/>
  <c r="O259" i="11"/>
  <c r="N259" i="11"/>
  <c r="M259" i="11"/>
  <c r="L259" i="11"/>
  <c r="K259" i="11"/>
  <c r="J259" i="11"/>
  <c r="I259" i="11"/>
  <c r="H259" i="11"/>
  <c r="G259" i="11"/>
  <c r="F259" i="11"/>
  <c r="E259" i="11"/>
  <c r="Z258" i="11"/>
  <c r="Y258" i="11"/>
  <c r="X258" i="11"/>
  <c r="W258" i="11"/>
  <c r="V258" i="11"/>
  <c r="U258" i="11"/>
  <c r="T258" i="11"/>
  <c r="S258" i="11"/>
  <c r="R258" i="11"/>
  <c r="Q258" i="11"/>
  <c r="P258" i="11"/>
  <c r="O258" i="11"/>
  <c r="N258" i="11"/>
  <c r="M258" i="11"/>
  <c r="L258" i="11"/>
  <c r="K258" i="11"/>
  <c r="J258" i="11"/>
  <c r="I258" i="11"/>
  <c r="H258" i="11"/>
  <c r="G258" i="11"/>
  <c r="F258" i="11"/>
  <c r="E258" i="11"/>
  <c r="B258" i="11"/>
  <c r="Z255" i="11"/>
  <c r="Y255" i="11"/>
  <c r="X255" i="11"/>
  <c r="W255" i="11"/>
  <c r="V255" i="11"/>
  <c r="U255" i="11"/>
  <c r="T255" i="11"/>
  <c r="S255" i="11"/>
  <c r="R255" i="11"/>
  <c r="Q255" i="11"/>
  <c r="P255" i="11"/>
  <c r="O255" i="11"/>
  <c r="N255" i="11"/>
  <c r="M255" i="11"/>
  <c r="L255" i="11"/>
  <c r="K255" i="11"/>
  <c r="J255" i="11"/>
  <c r="I255" i="11"/>
  <c r="H255" i="11"/>
  <c r="G255" i="11"/>
  <c r="F255" i="11"/>
  <c r="E255" i="11"/>
  <c r="Z254" i="11"/>
  <c r="Y254" i="11"/>
  <c r="X254" i="11"/>
  <c r="W254" i="11"/>
  <c r="V254" i="11"/>
  <c r="U254" i="11"/>
  <c r="T254" i="11"/>
  <c r="S254" i="11"/>
  <c r="R254" i="11"/>
  <c r="Q254" i="11"/>
  <c r="P254" i="11"/>
  <c r="O254" i="11"/>
  <c r="N254" i="11"/>
  <c r="M254" i="11"/>
  <c r="L254" i="11"/>
  <c r="K254" i="11"/>
  <c r="J254" i="11"/>
  <c r="I254" i="11"/>
  <c r="H254" i="11"/>
  <c r="G254" i="11"/>
  <c r="F254" i="11"/>
  <c r="E254" i="11"/>
  <c r="B254" i="11"/>
  <c r="Z248" i="11"/>
  <c r="Y248" i="11"/>
  <c r="X248" i="11"/>
  <c r="W248" i="11"/>
  <c r="V248" i="11"/>
  <c r="U248" i="11"/>
  <c r="T248" i="11"/>
  <c r="S248" i="11"/>
  <c r="R248" i="11"/>
  <c r="Q248" i="11"/>
  <c r="P248" i="11"/>
  <c r="O248" i="11"/>
  <c r="N248" i="11"/>
  <c r="M248" i="11"/>
  <c r="L248" i="11"/>
  <c r="K248" i="11"/>
  <c r="J248" i="11"/>
  <c r="I248" i="11"/>
  <c r="H248" i="11"/>
  <c r="G248" i="11"/>
  <c r="F248" i="11"/>
  <c r="E248" i="11"/>
  <c r="B248" i="11"/>
  <c r="W243" i="11"/>
  <c r="Z242" i="11"/>
  <c r="Y242" i="11"/>
  <c r="X242" i="11"/>
  <c r="W242" i="11"/>
  <c r="V242" i="11"/>
  <c r="U242" i="11"/>
  <c r="T242" i="11"/>
  <c r="S242" i="11"/>
  <c r="R242" i="11"/>
  <c r="Q242" i="11"/>
  <c r="P242" i="11"/>
  <c r="O242" i="11"/>
  <c r="N242" i="11"/>
  <c r="M242" i="11"/>
  <c r="L242" i="11"/>
  <c r="K242" i="11"/>
  <c r="J242" i="11"/>
  <c r="I242" i="11"/>
  <c r="H242" i="11"/>
  <c r="G242" i="11"/>
  <c r="F242" i="11"/>
  <c r="E242" i="11"/>
  <c r="B242" i="11"/>
  <c r="S239" i="11"/>
  <c r="R239" i="11"/>
  <c r="Q239" i="11"/>
  <c r="P239" i="11"/>
  <c r="O239" i="11"/>
  <c r="N239" i="11"/>
  <c r="M239" i="11"/>
  <c r="L239" i="11"/>
  <c r="K239" i="11"/>
  <c r="J239" i="11"/>
  <c r="I239" i="11"/>
  <c r="H239" i="11"/>
  <c r="G239" i="11"/>
  <c r="F239" i="11"/>
  <c r="E239" i="11"/>
  <c r="Z238" i="11"/>
  <c r="Y238" i="11"/>
  <c r="X238" i="11"/>
  <c r="W238" i="11"/>
  <c r="V238" i="11"/>
  <c r="U238" i="11"/>
  <c r="T238" i="11"/>
  <c r="S238" i="11"/>
  <c r="R238" i="11"/>
  <c r="Q238" i="11"/>
  <c r="P238" i="11"/>
  <c r="O238" i="11"/>
  <c r="N238" i="11"/>
  <c r="M238" i="11"/>
  <c r="L238" i="11"/>
  <c r="K238" i="11"/>
  <c r="J238" i="11"/>
  <c r="I238" i="11"/>
  <c r="H238" i="11"/>
  <c r="G238" i="11"/>
  <c r="F238" i="11"/>
  <c r="E238" i="11"/>
  <c r="B238" i="11"/>
  <c r="Z235" i="11"/>
  <c r="Y235" i="11"/>
  <c r="X235" i="11"/>
  <c r="W235" i="11"/>
  <c r="Z234" i="11"/>
  <c r="Y234" i="11"/>
  <c r="X234" i="11"/>
  <c r="W234" i="11"/>
  <c r="V234" i="11"/>
  <c r="U234" i="11"/>
  <c r="T234" i="11"/>
  <c r="S234" i="11"/>
  <c r="R234" i="11"/>
  <c r="Q234" i="11"/>
  <c r="P234" i="11"/>
  <c r="O234" i="11"/>
  <c r="N234" i="11"/>
  <c r="M234" i="11"/>
  <c r="L234" i="11"/>
  <c r="K234" i="11"/>
  <c r="J234" i="11"/>
  <c r="I234" i="11"/>
  <c r="H234" i="11"/>
  <c r="G234" i="11"/>
  <c r="F234" i="11"/>
  <c r="E234" i="11"/>
  <c r="B234" i="11"/>
  <c r="Y229" i="11"/>
  <c r="X229" i="11"/>
  <c r="W229" i="11"/>
  <c r="Z228" i="11"/>
  <c r="Y228" i="11"/>
  <c r="X228" i="11"/>
  <c r="W228" i="11"/>
  <c r="V228" i="11"/>
  <c r="U228" i="11"/>
  <c r="T228" i="11"/>
  <c r="S228" i="11"/>
  <c r="R228" i="11"/>
  <c r="Q228" i="11"/>
  <c r="P228" i="11"/>
  <c r="O228" i="11"/>
  <c r="N228" i="11"/>
  <c r="M228" i="11"/>
  <c r="L228" i="11"/>
  <c r="K228" i="11"/>
  <c r="J228" i="11"/>
  <c r="I228" i="11"/>
  <c r="H228" i="11"/>
  <c r="G228" i="11"/>
  <c r="F228" i="11"/>
  <c r="E228" i="11"/>
  <c r="B228" i="11"/>
  <c r="S225" i="11"/>
  <c r="P225" i="11"/>
  <c r="N225" i="11"/>
  <c r="L225" i="11"/>
  <c r="K225" i="11"/>
  <c r="J225" i="11"/>
  <c r="H225" i="11"/>
  <c r="F225" i="11"/>
  <c r="Z224" i="11"/>
  <c r="Y224" i="11"/>
  <c r="X224" i="11"/>
  <c r="W224" i="11"/>
  <c r="V224" i="11"/>
  <c r="U224" i="11"/>
  <c r="T224" i="11"/>
  <c r="S224" i="11"/>
  <c r="R224" i="11"/>
  <c r="Q224" i="11"/>
  <c r="P224" i="11"/>
  <c r="O224" i="11"/>
  <c r="N224" i="11"/>
  <c r="M224" i="11"/>
  <c r="L224" i="11"/>
  <c r="K224" i="11"/>
  <c r="J224" i="11"/>
  <c r="I224" i="11"/>
  <c r="H224" i="11"/>
  <c r="G224" i="11"/>
  <c r="F224" i="11"/>
  <c r="E224" i="11"/>
  <c r="B224" i="11"/>
  <c r="Z221" i="11"/>
  <c r="Y221" i="11"/>
  <c r="X221" i="11"/>
  <c r="W221" i="11"/>
  <c r="V221" i="11"/>
  <c r="U221" i="11"/>
  <c r="T221" i="11"/>
  <c r="S221" i="11"/>
  <c r="R221" i="11"/>
  <c r="Q221" i="11"/>
  <c r="P221" i="11"/>
  <c r="O221" i="11"/>
  <c r="N221" i="11"/>
  <c r="M221" i="11"/>
  <c r="L221" i="11"/>
  <c r="K221" i="11"/>
  <c r="J221" i="11"/>
  <c r="I221" i="11"/>
  <c r="H221" i="11"/>
  <c r="G221" i="11"/>
  <c r="F221" i="11"/>
  <c r="Z220" i="11"/>
  <c r="Y220" i="11"/>
  <c r="X220" i="11"/>
  <c r="W220" i="11"/>
  <c r="V220" i="11"/>
  <c r="U220" i="11"/>
  <c r="T220" i="11"/>
  <c r="S220" i="11"/>
  <c r="R220" i="11"/>
  <c r="Q220" i="11"/>
  <c r="P220" i="11"/>
  <c r="O220" i="11"/>
  <c r="N220" i="11"/>
  <c r="M220" i="11"/>
  <c r="L220" i="11"/>
  <c r="K220" i="11"/>
  <c r="J220" i="11"/>
  <c r="I220" i="11"/>
  <c r="H220" i="11"/>
  <c r="G220" i="11"/>
  <c r="F220" i="11"/>
  <c r="E220" i="11"/>
  <c r="B220" i="11"/>
  <c r="Z216" i="11"/>
  <c r="Y216" i="11"/>
  <c r="X216" i="11"/>
  <c r="W216" i="11"/>
  <c r="V216" i="11"/>
  <c r="U216" i="11"/>
  <c r="T216" i="11"/>
  <c r="S216" i="11"/>
  <c r="R216" i="11"/>
  <c r="Q216" i="11"/>
  <c r="P216" i="11"/>
  <c r="O216" i="11"/>
  <c r="N216" i="11"/>
  <c r="M216" i="11"/>
  <c r="L216" i="11"/>
  <c r="K216" i="11"/>
  <c r="J216" i="11"/>
  <c r="I216" i="11"/>
  <c r="H216" i="11"/>
  <c r="G216" i="11"/>
  <c r="F216" i="11"/>
  <c r="E216" i="11"/>
  <c r="Z215" i="11"/>
  <c r="Y215" i="11"/>
  <c r="X215" i="11"/>
  <c r="W215" i="11"/>
  <c r="V215" i="11"/>
  <c r="U215" i="11"/>
  <c r="T215" i="11"/>
  <c r="S215" i="11"/>
  <c r="R215" i="11"/>
  <c r="Q215" i="11"/>
  <c r="P215" i="11"/>
  <c r="O215" i="11"/>
  <c r="N215" i="11"/>
  <c r="M215" i="11"/>
  <c r="L215" i="11"/>
  <c r="K215" i="11"/>
  <c r="J215" i="11"/>
  <c r="I215" i="11"/>
  <c r="H215" i="11"/>
  <c r="G215" i="11"/>
  <c r="F215" i="11"/>
  <c r="E215" i="11"/>
  <c r="B215" i="11"/>
  <c r="Z208" i="11"/>
  <c r="Y208" i="11"/>
  <c r="X208" i="11"/>
  <c r="W208" i="11"/>
  <c r="V208" i="11"/>
  <c r="U208" i="11"/>
  <c r="T208" i="11"/>
  <c r="S208" i="11"/>
  <c r="R208" i="11"/>
  <c r="Q208" i="11"/>
  <c r="P208" i="11"/>
  <c r="O208" i="11"/>
  <c r="N208" i="11"/>
  <c r="M208" i="11"/>
  <c r="L208" i="11"/>
  <c r="K208" i="11"/>
  <c r="J208" i="11"/>
  <c r="I208" i="11"/>
  <c r="H208" i="11"/>
  <c r="G208" i="11"/>
  <c r="F208" i="11"/>
  <c r="E208" i="11"/>
  <c r="Z207" i="11"/>
  <c r="Y207" i="11"/>
  <c r="X207" i="11"/>
  <c r="W207" i="11"/>
  <c r="V207" i="11"/>
  <c r="U207" i="11"/>
  <c r="T207" i="11"/>
  <c r="S207" i="11"/>
  <c r="R207" i="11"/>
  <c r="Q207" i="11"/>
  <c r="P207" i="11"/>
  <c r="O207" i="11"/>
  <c r="N207" i="11"/>
  <c r="M207" i="11"/>
  <c r="L207" i="11"/>
  <c r="K207" i="11"/>
  <c r="J207" i="11"/>
  <c r="I207" i="11"/>
  <c r="H207" i="11"/>
  <c r="G207" i="11"/>
  <c r="F207" i="11"/>
  <c r="E207" i="11"/>
  <c r="B207" i="11"/>
  <c r="Z204" i="11"/>
  <c r="Y204" i="11"/>
  <c r="X204" i="11"/>
  <c r="W204" i="11"/>
  <c r="V204" i="11"/>
  <c r="U204" i="11"/>
  <c r="T204" i="11"/>
  <c r="S204" i="11"/>
  <c r="R204" i="11"/>
  <c r="Q204" i="11"/>
  <c r="P204" i="11"/>
  <c r="O204" i="11"/>
  <c r="N204" i="11"/>
  <c r="M204" i="11"/>
  <c r="L204" i="11"/>
  <c r="K204" i="11"/>
  <c r="J204" i="11"/>
  <c r="I204" i="11"/>
  <c r="H204" i="11"/>
  <c r="G204" i="11"/>
  <c r="F204" i="11"/>
  <c r="E204" i="11"/>
  <c r="Z203" i="11"/>
  <c r="Y203" i="11"/>
  <c r="X203" i="11"/>
  <c r="W203" i="11"/>
  <c r="V203" i="11"/>
  <c r="U203" i="11"/>
  <c r="T203" i="11"/>
  <c r="S203" i="11"/>
  <c r="R203" i="11"/>
  <c r="Q203" i="11"/>
  <c r="P203" i="11"/>
  <c r="O203" i="11"/>
  <c r="N203" i="11"/>
  <c r="M203" i="11"/>
  <c r="L203" i="11"/>
  <c r="K203" i="11"/>
  <c r="J203" i="11"/>
  <c r="I203" i="11"/>
  <c r="H203" i="11"/>
  <c r="G203" i="11"/>
  <c r="F203" i="11"/>
  <c r="E203" i="11"/>
  <c r="B203" i="11"/>
  <c r="Z198" i="11"/>
  <c r="Y198" i="11"/>
  <c r="X198" i="11"/>
  <c r="W198" i="11"/>
  <c r="V198" i="11"/>
  <c r="U198" i="11"/>
  <c r="T198" i="11"/>
  <c r="S198" i="11"/>
  <c r="R198" i="11"/>
  <c r="Q198" i="11"/>
  <c r="P198" i="11"/>
  <c r="O198" i="11"/>
  <c r="N198" i="11"/>
  <c r="M198" i="11"/>
  <c r="L198" i="11"/>
  <c r="K198" i="11"/>
  <c r="J198" i="11"/>
  <c r="I198" i="11"/>
  <c r="H198" i="11"/>
  <c r="G198" i="11"/>
  <c r="F198" i="11"/>
  <c r="E198" i="11"/>
  <c r="Z197" i="11"/>
  <c r="Y197" i="11"/>
  <c r="X197" i="11"/>
  <c r="W197" i="11"/>
  <c r="V197" i="11"/>
  <c r="U197" i="11"/>
  <c r="T197" i="11"/>
  <c r="S197" i="11"/>
  <c r="R197" i="11"/>
  <c r="Q197" i="11"/>
  <c r="P197" i="11"/>
  <c r="O197" i="11"/>
  <c r="N197" i="11"/>
  <c r="M197" i="11"/>
  <c r="L197" i="11"/>
  <c r="K197" i="11"/>
  <c r="J197" i="11"/>
  <c r="I197" i="11"/>
  <c r="H197" i="11"/>
  <c r="G197" i="11"/>
  <c r="F197" i="11"/>
  <c r="E197" i="11"/>
  <c r="B197" i="11"/>
  <c r="Z192" i="11"/>
  <c r="Y192" i="11"/>
  <c r="X192" i="11"/>
  <c r="W192" i="11"/>
  <c r="V192" i="11"/>
  <c r="U192" i="11"/>
  <c r="T192" i="11"/>
  <c r="S192" i="11"/>
  <c r="R192" i="11"/>
  <c r="Q192" i="11"/>
  <c r="P192" i="11"/>
  <c r="O192" i="11"/>
  <c r="N192" i="11"/>
  <c r="M192" i="11"/>
  <c r="L192" i="11"/>
  <c r="K192" i="11"/>
  <c r="J192" i="11"/>
  <c r="I192" i="11"/>
  <c r="H192" i="11"/>
  <c r="G192" i="11"/>
  <c r="F192" i="11"/>
  <c r="E192" i="11"/>
  <c r="Z191" i="11"/>
  <c r="Y191" i="11"/>
  <c r="X191" i="11"/>
  <c r="W191" i="11"/>
  <c r="V191" i="11"/>
  <c r="U191" i="11"/>
  <c r="T191" i="11"/>
  <c r="S191" i="11"/>
  <c r="R191" i="11"/>
  <c r="Q191" i="11"/>
  <c r="P191" i="11"/>
  <c r="O191" i="11"/>
  <c r="N191" i="11"/>
  <c r="M191" i="11"/>
  <c r="L191" i="11"/>
  <c r="K191" i="11"/>
  <c r="J191" i="11"/>
  <c r="I191" i="11"/>
  <c r="H191" i="11"/>
  <c r="G191" i="11"/>
  <c r="F191" i="11"/>
  <c r="E191" i="11"/>
  <c r="B191" i="11"/>
  <c r="Z188" i="11"/>
  <c r="Y188" i="11"/>
  <c r="X188" i="11"/>
  <c r="W188" i="11"/>
  <c r="V188" i="11"/>
  <c r="U188" i="11"/>
  <c r="T188" i="11"/>
  <c r="S188" i="11"/>
  <c r="R188" i="11"/>
  <c r="Q188" i="11"/>
  <c r="P188" i="11"/>
  <c r="O188" i="11"/>
  <c r="N188" i="11"/>
  <c r="M188" i="11"/>
  <c r="L188" i="11"/>
  <c r="K188" i="11"/>
  <c r="J188" i="11"/>
  <c r="I188" i="11"/>
  <c r="H188" i="11"/>
  <c r="G188" i="11"/>
  <c r="F188" i="11"/>
  <c r="E188" i="11"/>
  <c r="Z187" i="11"/>
  <c r="Y187" i="11"/>
  <c r="X187" i="11"/>
  <c r="W187" i="11"/>
  <c r="V187" i="11"/>
  <c r="U187" i="11"/>
  <c r="T187" i="11"/>
  <c r="S187" i="11"/>
  <c r="R187" i="11"/>
  <c r="Q187" i="11"/>
  <c r="P187" i="11"/>
  <c r="O187" i="11"/>
  <c r="N187" i="11"/>
  <c r="M187" i="11"/>
  <c r="L187" i="11"/>
  <c r="K187" i="11"/>
  <c r="J187" i="11"/>
  <c r="I187" i="11"/>
  <c r="H187" i="11"/>
  <c r="G187" i="11"/>
  <c r="F187" i="11"/>
  <c r="E187" i="11"/>
  <c r="B187" i="11"/>
  <c r="Z184" i="11"/>
  <c r="Y184" i="11"/>
  <c r="X184" i="11"/>
  <c r="W184" i="11"/>
  <c r="V184" i="11"/>
  <c r="U184" i="11"/>
  <c r="T184" i="11"/>
  <c r="S184" i="11"/>
  <c r="R184" i="11"/>
  <c r="Q184" i="11"/>
  <c r="P184" i="11"/>
  <c r="O184" i="11"/>
  <c r="N184" i="11"/>
  <c r="M184" i="11"/>
  <c r="L184" i="11"/>
  <c r="K184" i="11"/>
  <c r="J184" i="11"/>
  <c r="I184" i="11"/>
  <c r="H184" i="11"/>
  <c r="G184" i="11"/>
  <c r="F184" i="11"/>
  <c r="E184" i="11"/>
  <c r="Z183" i="11"/>
  <c r="Y183" i="11"/>
  <c r="X183" i="11"/>
  <c r="W183" i="11"/>
  <c r="V183" i="11"/>
  <c r="U183" i="11"/>
  <c r="T183" i="11"/>
  <c r="S183" i="11"/>
  <c r="R183" i="11"/>
  <c r="Q183" i="11"/>
  <c r="P183" i="11"/>
  <c r="O183" i="11"/>
  <c r="N183" i="11"/>
  <c r="M183" i="11"/>
  <c r="L183" i="11"/>
  <c r="K183" i="11"/>
  <c r="J183" i="11"/>
  <c r="I183" i="11"/>
  <c r="H183" i="11"/>
  <c r="G183" i="11"/>
  <c r="F183" i="11"/>
  <c r="E183" i="11"/>
  <c r="B183" i="11"/>
  <c r="Z178" i="11"/>
  <c r="Y178" i="11"/>
  <c r="X178" i="11"/>
  <c r="W178" i="11"/>
  <c r="V178" i="11"/>
  <c r="U178" i="11"/>
  <c r="T178" i="11"/>
  <c r="S178" i="11"/>
  <c r="R178" i="11"/>
  <c r="Q178" i="11"/>
  <c r="P178" i="11"/>
  <c r="O178" i="11"/>
  <c r="N178" i="11"/>
  <c r="M178" i="11"/>
  <c r="L178" i="11"/>
  <c r="K178" i="11"/>
  <c r="J178" i="11"/>
  <c r="I178" i="11"/>
  <c r="H178" i="11"/>
  <c r="G178" i="11"/>
  <c r="F178" i="11"/>
  <c r="E178" i="11"/>
  <c r="Z177" i="11"/>
  <c r="Y177" i="11"/>
  <c r="X177" i="11"/>
  <c r="W177" i="11"/>
  <c r="V177" i="11"/>
  <c r="U177" i="11"/>
  <c r="T177" i="11"/>
  <c r="S177" i="11"/>
  <c r="R177" i="11"/>
  <c r="Q177" i="11"/>
  <c r="P177" i="11"/>
  <c r="O177" i="11"/>
  <c r="N177" i="11"/>
  <c r="M177" i="11"/>
  <c r="L177" i="11"/>
  <c r="K177" i="11"/>
  <c r="J177" i="11"/>
  <c r="I177" i="11"/>
  <c r="H177" i="11"/>
  <c r="G177" i="11"/>
  <c r="F177" i="11"/>
  <c r="E177" i="11"/>
  <c r="B177" i="11"/>
  <c r="Z174" i="11"/>
  <c r="Y174" i="11"/>
  <c r="X174" i="11"/>
  <c r="W174" i="11"/>
  <c r="V174" i="11"/>
  <c r="U174" i="11"/>
  <c r="T174" i="11"/>
  <c r="S174" i="11"/>
  <c r="R174" i="11"/>
  <c r="Q174" i="11"/>
  <c r="P174" i="11"/>
  <c r="O174" i="11"/>
  <c r="N174" i="11"/>
  <c r="M174" i="11"/>
  <c r="L174" i="11"/>
  <c r="K174" i="11"/>
  <c r="J174" i="11"/>
  <c r="I174" i="11"/>
  <c r="H174" i="11"/>
  <c r="G174" i="11"/>
  <c r="F174" i="11"/>
  <c r="E174" i="11"/>
  <c r="Z173" i="11"/>
  <c r="Y173" i="11"/>
  <c r="X173" i="11"/>
  <c r="W173" i="11"/>
  <c r="V173" i="11"/>
  <c r="U173" i="11"/>
  <c r="T173" i="11"/>
  <c r="S173" i="11"/>
  <c r="R173" i="11"/>
  <c r="Q173" i="11"/>
  <c r="P173" i="11"/>
  <c r="O173" i="11"/>
  <c r="N173" i="11"/>
  <c r="M173" i="11"/>
  <c r="L173" i="11"/>
  <c r="K173" i="11"/>
  <c r="J173" i="11"/>
  <c r="I173" i="11"/>
  <c r="H173" i="11"/>
  <c r="G173" i="11"/>
  <c r="F173" i="11"/>
  <c r="E173" i="11"/>
  <c r="B173" i="11"/>
  <c r="Z170" i="11"/>
  <c r="Y170" i="11"/>
  <c r="X170" i="11"/>
  <c r="W170" i="11"/>
  <c r="V170" i="11"/>
  <c r="U170" i="11"/>
  <c r="T170" i="11"/>
  <c r="S170" i="11"/>
  <c r="R170" i="11"/>
  <c r="Q170" i="11"/>
  <c r="P170" i="11"/>
  <c r="O170" i="11"/>
  <c r="N170" i="11"/>
  <c r="M170" i="11"/>
  <c r="L170" i="11"/>
  <c r="K170" i="11"/>
  <c r="J170" i="11"/>
  <c r="I170" i="11"/>
  <c r="H170" i="11"/>
  <c r="G170" i="11"/>
  <c r="F170" i="11"/>
  <c r="E170" i="11"/>
  <c r="Z169" i="11"/>
  <c r="Y169" i="11"/>
  <c r="X169" i="11"/>
  <c r="W169" i="11"/>
  <c r="V169" i="11"/>
  <c r="U169" i="11"/>
  <c r="T169" i="11"/>
  <c r="S169" i="11"/>
  <c r="R169" i="11"/>
  <c r="Q169" i="11"/>
  <c r="P169" i="11"/>
  <c r="O169" i="11"/>
  <c r="N169" i="11"/>
  <c r="M169" i="11"/>
  <c r="L169" i="11"/>
  <c r="K169" i="11"/>
  <c r="J169" i="11"/>
  <c r="I169" i="11"/>
  <c r="H169" i="11"/>
  <c r="G169" i="11"/>
  <c r="F169" i="11"/>
  <c r="E169" i="11"/>
  <c r="B169" i="11"/>
  <c r="Z162" i="11"/>
  <c r="Y162" i="11"/>
  <c r="X162" i="11"/>
  <c r="W162" i="11"/>
  <c r="V162" i="11"/>
  <c r="U162" i="11"/>
  <c r="T162" i="11"/>
  <c r="S162" i="11"/>
  <c r="R162" i="11"/>
  <c r="Q162" i="11"/>
  <c r="P162" i="11"/>
  <c r="O162" i="11"/>
  <c r="N162" i="11"/>
  <c r="M162" i="11"/>
  <c r="L162" i="11"/>
  <c r="K162" i="11"/>
  <c r="J162" i="11"/>
  <c r="I162" i="11"/>
  <c r="H162" i="11"/>
  <c r="G162" i="11"/>
  <c r="F162" i="11"/>
  <c r="E162" i="11"/>
  <c r="Z161" i="11"/>
  <c r="Y161" i="11"/>
  <c r="X161" i="11"/>
  <c r="W161" i="11"/>
  <c r="V161" i="11"/>
  <c r="U161" i="11"/>
  <c r="T161" i="11"/>
  <c r="S161" i="11"/>
  <c r="R161" i="11"/>
  <c r="Q161" i="11"/>
  <c r="P161" i="11"/>
  <c r="O161" i="11"/>
  <c r="N161" i="11"/>
  <c r="M161" i="11"/>
  <c r="L161" i="11"/>
  <c r="K161" i="11"/>
  <c r="J161" i="11"/>
  <c r="I161" i="11"/>
  <c r="H161" i="11"/>
  <c r="G161" i="11"/>
  <c r="F161" i="11"/>
  <c r="E161" i="11"/>
  <c r="B161" i="11"/>
  <c r="Z158" i="11"/>
  <c r="Y158" i="11"/>
  <c r="X158" i="11"/>
  <c r="W158" i="11"/>
  <c r="V158" i="11"/>
  <c r="U158" i="11"/>
  <c r="T158" i="11"/>
  <c r="S158" i="11"/>
  <c r="R158" i="11"/>
  <c r="Q158" i="11"/>
  <c r="P158" i="11"/>
  <c r="O158" i="11"/>
  <c r="N158" i="11"/>
  <c r="M158" i="11"/>
  <c r="L158" i="11"/>
  <c r="K158" i="11"/>
  <c r="J158" i="11"/>
  <c r="I158" i="11"/>
  <c r="H158" i="11"/>
  <c r="G158" i="11"/>
  <c r="F158" i="11"/>
  <c r="E158" i="11"/>
  <c r="Z157" i="11"/>
  <c r="Y157" i="11"/>
  <c r="X157" i="11"/>
  <c r="W157" i="11"/>
  <c r="V157" i="11"/>
  <c r="U157" i="11"/>
  <c r="T157" i="11"/>
  <c r="S157" i="11"/>
  <c r="R157" i="11"/>
  <c r="Q157" i="11"/>
  <c r="P157" i="11"/>
  <c r="O157" i="11"/>
  <c r="N157" i="11"/>
  <c r="M157" i="11"/>
  <c r="L157" i="11"/>
  <c r="K157" i="11"/>
  <c r="J157" i="11"/>
  <c r="I157" i="11"/>
  <c r="H157" i="11"/>
  <c r="G157" i="11"/>
  <c r="F157" i="11"/>
  <c r="E157" i="11"/>
  <c r="B157" i="11"/>
  <c r="Z151" i="11"/>
  <c r="Y151" i="11"/>
  <c r="X151" i="11"/>
  <c r="W151" i="11"/>
  <c r="V151" i="11"/>
  <c r="U151" i="11"/>
  <c r="T151" i="11"/>
  <c r="S151" i="11"/>
  <c r="R151" i="11"/>
  <c r="Q151" i="11"/>
  <c r="P151" i="11"/>
  <c r="O151" i="11"/>
  <c r="N151" i="11"/>
  <c r="M151" i="11"/>
  <c r="L151" i="11"/>
  <c r="K151" i="11"/>
  <c r="J151" i="11"/>
  <c r="I151" i="11"/>
  <c r="H151" i="11"/>
  <c r="G151" i="11"/>
  <c r="F151" i="11"/>
  <c r="E151" i="11"/>
  <c r="B151" i="11"/>
  <c r="Z145" i="11"/>
  <c r="Y145" i="11"/>
  <c r="X145" i="11"/>
  <c r="W145" i="11"/>
  <c r="V145" i="11"/>
  <c r="U145" i="11"/>
  <c r="T145" i="11"/>
  <c r="S145" i="11"/>
  <c r="R145" i="11"/>
  <c r="Q145" i="11"/>
  <c r="P145" i="11"/>
  <c r="O145" i="11"/>
  <c r="N145" i="11"/>
  <c r="M145" i="11"/>
  <c r="L145" i="11"/>
  <c r="K145" i="11"/>
  <c r="J145" i="11"/>
  <c r="I145" i="11"/>
  <c r="H145" i="11"/>
  <c r="G145" i="11"/>
  <c r="F145" i="11"/>
  <c r="E145" i="11"/>
  <c r="B145" i="11"/>
  <c r="Z142" i="11"/>
  <c r="Y142" i="11"/>
  <c r="X142" i="11"/>
  <c r="W142" i="11"/>
  <c r="V142" i="11"/>
  <c r="U142" i="11"/>
  <c r="T142" i="11"/>
  <c r="S142" i="11"/>
  <c r="R142" i="11"/>
  <c r="Q142" i="11"/>
  <c r="P142" i="11"/>
  <c r="O142" i="11"/>
  <c r="N142" i="11"/>
  <c r="M142" i="11"/>
  <c r="L142" i="11"/>
  <c r="K142" i="11"/>
  <c r="J142" i="11"/>
  <c r="I142" i="11"/>
  <c r="H142" i="11"/>
  <c r="G142" i="11"/>
  <c r="F142" i="11"/>
  <c r="E142" i="11"/>
  <c r="Z141" i="11"/>
  <c r="Y141" i="11"/>
  <c r="X141" i="11"/>
  <c r="W141" i="11"/>
  <c r="V141" i="11"/>
  <c r="U141" i="11"/>
  <c r="T141" i="11"/>
  <c r="S141" i="11"/>
  <c r="R141" i="11"/>
  <c r="Q141" i="11"/>
  <c r="P141" i="11"/>
  <c r="O141" i="11"/>
  <c r="N141" i="11"/>
  <c r="M141" i="11"/>
  <c r="L141" i="11"/>
  <c r="K141" i="11"/>
  <c r="J141" i="11"/>
  <c r="I141" i="11"/>
  <c r="H141" i="11"/>
  <c r="G141" i="11"/>
  <c r="F141" i="11"/>
  <c r="E141" i="11"/>
  <c r="B141" i="11"/>
  <c r="Y138" i="11"/>
  <c r="X138" i="11"/>
  <c r="W138" i="11"/>
  <c r="Z137" i="11"/>
  <c r="Y137" i="11"/>
  <c r="X137" i="11"/>
  <c r="W137" i="11"/>
  <c r="V137" i="11"/>
  <c r="U137" i="11"/>
  <c r="T137" i="11"/>
  <c r="S137" i="11"/>
  <c r="R137" i="11"/>
  <c r="Q137" i="11"/>
  <c r="P137" i="11"/>
  <c r="O137" i="11"/>
  <c r="N137" i="11"/>
  <c r="M137" i="11"/>
  <c r="L137" i="11"/>
  <c r="K137" i="11"/>
  <c r="J137" i="11"/>
  <c r="I137" i="11"/>
  <c r="H137" i="11"/>
  <c r="G137" i="11"/>
  <c r="F137" i="11"/>
  <c r="E137" i="11"/>
  <c r="B137" i="11"/>
  <c r="Z131" i="11"/>
  <c r="Y131" i="11"/>
  <c r="X131" i="11"/>
  <c r="W131" i="11"/>
  <c r="V131" i="11"/>
  <c r="U131" i="11"/>
  <c r="T131" i="11"/>
  <c r="S131" i="11"/>
  <c r="R131" i="11"/>
  <c r="Q131" i="11"/>
  <c r="P131" i="11"/>
  <c r="O131" i="11"/>
  <c r="N131" i="11"/>
  <c r="M131" i="11"/>
  <c r="L131" i="11"/>
  <c r="K131" i="11"/>
  <c r="J131" i="11"/>
  <c r="I131" i="11"/>
  <c r="H131" i="11"/>
  <c r="G131" i="11"/>
  <c r="F131" i="11"/>
  <c r="E131" i="11"/>
  <c r="B131" i="11"/>
  <c r="Z128" i="11"/>
  <c r="Y128" i="11"/>
  <c r="X128" i="11"/>
  <c r="W128" i="11"/>
  <c r="V128" i="11"/>
  <c r="U128" i="11"/>
  <c r="T128" i="11"/>
  <c r="S128" i="11"/>
  <c r="R128" i="11"/>
  <c r="Q128" i="11"/>
  <c r="P128" i="11"/>
  <c r="O128" i="11"/>
  <c r="N128" i="11"/>
  <c r="M128" i="11"/>
  <c r="L128" i="11"/>
  <c r="J128" i="11"/>
  <c r="H128" i="11"/>
  <c r="F128" i="11"/>
  <c r="Z127" i="11"/>
  <c r="Y127" i="11"/>
  <c r="X127" i="11"/>
  <c r="W127" i="11"/>
  <c r="V127" i="11"/>
  <c r="U127" i="11"/>
  <c r="T127" i="11"/>
  <c r="S127" i="11"/>
  <c r="R127" i="11"/>
  <c r="Q127" i="11"/>
  <c r="P127" i="11"/>
  <c r="O127" i="11"/>
  <c r="N127" i="11"/>
  <c r="M127" i="11"/>
  <c r="L127" i="11"/>
  <c r="K127" i="11"/>
  <c r="J127" i="11"/>
  <c r="I127" i="11"/>
  <c r="H127" i="11"/>
  <c r="G127" i="11"/>
  <c r="F127" i="11"/>
  <c r="E127" i="11"/>
  <c r="B127" i="11"/>
  <c r="Z123" i="11"/>
  <c r="Y123" i="11"/>
  <c r="X123" i="11"/>
  <c r="W123" i="11"/>
  <c r="V123" i="11"/>
  <c r="U123" i="11"/>
  <c r="T123" i="11"/>
  <c r="S123" i="11"/>
  <c r="R123" i="11"/>
  <c r="Q123" i="11"/>
  <c r="P123" i="11"/>
  <c r="O123" i="11"/>
  <c r="N123" i="11"/>
  <c r="M123" i="11"/>
  <c r="L123" i="11"/>
  <c r="K123" i="11"/>
  <c r="J123" i="11"/>
  <c r="I123" i="11"/>
  <c r="H123" i="11"/>
  <c r="G123" i="11"/>
  <c r="F123" i="11"/>
  <c r="E123" i="11"/>
  <c r="B123" i="11"/>
  <c r="Z116" i="11"/>
  <c r="Y116" i="11"/>
  <c r="X116" i="11"/>
  <c r="W116" i="11"/>
  <c r="V116" i="11"/>
  <c r="U116" i="11"/>
  <c r="T116" i="11"/>
  <c r="S116" i="11"/>
  <c r="R116" i="11"/>
  <c r="Q116" i="11"/>
  <c r="P116" i="11"/>
  <c r="O116" i="11"/>
  <c r="N116" i="11"/>
  <c r="M116" i="11"/>
  <c r="L116" i="11"/>
  <c r="K116" i="11"/>
  <c r="J116" i="11"/>
  <c r="I116" i="11"/>
  <c r="H116" i="11"/>
  <c r="G116" i="11"/>
  <c r="F116" i="11"/>
  <c r="E116" i="11"/>
  <c r="Z115" i="11"/>
  <c r="Y115" i="11"/>
  <c r="X115" i="11"/>
  <c r="W115" i="11"/>
  <c r="V115" i="11"/>
  <c r="U115" i="11"/>
  <c r="T115" i="11"/>
  <c r="S115" i="11"/>
  <c r="R115" i="11"/>
  <c r="Q115" i="11"/>
  <c r="P115" i="11"/>
  <c r="O115" i="11"/>
  <c r="N115" i="11"/>
  <c r="M115" i="11"/>
  <c r="L115" i="11"/>
  <c r="K115" i="11"/>
  <c r="J115" i="11"/>
  <c r="I115" i="11"/>
  <c r="H115" i="11"/>
  <c r="G115" i="11"/>
  <c r="F115" i="11"/>
  <c r="E115" i="11"/>
  <c r="B115" i="11"/>
  <c r="Z112" i="11"/>
  <c r="Y112" i="11"/>
  <c r="X112" i="11"/>
  <c r="W112" i="11"/>
  <c r="V112" i="11"/>
  <c r="U112" i="11"/>
  <c r="T112" i="11"/>
  <c r="S112" i="11"/>
  <c r="R112" i="11"/>
  <c r="Q112" i="11"/>
  <c r="P112" i="11"/>
  <c r="O112" i="11"/>
  <c r="N112" i="11"/>
  <c r="M112" i="11"/>
  <c r="L112" i="11"/>
  <c r="K112" i="11"/>
  <c r="J112" i="11"/>
  <c r="I112" i="11"/>
  <c r="H112" i="11"/>
  <c r="G112" i="11"/>
  <c r="F112" i="11"/>
  <c r="E112" i="11"/>
  <c r="Z111" i="11"/>
  <c r="Y111" i="11"/>
  <c r="X111" i="11"/>
  <c r="W111" i="11"/>
  <c r="V111" i="11"/>
  <c r="U111" i="11"/>
  <c r="T111" i="11"/>
  <c r="S111" i="11"/>
  <c r="R111" i="11"/>
  <c r="Q111" i="11"/>
  <c r="P111" i="11"/>
  <c r="O111" i="11"/>
  <c r="N111" i="11"/>
  <c r="M111" i="11"/>
  <c r="L111" i="11"/>
  <c r="K111" i="11"/>
  <c r="J111" i="11"/>
  <c r="I111" i="11"/>
  <c r="H111" i="11"/>
  <c r="G111" i="11"/>
  <c r="F111" i="11"/>
  <c r="E111" i="11"/>
  <c r="B111" i="11"/>
  <c r="Z105" i="11"/>
  <c r="Y105" i="11"/>
  <c r="X105" i="11"/>
  <c r="W105" i="11"/>
  <c r="V105" i="11"/>
  <c r="U105" i="11"/>
  <c r="T105" i="11"/>
  <c r="S105" i="11"/>
  <c r="R105" i="11"/>
  <c r="Q105" i="11"/>
  <c r="P105" i="11"/>
  <c r="O105" i="11"/>
  <c r="N105" i="11"/>
  <c r="M105" i="11"/>
  <c r="L105" i="11"/>
  <c r="K105" i="11"/>
  <c r="J105" i="11"/>
  <c r="I105" i="11"/>
  <c r="H105" i="11"/>
  <c r="G105" i="11"/>
  <c r="F105" i="11"/>
  <c r="E105" i="11"/>
  <c r="B105" i="11"/>
  <c r="X100" i="11"/>
  <c r="W100" i="11"/>
  <c r="Z99" i="11"/>
  <c r="Y99" i="11"/>
  <c r="X99" i="11"/>
  <c r="W99" i="11"/>
  <c r="V99" i="11"/>
  <c r="U99" i="11"/>
  <c r="T99" i="11"/>
  <c r="S99" i="11"/>
  <c r="R99" i="11"/>
  <c r="Q99" i="11"/>
  <c r="P99" i="11"/>
  <c r="O99" i="11"/>
  <c r="N99" i="11"/>
  <c r="M99" i="11"/>
  <c r="L99" i="11"/>
  <c r="K99" i="11"/>
  <c r="J99" i="11"/>
  <c r="I99" i="11"/>
  <c r="H99" i="11"/>
  <c r="G99" i="11"/>
  <c r="F99" i="11"/>
  <c r="E99" i="11"/>
  <c r="B99" i="11"/>
  <c r="S96" i="11"/>
  <c r="R96" i="11"/>
  <c r="Q96" i="11"/>
  <c r="P96" i="11"/>
  <c r="O96" i="11"/>
  <c r="N96" i="11"/>
  <c r="M96" i="11"/>
  <c r="L96" i="11"/>
  <c r="K96" i="11"/>
  <c r="J96" i="11"/>
  <c r="I96" i="11"/>
  <c r="H96" i="11"/>
  <c r="G96" i="11"/>
  <c r="F96" i="11"/>
  <c r="E96" i="11"/>
  <c r="Z95" i="11"/>
  <c r="Y95" i="11"/>
  <c r="X95" i="11"/>
  <c r="W95" i="11"/>
  <c r="V95" i="11"/>
  <c r="U95" i="11"/>
  <c r="T95" i="11"/>
  <c r="S95" i="11"/>
  <c r="R95" i="11"/>
  <c r="Q95" i="11"/>
  <c r="P95" i="11"/>
  <c r="O95" i="11"/>
  <c r="N95" i="11"/>
  <c r="M95" i="11"/>
  <c r="L95" i="11"/>
  <c r="K95" i="11"/>
  <c r="J95" i="11"/>
  <c r="I95" i="11"/>
  <c r="H95" i="11"/>
  <c r="G95" i="11"/>
  <c r="F95" i="11"/>
  <c r="E95" i="11"/>
  <c r="B95" i="11"/>
  <c r="Y92" i="11"/>
  <c r="X92" i="11"/>
  <c r="W92" i="11"/>
  <c r="Z91" i="11"/>
  <c r="Y91" i="11"/>
  <c r="X91" i="11"/>
  <c r="W91" i="11"/>
  <c r="V91" i="11"/>
  <c r="U91" i="11"/>
  <c r="T91" i="11"/>
  <c r="S91" i="11"/>
  <c r="R91" i="11"/>
  <c r="Q91" i="11"/>
  <c r="P91" i="11"/>
  <c r="O91" i="11"/>
  <c r="N91" i="11"/>
  <c r="M91" i="11"/>
  <c r="L91" i="11"/>
  <c r="K91" i="11"/>
  <c r="J91" i="11"/>
  <c r="I91" i="11"/>
  <c r="H91" i="11"/>
  <c r="G91" i="11"/>
  <c r="F91" i="11"/>
  <c r="E91" i="11"/>
  <c r="B91" i="11"/>
  <c r="W86" i="11"/>
  <c r="Z85" i="11"/>
  <c r="Y85" i="11"/>
  <c r="X85" i="11"/>
  <c r="W85" i="11"/>
  <c r="V85" i="11"/>
  <c r="U85" i="11"/>
  <c r="T85" i="11"/>
  <c r="S85" i="11"/>
  <c r="R85" i="11"/>
  <c r="Q85" i="11"/>
  <c r="P85" i="11"/>
  <c r="O85" i="11"/>
  <c r="N85" i="11"/>
  <c r="M85" i="11"/>
  <c r="L85" i="11"/>
  <c r="K85" i="11"/>
  <c r="J85" i="11"/>
  <c r="I85" i="11"/>
  <c r="H85" i="11"/>
  <c r="G85" i="11"/>
  <c r="F85" i="11"/>
  <c r="E85" i="11"/>
  <c r="B85" i="11"/>
  <c r="S82" i="11"/>
  <c r="R82" i="11"/>
  <c r="Q82" i="11"/>
  <c r="P82" i="11"/>
  <c r="O82" i="11"/>
  <c r="N82" i="11"/>
  <c r="M82" i="11"/>
  <c r="L82" i="11"/>
  <c r="K82" i="11"/>
  <c r="J82" i="11"/>
  <c r="I82" i="11"/>
  <c r="H82" i="11"/>
  <c r="G82" i="11"/>
  <c r="F82" i="11"/>
  <c r="E82" i="11"/>
  <c r="Z81" i="11"/>
  <c r="Y81" i="11"/>
  <c r="X81" i="11"/>
  <c r="W81" i="11"/>
  <c r="V81" i="11"/>
  <c r="U81" i="11"/>
  <c r="T81" i="11"/>
  <c r="S81" i="11"/>
  <c r="R81" i="11"/>
  <c r="Q81" i="11"/>
  <c r="P81" i="11"/>
  <c r="O81" i="11"/>
  <c r="N81" i="11"/>
  <c r="M81" i="11"/>
  <c r="L81" i="11"/>
  <c r="K81" i="11"/>
  <c r="J81" i="11"/>
  <c r="I81" i="11"/>
  <c r="H81" i="11"/>
  <c r="G81" i="11"/>
  <c r="F81" i="11"/>
  <c r="E81" i="11"/>
  <c r="B81" i="11"/>
  <c r="Y78" i="11"/>
  <c r="X78" i="11"/>
  <c r="W78" i="11"/>
  <c r="Z77" i="11"/>
  <c r="Y77" i="11"/>
  <c r="X77" i="11"/>
  <c r="W77" i="11"/>
  <c r="V77" i="11"/>
  <c r="U77" i="11"/>
  <c r="T77" i="11"/>
  <c r="S77" i="11"/>
  <c r="R77" i="11"/>
  <c r="Q77" i="11"/>
  <c r="P77" i="11"/>
  <c r="O77" i="11"/>
  <c r="N77" i="11"/>
  <c r="M77" i="11"/>
  <c r="L77" i="11"/>
  <c r="K77" i="11"/>
  <c r="J77" i="11"/>
  <c r="I77" i="11"/>
  <c r="H77" i="11"/>
  <c r="G77" i="11"/>
  <c r="F77" i="11"/>
  <c r="E77" i="11"/>
  <c r="B77" i="11"/>
  <c r="Z70" i="11"/>
  <c r="Y70" i="11"/>
  <c r="X70" i="11"/>
  <c r="W70" i="11"/>
  <c r="V70" i="11"/>
  <c r="U70" i="11"/>
  <c r="T70" i="11"/>
  <c r="S70" i="11"/>
  <c r="R70" i="11"/>
  <c r="Q70" i="11"/>
  <c r="P70" i="11"/>
  <c r="O70" i="11"/>
  <c r="N70" i="11"/>
  <c r="M70" i="11"/>
  <c r="L70" i="11"/>
  <c r="K70" i="11"/>
  <c r="J70" i="11"/>
  <c r="I70" i="11"/>
  <c r="H70" i="11"/>
  <c r="G70" i="11"/>
  <c r="F70" i="11"/>
  <c r="E70" i="11"/>
  <c r="Z69" i="11"/>
  <c r="Y69" i="11"/>
  <c r="X69" i="11"/>
  <c r="W69" i="11"/>
  <c r="V69" i="11"/>
  <c r="U69" i="11"/>
  <c r="T69" i="11"/>
  <c r="S69" i="11"/>
  <c r="R69" i="11"/>
  <c r="Q69" i="11"/>
  <c r="P69" i="11"/>
  <c r="O69" i="11"/>
  <c r="N69" i="11"/>
  <c r="M69" i="11"/>
  <c r="L69" i="11"/>
  <c r="K69" i="11"/>
  <c r="J69" i="11"/>
  <c r="I69" i="11"/>
  <c r="H69" i="11"/>
  <c r="G69" i="11"/>
  <c r="F69" i="11"/>
  <c r="E69" i="11"/>
  <c r="B69" i="11"/>
  <c r="Z66" i="11"/>
  <c r="Y66" i="11"/>
  <c r="X66" i="11"/>
  <c r="W66" i="11"/>
  <c r="V66" i="11"/>
  <c r="U66" i="11"/>
  <c r="T66" i="11"/>
  <c r="S66" i="11"/>
  <c r="R66" i="11"/>
  <c r="Q66" i="11"/>
  <c r="P66" i="11"/>
  <c r="O66" i="11"/>
  <c r="N66" i="11"/>
  <c r="M66" i="11"/>
  <c r="L66" i="11"/>
  <c r="K66" i="11"/>
  <c r="J66" i="11"/>
  <c r="I66" i="11"/>
  <c r="H66" i="11"/>
  <c r="G66" i="11"/>
  <c r="F66" i="11"/>
  <c r="E66" i="11"/>
  <c r="Z65" i="11"/>
  <c r="Y65" i="11"/>
  <c r="X65" i="11"/>
  <c r="W65" i="11"/>
  <c r="V65" i="11"/>
  <c r="U65" i="11"/>
  <c r="T65" i="11"/>
  <c r="S65" i="11"/>
  <c r="R65" i="11"/>
  <c r="Q65" i="11"/>
  <c r="P65" i="11"/>
  <c r="O65" i="11"/>
  <c r="N65" i="11"/>
  <c r="M65" i="11"/>
  <c r="L65" i="11"/>
  <c r="K65" i="11"/>
  <c r="J65" i="11"/>
  <c r="I65" i="11"/>
  <c r="H65" i="11"/>
  <c r="G65" i="11"/>
  <c r="F65" i="11"/>
  <c r="E65" i="11"/>
  <c r="B65" i="11"/>
  <c r="Z62" i="11"/>
  <c r="Y62" i="11"/>
  <c r="X62" i="11"/>
  <c r="W62" i="11"/>
  <c r="V62" i="11"/>
  <c r="U62" i="11"/>
  <c r="T62" i="11"/>
  <c r="S62" i="11"/>
  <c r="R62" i="11"/>
  <c r="Q62" i="11"/>
  <c r="P62" i="11"/>
  <c r="O62" i="11"/>
  <c r="N62" i="11"/>
  <c r="M62" i="11"/>
  <c r="L62" i="11"/>
  <c r="K62" i="11"/>
  <c r="J62" i="11"/>
  <c r="I62" i="11"/>
  <c r="H62" i="11"/>
  <c r="G62" i="11"/>
  <c r="F62" i="11"/>
  <c r="E62" i="11"/>
  <c r="Z61" i="11"/>
  <c r="Y61" i="11"/>
  <c r="X61" i="11"/>
  <c r="W61" i="11"/>
  <c r="V61" i="11"/>
  <c r="U61" i="11"/>
  <c r="T61" i="11"/>
  <c r="S61" i="11"/>
  <c r="R61" i="11"/>
  <c r="Q61" i="11"/>
  <c r="P61" i="11"/>
  <c r="O61" i="11"/>
  <c r="N61" i="11"/>
  <c r="M61" i="11"/>
  <c r="L61" i="11"/>
  <c r="K61" i="11"/>
  <c r="J61" i="11"/>
  <c r="I61" i="11"/>
  <c r="H61" i="11"/>
  <c r="G61" i="11"/>
  <c r="F61" i="11"/>
  <c r="E61" i="11"/>
  <c r="B61" i="11"/>
  <c r="Z58" i="11"/>
  <c r="Y58" i="11"/>
  <c r="X58" i="11"/>
  <c r="W58" i="11"/>
  <c r="V58" i="11"/>
  <c r="U58" i="11"/>
  <c r="T58" i="11"/>
  <c r="S58" i="11"/>
  <c r="R58" i="11"/>
  <c r="Q58" i="11"/>
  <c r="P58" i="11"/>
  <c r="O58" i="11"/>
  <c r="N58" i="11"/>
  <c r="M58" i="11"/>
  <c r="L58" i="11"/>
  <c r="K58" i="11"/>
  <c r="J58" i="11"/>
  <c r="I58" i="11"/>
  <c r="H58" i="11"/>
  <c r="G58" i="11"/>
  <c r="F58" i="11"/>
  <c r="E58" i="11"/>
  <c r="Z57" i="11"/>
  <c r="Y57" i="11"/>
  <c r="X57" i="11"/>
  <c r="W57" i="11"/>
  <c r="V57" i="11"/>
  <c r="U57" i="11"/>
  <c r="T57" i="11"/>
  <c r="S57" i="11"/>
  <c r="R57" i="11"/>
  <c r="Q57" i="11"/>
  <c r="P57" i="11"/>
  <c r="O57" i="11"/>
  <c r="N57" i="11"/>
  <c r="M57" i="11"/>
  <c r="L57" i="11"/>
  <c r="K57" i="11"/>
  <c r="J57" i="11"/>
  <c r="I57" i="11"/>
  <c r="H57" i="11"/>
  <c r="G57" i="11"/>
  <c r="F57" i="11"/>
  <c r="E57" i="11"/>
  <c r="B57" i="11"/>
  <c r="Z54" i="11"/>
  <c r="Y54" i="11"/>
  <c r="X54" i="11"/>
  <c r="W54" i="11"/>
  <c r="V54" i="11"/>
  <c r="U54" i="11"/>
  <c r="T54" i="11"/>
  <c r="S54" i="11"/>
  <c r="R54" i="11"/>
  <c r="Q54" i="11"/>
  <c r="P54" i="11"/>
  <c r="O54" i="11"/>
  <c r="N54" i="11"/>
  <c r="M54" i="11"/>
  <c r="L54" i="11"/>
  <c r="K54" i="11"/>
  <c r="J54" i="11"/>
  <c r="I54" i="11"/>
  <c r="H54" i="11"/>
  <c r="G54" i="11"/>
  <c r="F54" i="11"/>
  <c r="E54" i="11"/>
  <c r="Z53" i="11"/>
  <c r="Y53" i="11"/>
  <c r="X53" i="11"/>
  <c r="W53" i="11"/>
  <c r="V53" i="11"/>
  <c r="U53" i="11"/>
  <c r="T53" i="11"/>
  <c r="S53" i="11"/>
  <c r="R53" i="11"/>
  <c r="Q53" i="11"/>
  <c r="P53" i="11"/>
  <c r="O53" i="11"/>
  <c r="N53" i="11"/>
  <c r="M53" i="11"/>
  <c r="L53" i="11"/>
  <c r="K53" i="11"/>
  <c r="J53" i="11"/>
  <c r="I53" i="11"/>
  <c r="H53" i="11"/>
  <c r="G53" i="11"/>
  <c r="F53" i="11"/>
  <c r="E53" i="11"/>
  <c r="B53" i="11"/>
  <c r="Z50" i="11"/>
  <c r="Y50" i="11"/>
  <c r="X50" i="11"/>
  <c r="W50" i="11"/>
  <c r="V50" i="11"/>
  <c r="U50" i="11"/>
  <c r="T50" i="11"/>
  <c r="S50" i="11"/>
  <c r="R50" i="11"/>
  <c r="Q50" i="11"/>
  <c r="P50" i="11"/>
  <c r="O50" i="11"/>
  <c r="N50" i="11"/>
  <c r="M50" i="11"/>
  <c r="L50" i="11"/>
  <c r="K50" i="11"/>
  <c r="J50" i="11"/>
  <c r="I50" i="11"/>
  <c r="H50" i="11"/>
  <c r="G50" i="11"/>
  <c r="F50" i="11"/>
  <c r="E50" i="11"/>
  <c r="Z49" i="11"/>
  <c r="Y49" i="11"/>
  <c r="X49" i="11"/>
  <c r="W49" i="11"/>
  <c r="V49" i="11"/>
  <c r="U49" i="11"/>
  <c r="T49" i="11"/>
  <c r="S49" i="11"/>
  <c r="R49" i="11"/>
  <c r="Q49" i="11"/>
  <c r="P49" i="11"/>
  <c r="O49" i="11"/>
  <c r="N49" i="11"/>
  <c r="M49" i="11"/>
  <c r="L49" i="11"/>
  <c r="K49" i="11"/>
  <c r="J49" i="11"/>
  <c r="I49" i="11"/>
  <c r="H49" i="11"/>
  <c r="G49" i="11"/>
  <c r="F49" i="11"/>
  <c r="E49" i="11"/>
  <c r="B49" i="11"/>
  <c r="Z46" i="11"/>
  <c r="Y46" i="11"/>
  <c r="X46" i="11"/>
  <c r="W46" i="11"/>
  <c r="V46" i="11"/>
  <c r="U46" i="11"/>
  <c r="T46" i="11"/>
  <c r="S46" i="11"/>
  <c r="R46" i="11"/>
  <c r="Q46" i="11"/>
  <c r="P46" i="11"/>
  <c r="O46" i="11"/>
  <c r="N46" i="11"/>
  <c r="M46" i="11"/>
  <c r="L46" i="11"/>
  <c r="K46" i="11"/>
  <c r="J46" i="11"/>
  <c r="I46" i="11"/>
  <c r="H46" i="11"/>
  <c r="G46" i="11"/>
  <c r="F46" i="11"/>
  <c r="E46" i="11"/>
  <c r="Z45" i="11"/>
  <c r="Y45" i="11"/>
  <c r="X45" i="11"/>
  <c r="W45" i="11"/>
  <c r="V45" i="11"/>
  <c r="U45" i="11"/>
  <c r="T45" i="11"/>
  <c r="S45" i="11"/>
  <c r="R45" i="11"/>
  <c r="Q45" i="11"/>
  <c r="P45" i="11"/>
  <c r="O45" i="11"/>
  <c r="N45" i="11"/>
  <c r="M45" i="11"/>
  <c r="L45" i="11"/>
  <c r="K45" i="11"/>
  <c r="J45" i="11"/>
  <c r="I45" i="11"/>
  <c r="H45" i="11"/>
  <c r="G45" i="11"/>
  <c r="F45" i="11"/>
  <c r="E45" i="11"/>
  <c r="B45" i="11"/>
  <c r="Z42" i="11"/>
  <c r="Y42" i="11"/>
  <c r="X42" i="11"/>
  <c r="W42" i="11"/>
  <c r="V42" i="11"/>
  <c r="U42" i="11"/>
  <c r="T42" i="11"/>
  <c r="S42" i="11"/>
  <c r="R42" i="11"/>
  <c r="Q42" i="11"/>
  <c r="P42" i="11"/>
  <c r="O42" i="11"/>
  <c r="N42" i="11"/>
  <c r="M42" i="11"/>
  <c r="L42" i="11"/>
  <c r="K42" i="11"/>
  <c r="J42" i="11"/>
  <c r="I42" i="11"/>
  <c r="H42" i="11"/>
  <c r="G42" i="11"/>
  <c r="F42" i="11"/>
  <c r="E42" i="11"/>
  <c r="Z41" i="11"/>
  <c r="Y41" i="11"/>
  <c r="X41" i="11"/>
  <c r="W41" i="11"/>
  <c r="V41" i="11"/>
  <c r="U41" i="11"/>
  <c r="T41" i="11"/>
  <c r="S41" i="11"/>
  <c r="R41" i="11"/>
  <c r="Q41" i="11"/>
  <c r="P41" i="11"/>
  <c r="O41" i="11"/>
  <c r="N41" i="11"/>
  <c r="M41" i="11"/>
  <c r="L41" i="11"/>
  <c r="K41" i="11"/>
  <c r="J41" i="11"/>
  <c r="I41" i="11"/>
  <c r="H41" i="11"/>
  <c r="G41" i="11"/>
  <c r="F41" i="11"/>
  <c r="E41" i="11"/>
  <c r="B41" i="11"/>
  <c r="Z35" i="11"/>
  <c r="Y35" i="11"/>
  <c r="X35" i="11"/>
  <c r="W35" i="11"/>
  <c r="V35" i="11"/>
  <c r="U35" i="11"/>
  <c r="T35" i="11"/>
  <c r="S35" i="11"/>
  <c r="R35" i="11"/>
  <c r="Q35" i="11"/>
  <c r="P35" i="11"/>
  <c r="O35" i="11"/>
  <c r="N35" i="11"/>
  <c r="M35" i="11"/>
  <c r="L35" i="11"/>
  <c r="K35" i="11"/>
  <c r="J35" i="11"/>
  <c r="I35" i="11"/>
  <c r="H35" i="11"/>
  <c r="G35" i="11"/>
  <c r="F35" i="11"/>
  <c r="E35" i="11"/>
  <c r="Z34" i="11"/>
  <c r="Y34" i="11"/>
  <c r="X34" i="11"/>
  <c r="W34" i="11"/>
  <c r="V34" i="11"/>
  <c r="U34" i="11"/>
  <c r="T34" i="11"/>
  <c r="S34" i="11"/>
  <c r="R34" i="11"/>
  <c r="Q34" i="11"/>
  <c r="P34" i="11"/>
  <c r="O34" i="11"/>
  <c r="N34" i="11"/>
  <c r="M34" i="11"/>
  <c r="L34" i="11"/>
  <c r="K34" i="11"/>
  <c r="J34" i="11"/>
  <c r="I34" i="11"/>
  <c r="H34" i="11"/>
  <c r="G34" i="11"/>
  <c r="F34" i="11"/>
  <c r="E34" i="11"/>
  <c r="B34" i="11"/>
  <c r="Z31" i="11"/>
  <c r="Y31" i="11"/>
  <c r="X31" i="11"/>
  <c r="W31" i="11"/>
  <c r="V31" i="11"/>
  <c r="U31" i="11"/>
  <c r="T31" i="11"/>
  <c r="S31" i="11"/>
  <c r="R31" i="11"/>
  <c r="Q31" i="11"/>
  <c r="P31" i="11"/>
  <c r="O31" i="11"/>
  <c r="N31" i="11"/>
  <c r="M31" i="11"/>
  <c r="L31" i="11"/>
  <c r="K31" i="11"/>
  <c r="J31" i="11"/>
  <c r="I31" i="11"/>
  <c r="H31" i="11"/>
  <c r="G31" i="11"/>
  <c r="F31" i="11"/>
  <c r="E31" i="11"/>
  <c r="Z30" i="11"/>
  <c r="Y30" i="11"/>
  <c r="X30" i="11"/>
  <c r="W30" i="11"/>
  <c r="V30" i="11"/>
  <c r="U30" i="11"/>
  <c r="T30" i="11"/>
  <c r="S30" i="11"/>
  <c r="R30" i="11"/>
  <c r="Q30" i="11"/>
  <c r="P30" i="11"/>
  <c r="O30" i="11"/>
  <c r="N30" i="11"/>
  <c r="M30" i="11"/>
  <c r="L30" i="11"/>
  <c r="K30" i="11"/>
  <c r="J30" i="11"/>
  <c r="I30" i="11"/>
  <c r="H30" i="11"/>
  <c r="G30" i="11"/>
  <c r="F30" i="11"/>
  <c r="E30" i="11"/>
  <c r="B30" i="11"/>
  <c r="Z27" i="11"/>
  <c r="Y27" i="11"/>
  <c r="X27" i="11"/>
  <c r="W27" i="11"/>
  <c r="V27" i="11"/>
  <c r="U27" i="11"/>
  <c r="T27" i="11"/>
  <c r="S27" i="11"/>
  <c r="R27" i="11"/>
  <c r="Q27" i="11"/>
  <c r="P27" i="11"/>
  <c r="O27" i="11"/>
  <c r="N27" i="11"/>
  <c r="M27" i="11"/>
  <c r="L27" i="11"/>
  <c r="K27" i="11"/>
  <c r="J27" i="11"/>
  <c r="I27" i="11"/>
  <c r="H27" i="11"/>
  <c r="G27" i="11"/>
  <c r="F27" i="11"/>
  <c r="E27" i="11"/>
  <c r="Z26" i="11"/>
  <c r="Y26" i="11"/>
  <c r="X26" i="11"/>
  <c r="W26" i="11"/>
  <c r="V26" i="11"/>
  <c r="U26" i="11"/>
  <c r="T26" i="11"/>
  <c r="S26" i="11"/>
  <c r="R26" i="11"/>
  <c r="Q26" i="11"/>
  <c r="P26" i="11"/>
  <c r="O26" i="11"/>
  <c r="N26" i="11"/>
  <c r="M26" i="11"/>
  <c r="L26" i="11"/>
  <c r="K26" i="11"/>
  <c r="J26" i="11"/>
  <c r="I26" i="11"/>
  <c r="H26" i="11"/>
  <c r="G26" i="11"/>
  <c r="F26" i="11"/>
  <c r="E26" i="11"/>
  <c r="B26" i="11"/>
  <c r="Z23" i="11"/>
  <c r="Y23" i="11"/>
  <c r="X23" i="11"/>
  <c r="W23" i="11"/>
  <c r="V23" i="11"/>
  <c r="U23" i="11"/>
  <c r="T23" i="11"/>
  <c r="S23" i="11"/>
  <c r="R23" i="11"/>
  <c r="Q23" i="11"/>
  <c r="P23" i="11"/>
  <c r="O23" i="11"/>
  <c r="N23" i="11"/>
  <c r="M23" i="11"/>
  <c r="L23" i="11"/>
  <c r="K23" i="11"/>
  <c r="J23" i="11"/>
  <c r="I23" i="11"/>
  <c r="H23" i="11"/>
  <c r="G23" i="11"/>
  <c r="F23" i="11"/>
  <c r="E23" i="11"/>
  <c r="Z22" i="11"/>
  <c r="Y22" i="11"/>
  <c r="X22" i="11"/>
  <c r="W22" i="11"/>
  <c r="V22" i="11"/>
  <c r="U22" i="11"/>
  <c r="T22" i="11"/>
  <c r="S22" i="11"/>
  <c r="R22" i="11"/>
  <c r="Q22" i="11"/>
  <c r="P22" i="11"/>
  <c r="O22" i="11"/>
  <c r="N22" i="11"/>
  <c r="M22" i="11"/>
  <c r="L22" i="11"/>
  <c r="K22" i="11"/>
  <c r="J22" i="11"/>
  <c r="I22" i="11"/>
  <c r="H22" i="11"/>
  <c r="G22" i="11"/>
  <c r="F22" i="11"/>
  <c r="E22" i="11"/>
  <c r="B22" i="11"/>
  <c r="Z19" i="11"/>
  <c r="Y19" i="11"/>
  <c r="X19" i="11"/>
  <c r="W19" i="11"/>
  <c r="V19" i="11"/>
  <c r="U19" i="11"/>
  <c r="T19" i="11"/>
  <c r="S19" i="11"/>
  <c r="R19" i="11"/>
  <c r="Q19" i="11"/>
  <c r="P19" i="11"/>
  <c r="O19" i="11"/>
  <c r="N19" i="11"/>
  <c r="M19" i="11"/>
  <c r="L19" i="11"/>
  <c r="K19" i="11"/>
  <c r="J19" i="11"/>
  <c r="I19" i="11"/>
  <c r="H19" i="11"/>
  <c r="G19" i="11"/>
  <c r="F19" i="11"/>
  <c r="E19" i="11"/>
  <c r="Z18" i="11"/>
  <c r="Y18" i="11"/>
  <c r="X18" i="11"/>
  <c r="W18" i="11"/>
  <c r="V18" i="11"/>
  <c r="U18" i="11"/>
  <c r="T18" i="11"/>
  <c r="S18" i="11"/>
  <c r="R18" i="11"/>
  <c r="Q18" i="11"/>
  <c r="P18" i="11"/>
  <c r="O18" i="11"/>
  <c r="N18" i="11"/>
  <c r="M18" i="11"/>
  <c r="L18" i="11"/>
  <c r="K18" i="11"/>
  <c r="J18" i="11"/>
  <c r="I18" i="11"/>
  <c r="H18" i="11"/>
  <c r="G18" i="11"/>
  <c r="F18" i="11"/>
  <c r="E18" i="11"/>
  <c r="B18" i="11"/>
  <c r="Z15" i="11"/>
  <c r="Y15" i="11"/>
  <c r="X15" i="11"/>
  <c r="W15" i="11"/>
  <c r="V15" i="11"/>
  <c r="U15" i="11"/>
  <c r="T15" i="11"/>
  <c r="S15" i="11"/>
  <c r="R15" i="11"/>
  <c r="Q15" i="11"/>
  <c r="P15" i="11"/>
  <c r="O15" i="11"/>
  <c r="N15" i="11"/>
  <c r="M15" i="11"/>
  <c r="L15" i="11"/>
  <c r="K15" i="11"/>
  <c r="J15" i="11"/>
  <c r="I15" i="11"/>
  <c r="H15" i="11"/>
  <c r="G15" i="11"/>
  <c r="F15" i="11"/>
  <c r="E15" i="11"/>
  <c r="Z14" i="11"/>
  <c r="Y14" i="11"/>
  <c r="X14" i="11"/>
  <c r="W14" i="11"/>
  <c r="V14" i="11"/>
  <c r="U14" i="11"/>
  <c r="T14" i="11"/>
  <c r="S14" i="11"/>
  <c r="R14" i="11"/>
  <c r="Q14" i="11"/>
  <c r="P14" i="11"/>
  <c r="O14" i="11"/>
  <c r="N14" i="11"/>
  <c r="M14" i="11"/>
  <c r="L14" i="11"/>
  <c r="K14" i="11"/>
  <c r="J14" i="11"/>
  <c r="I14" i="11"/>
  <c r="H14" i="11"/>
  <c r="G14" i="11"/>
  <c r="F14" i="11"/>
  <c r="E14" i="11"/>
  <c r="B14" i="11"/>
  <c r="Z11" i="11"/>
  <c r="Y11" i="11"/>
  <c r="X11" i="11"/>
  <c r="W11" i="11"/>
  <c r="V11" i="11"/>
  <c r="U11" i="11"/>
  <c r="T11" i="11"/>
  <c r="S11" i="11"/>
  <c r="R11" i="11"/>
  <c r="Q11" i="11"/>
  <c r="P11" i="11"/>
  <c r="O11" i="11"/>
  <c r="N11" i="11"/>
  <c r="M11" i="11"/>
  <c r="L11" i="11"/>
  <c r="K11" i="11"/>
  <c r="J11" i="11"/>
  <c r="I11" i="11"/>
  <c r="H11" i="11"/>
  <c r="G11" i="11"/>
  <c r="F11" i="11"/>
  <c r="E11" i="11"/>
  <c r="Z10" i="11"/>
  <c r="Y10" i="11"/>
  <c r="X10" i="11"/>
  <c r="W10" i="11"/>
  <c r="V10" i="11"/>
  <c r="U10" i="11"/>
  <c r="T10" i="11"/>
  <c r="S10" i="11"/>
  <c r="R10" i="11"/>
  <c r="Q10" i="11"/>
  <c r="P10" i="11"/>
  <c r="O10" i="11"/>
  <c r="N10" i="11"/>
  <c r="M10" i="11"/>
  <c r="L10" i="11"/>
  <c r="K10" i="11"/>
  <c r="J10" i="11"/>
  <c r="I10" i="11"/>
  <c r="H10" i="11"/>
  <c r="G10" i="11"/>
  <c r="F10" i="11"/>
  <c r="E10" i="11"/>
  <c r="B10" i="11"/>
  <c r="BE5" i="11"/>
  <c r="BF5" i="11" s="1"/>
  <c r="BG5" i="11" s="1"/>
  <c r="BH5" i="11" s="1"/>
  <c r="BI5" i="11" s="1"/>
  <c r="BJ5" i="11" s="1"/>
  <c r="BK5" i="11" s="1"/>
  <c r="BL5" i="11" s="1"/>
  <c r="BM5" i="11" s="1"/>
  <c r="BN5" i="11" s="1"/>
  <c r="BO5" i="11" s="1"/>
  <c r="BP5" i="11" s="1"/>
  <c r="BQ5" i="11" s="1"/>
  <c r="BR5" i="11" s="1"/>
  <c r="BS5" i="11" s="1"/>
  <c r="BT5" i="11" s="1"/>
  <c r="BU5" i="11" s="1"/>
  <c r="BV5" i="11" s="1"/>
  <c r="BW5" i="11" s="1"/>
  <c r="BX5" i="11" s="1"/>
  <c r="BY5" i="11" s="1"/>
  <c r="AD5" i="11"/>
  <c r="AE5" i="11" s="1"/>
  <c r="AF5" i="11" s="1"/>
  <c r="AG5" i="11" s="1"/>
  <c r="AH5" i="11" s="1"/>
  <c r="AI5" i="11" s="1"/>
  <c r="AJ5" i="11" s="1"/>
  <c r="AK5" i="11" s="1"/>
  <c r="AL5" i="11" s="1"/>
  <c r="AM5" i="11" s="1"/>
  <c r="AN5" i="11" s="1"/>
  <c r="AO5" i="11" s="1"/>
  <c r="AP5" i="11" s="1"/>
  <c r="AQ5" i="11" s="1"/>
  <c r="AR5" i="11" s="1"/>
  <c r="AS5" i="11" s="1"/>
  <c r="AT5" i="11" s="1"/>
  <c r="AU5" i="11" s="1"/>
  <c r="AV5" i="11" s="1"/>
  <c r="AW5" i="11" s="1"/>
  <c r="AX5" i="11" s="1"/>
  <c r="F5" i="11"/>
  <c r="G5" i="11" s="1"/>
  <c r="H5" i="11" s="1"/>
  <c r="I5" i="11" s="1"/>
  <c r="J5" i="11" s="1"/>
  <c r="K5" i="11" s="1"/>
  <c r="L5" i="11" s="1"/>
  <c r="M5" i="11" s="1"/>
  <c r="N5" i="11" s="1"/>
  <c r="O5" i="11" s="1"/>
  <c r="P5" i="11" s="1"/>
  <c r="Q5" i="11" s="1"/>
  <c r="R5" i="11" s="1"/>
  <c r="S5" i="11" s="1"/>
  <c r="T5" i="11" s="1"/>
  <c r="U5" i="11" s="1"/>
  <c r="V5" i="11" s="1"/>
  <c r="W5" i="11" s="1"/>
  <c r="X5" i="11" s="1"/>
  <c r="Y5" i="11" s="1"/>
  <c r="Z5" i="11" s="1"/>
  <c r="BY1" i="11"/>
  <c r="BX1" i="11"/>
  <c r="BW1" i="11"/>
  <c r="BV1" i="11"/>
  <c r="BU1" i="11"/>
  <c r="BT1" i="11"/>
  <c r="BS1" i="11"/>
  <c r="BR1" i="11"/>
  <c r="BQ1" i="11"/>
  <c r="BP1" i="11"/>
  <c r="AX1" i="11"/>
  <c r="AW1" i="11"/>
  <c r="AV1" i="11"/>
  <c r="AU1" i="11"/>
  <c r="AT1" i="11"/>
  <c r="AS1" i="11"/>
  <c r="AR1" i="11"/>
  <c r="AQ1" i="11"/>
  <c r="AP1" i="11"/>
  <c r="AO1" i="11"/>
  <c r="H5" i="10"/>
  <c r="H7" i="10" s="1"/>
  <c r="H8" i="10" s="1"/>
  <c r="H10" i="10" s="1"/>
  <c r="M455" i="6"/>
  <c r="DK64" i="6"/>
  <c r="DJ64" i="6"/>
  <c r="DI64" i="6"/>
  <c r="DH64" i="6"/>
  <c r="DG64" i="6"/>
  <c r="CM59" i="6"/>
  <c r="CI59" i="6" s="1"/>
  <c r="CJ59" i="6" s="1"/>
  <c r="AB59" i="6"/>
  <c r="V59" i="6" s="1"/>
  <c r="W59" i="6" s="1"/>
  <c r="L59" i="6"/>
  <c r="BO59" i="6" s="1"/>
  <c r="J59" i="6"/>
  <c r="Q59" i="6" s="1"/>
  <c r="S59" i="6" s="1"/>
  <c r="H59" i="6"/>
  <c r="BK59" i="6" s="1"/>
  <c r="F59" i="6"/>
  <c r="BI59" i="6" s="1"/>
  <c r="CM58" i="6"/>
  <c r="CI58" i="6" s="1"/>
  <c r="CJ58" i="6" s="1"/>
  <c r="AB58" i="6"/>
  <c r="V58" i="6" s="1"/>
  <c r="W58" i="6" s="1"/>
  <c r="L58" i="6"/>
  <c r="BO58" i="6" s="1"/>
  <c r="J58" i="6"/>
  <c r="Q58" i="6" s="1"/>
  <c r="S58" i="6" s="1"/>
  <c r="H58" i="6"/>
  <c r="BK58" i="6" s="1"/>
  <c r="F58" i="6"/>
  <c r="BI58" i="6" s="1"/>
  <c r="CM57" i="6"/>
  <c r="CI57" i="6" s="1"/>
  <c r="CJ57" i="6" s="1"/>
  <c r="AB57" i="6"/>
  <c r="V57" i="6" s="1"/>
  <c r="W57" i="6" s="1"/>
  <c r="L57" i="6"/>
  <c r="BO57" i="6" s="1"/>
  <c r="J57" i="6"/>
  <c r="Q57" i="6" s="1"/>
  <c r="S57" i="6" s="1"/>
  <c r="H57" i="6"/>
  <c r="BK57" i="6" s="1"/>
  <c r="F57" i="6"/>
  <c r="BI57" i="6" s="1"/>
  <c r="CM54" i="6"/>
  <c r="CI54" i="6" s="1"/>
  <c r="CJ54" i="6" s="1"/>
  <c r="AB54" i="6"/>
  <c r="V54" i="6" s="1"/>
  <c r="W54" i="6" s="1"/>
  <c r="L54" i="6"/>
  <c r="BO54" i="6" s="1"/>
  <c r="J54" i="6"/>
  <c r="Q54" i="6" s="1"/>
  <c r="S54" i="6" s="1"/>
  <c r="H54" i="6"/>
  <c r="BK54" i="6" s="1"/>
  <c r="F54" i="6"/>
  <c r="BI54" i="6" s="1"/>
  <c r="CM53" i="6"/>
  <c r="CI53" i="6" s="1"/>
  <c r="CJ53" i="6" s="1"/>
  <c r="AB53" i="6"/>
  <c r="V53" i="6" s="1"/>
  <c r="W53" i="6" s="1"/>
  <c r="L53" i="6"/>
  <c r="BO53" i="6" s="1"/>
  <c r="J53" i="6"/>
  <c r="Q53" i="6" s="1"/>
  <c r="S53" i="6" s="1"/>
  <c r="H53" i="6"/>
  <c r="BK53" i="6" s="1"/>
  <c r="F53" i="6"/>
  <c r="BI53" i="6" s="1"/>
  <c r="CM52" i="6"/>
  <c r="CI52" i="6" s="1"/>
  <c r="CJ52" i="6" s="1"/>
  <c r="AB52" i="6"/>
  <c r="V52" i="6" s="1"/>
  <c r="W52" i="6" s="1"/>
  <c r="L52" i="6"/>
  <c r="BO52" i="6" s="1"/>
  <c r="J52" i="6"/>
  <c r="Q52" i="6" s="1"/>
  <c r="S52" i="6" s="1"/>
  <c r="H52" i="6"/>
  <c r="BK52" i="6" s="1"/>
  <c r="F52" i="6"/>
  <c r="BI52" i="6" s="1"/>
  <c r="CM49" i="6"/>
  <c r="CI49" i="6" s="1"/>
  <c r="CJ49" i="6" s="1"/>
  <c r="AB49" i="6"/>
  <c r="V49" i="6" s="1"/>
  <c r="W49" i="6" s="1"/>
  <c r="L49" i="6"/>
  <c r="BO49" i="6" s="1"/>
  <c r="J49" i="6"/>
  <c r="Q49" i="6" s="1"/>
  <c r="S49" i="6" s="1"/>
  <c r="H49" i="6"/>
  <c r="BK49" i="6" s="1"/>
  <c r="F49" i="6"/>
  <c r="BI49" i="6" s="1"/>
  <c r="CM48" i="6"/>
  <c r="CI48" i="6" s="1"/>
  <c r="CJ48" i="6" s="1"/>
  <c r="AB48" i="6"/>
  <c r="V48" i="6" s="1"/>
  <c r="W48" i="6" s="1"/>
  <c r="L48" i="6"/>
  <c r="BO48" i="6" s="1"/>
  <c r="J48" i="6"/>
  <c r="Q48" i="6" s="1"/>
  <c r="S48" i="6" s="1"/>
  <c r="H48" i="6"/>
  <c r="BK48" i="6" s="1"/>
  <c r="F48" i="6"/>
  <c r="BI48" i="6" s="1"/>
  <c r="CM47" i="6"/>
  <c r="CI47" i="6" s="1"/>
  <c r="CJ47" i="6" s="1"/>
  <c r="AB47" i="6"/>
  <c r="V47" i="6" s="1"/>
  <c r="W47" i="6" s="1"/>
  <c r="L47" i="6"/>
  <c r="BO47" i="6" s="1"/>
  <c r="J47" i="6"/>
  <c r="H47" i="6"/>
  <c r="BK47" i="6" s="1"/>
  <c r="F47" i="6"/>
  <c r="BI47" i="6" s="1"/>
  <c r="CJ45" i="6"/>
  <c r="CI45" i="6"/>
  <c r="CH45" i="6"/>
  <c r="CG45" i="6"/>
  <c r="CF45" i="6"/>
  <c r="CD45" i="6"/>
  <c r="CB45" i="6"/>
  <c r="CA45" i="6"/>
  <c r="BZ45" i="6"/>
  <c r="BY45" i="6"/>
  <c r="BX45" i="6"/>
  <c r="BW45" i="6"/>
  <c r="W45" i="6"/>
  <c r="V45" i="6"/>
  <c r="U45" i="6"/>
  <c r="T45" i="6"/>
  <c r="S45" i="6"/>
  <c r="Q45" i="6"/>
  <c r="O45" i="6"/>
  <c r="N45" i="6"/>
  <c r="M45" i="6"/>
  <c r="L45" i="6"/>
  <c r="K45" i="6"/>
  <c r="J45" i="6"/>
  <c r="I45" i="6"/>
  <c r="H45" i="6"/>
  <c r="G45" i="6"/>
  <c r="F45" i="6"/>
  <c r="E45" i="6"/>
  <c r="D45" i="6"/>
  <c r="R42" i="6"/>
  <c r="CE41" i="6"/>
  <c r="CD41" i="6"/>
  <c r="R41" i="6"/>
  <c r="CE40" i="6"/>
  <c r="R40" i="6"/>
  <c r="CE39" i="6"/>
  <c r="R39" i="6"/>
  <c r="CM36" i="6"/>
  <c r="CE36" i="6"/>
  <c r="AB36" i="6"/>
  <c r="S36" i="6"/>
  <c r="L36" i="6"/>
  <c r="BO36" i="6" s="1"/>
  <c r="J36" i="6"/>
  <c r="H36" i="6"/>
  <c r="BK36" i="6" s="1"/>
  <c r="F36" i="6"/>
  <c r="BI36" i="6" s="1"/>
  <c r="CM35" i="6"/>
  <c r="CI35" i="6" s="1"/>
  <c r="CJ35" i="6" s="1"/>
  <c r="AB35" i="6"/>
  <c r="V35" i="6" s="1"/>
  <c r="W35" i="6" s="1"/>
  <c r="CM34" i="6"/>
  <c r="CI34" i="6" s="1"/>
  <c r="CJ34" i="6" s="1"/>
  <c r="AB34" i="6"/>
  <c r="V34" i="6" s="1"/>
  <c r="W34" i="6" s="1"/>
  <c r="L34" i="6"/>
  <c r="T34" i="6" s="1"/>
  <c r="U34" i="6" s="1"/>
  <c r="J34" i="6"/>
  <c r="BM34" i="6" s="1"/>
  <c r="H34" i="6"/>
  <c r="BK34" i="6" s="1"/>
  <c r="F34" i="6"/>
  <c r="BI34" i="6" s="1"/>
  <c r="CM33" i="6"/>
  <c r="CI33" i="6" s="1"/>
  <c r="CF33" i="6"/>
  <c r="AB33" i="6"/>
  <c r="V33" i="6" s="1"/>
  <c r="W33" i="6" s="1"/>
  <c r="S33" i="6"/>
  <c r="CM32" i="6"/>
  <c r="AB32" i="6"/>
  <c r="CM31" i="6"/>
  <c r="AB31" i="6"/>
  <c r="V31" i="6" s="1"/>
  <c r="CM28" i="6"/>
  <c r="CI28" i="6" s="1"/>
  <c r="CE28" i="6"/>
  <c r="AB28" i="6"/>
  <c r="V28" i="6" s="1"/>
  <c r="W28" i="6" s="1"/>
  <c r="L28" i="6"/>
  <c r="J28" i="6"/>
  <c r="BM28" i="6" s="1"/>
  <c r="H28" i="6"/>
  <c r="BK28" i="6" s="1"/>
  <c r="F28" i="6"/>
  <c r="CM27" i="6"/>
  <c r="CI27" i="6" s="1"/>
  <c r="CJ27" i="6" s="1"/>
  <c r="AB27" i="6"/>
  <c r="V27" i="6" s="1"/>
  <c r="W27" i="6" s="1"/>
  <c r="CM26" i="6"/>
  <c r="CI26" i="6" s="1"/>
  <c r="CJ26" i="6" s="1"/>
  <c r="CF26" i="6"/>
  <c r="AB26" i="6"/>
  <c r="V26" i="6" s="1"/>
  <c r="W26" i="6" s="1"/>
  <c r="L26" i="6"/>
  <c r="BO26" i="6" s="1"/>
  <c r="J26" i="6"/>
  <c r="BM26" i="6" s="1"/>
  <c r="CM25" i="6"/>
  <c r="CI25" i="6" s="1"/>
  <c r="CJ25" i="6" s="1"/>
  <c r="AB25" i="6"/>
  <c r="V25" i="6" s="1"/>
  <c r="W25" i="6" s="1"/>
  <c r="CM24" i="6"/>
  <c r="CI24" i="6" s="1"/>
  <c r="CJ24" i="6" s="1"/>
  <c r="AB24" i="6"/>
  <c r="V24" i="6" s="1"/>
  <c r="W24" i="6" s="1"/>
  <c r="CJ22" i="6"/>
  <c r="CI22" i="6"/>
  <c r="CH22" i="6"/>
  <c r="CG22" i="6"/>
  <c r="CF22" i="6"/>
  <c r="CD22" i="6"/>
  <c r="CB22" i="6"/>
  <c r="CA22" i="6"/>
  <c r="BZ22" i="6"/>
  <c r="BY22" i="6"/>
  <c r="BX22" i="6"/>
  <c r="BW22" i="6"/>
  <c r="W22" i="6"/>
  <c r="V22" i="6"/>
  <c r="U22" i="6"/>
  <c r="T22" i="6"/>
  <c r="S22" i="6"/>
  <c r="Q22" i="6"/>
  <c r="O22" i="6"/>
  <c r="N22" i="6"/>
  <c r="M22" i="6"/>
  <c r="L22" i="6"/>
  <c r="K22" i="6"/>
  <c r="J22" i="6"/>
  <c r="I22" i="6"/>
  <c r="H22" i="6"/>
  <c r="G22" i="6"/>
  <c r="F22" i="6"/>
  <c r="E22" i="6"/>
  <c r="D22" i="6"/>
  <c r="DK18" i="6"/>
  <c r="DJ18" i="6"/>
  <c r="DI18" i="6"/>
  <c r="DH18" i="6"/>
  <c r="DG18" i="6"/>
  <c r="CM18" i="6"/>
  <c r="CI18" i="6" s="1"/>
  <c r="CJ18" i="6" s="1"/>
  <c r="CG18" i="6"/>
  <c r="CH18" i="6" s="1"/>
  <c r="CD18" i="6"/>
  <c r="CF18" i="6" s="1"/>
  <c r="AB18" i="6"/>
  <c r="V18" i="6" s="1"/>
  <c r="W18" i="6" s="1"/>
  <c r="L18" i="6"/>
  <c r="J18" i="6"/>
  <c r="BM18" i="6" s="1"/>
  <c r="H18" i="6"/>
  <c r="BK18" i="6" s="1"/>
  <c r="F18" i="6"/>
  <c r="BI18" i="6" s="1"/>
  <c r="DK17" i="6"/>
  <c r="DJ17" i="6"/>
  <c r="DI17" i="6"/>
  <c r="DH17" i="6"/>
  <c r="DG17" i="6"/>
  <c r="CM17" i="6"/>
  <c r="CI17" i="6" s="1"/>
  <c r="CJ17" i="6" s="1"/>
  <c r="CG17" i="6"/>
  <c r="CH17" i="6" s="1"/>
  <c r="CD17" i="6"/>
  <c r="CF17" i="6" s="1"/>
  <c r="AB17" i="6"/>
  <c r="V17" i="6" s="1"/>
  <c r="W17" i="6" s="1"/>
  <c r="L17" i="6"/>
  <c r="BO17" i="6" s="1"/>
  <c r="J17" i="6"/>
  <c r="BM17" i="6" s="1"/>
  <c r="H17" i="6"/>
  <c r="BK17" i="6" s="1"/>
  <c r="F17" i="6"/>
  <c r="BI17" i="6" s="1"/>
  <c r="DK16" i="6"/>
  <c r="DJ16" i="6"/>
  <c r="DI16" i="6"/>
  <c r="DH16" i="6"/>
  <c r="DG16" i="6"/>
  <c r="CM16" i="6"/>
  <c r="CI16" i="6" s="1"/>
  <c r="CJ16" i="6" s="1"/>
  <c r="CG16" i="6"/>
  <c r="CH16" i="6" s="1"/>
  <c r="CD16" i="6"/>
  <c r="CF16" i="6" s="1"/>
  <c r="AB16" i="6"/>
  <c r="V16" i="6" s="1"/>
  <c r="W16" i="6" s="1"/>
  <c r="O16" i="6"/>
  <c r="BR16" i="6" s="1"/>
  <c r="N16" i="6"/>
  <c r="BQ16" i="6" s="1"/>
  <c r="M16" i="6"/>
  <c r="BP16" i="6" s="1"/>
  <c r="L16" i="6"/>
  <c r="BO16" i="6" s="1"/>
  <c r="K16" i="6"/>
  <c r="BN16" i="6" s="1"/>
  <c r="J16" i="6"/>
  <c r="Q16" i="6" s="1"/>
  <c r="S16" i="6" s="1"/>
  <c r="I16" i="6"/>
  <c r="BL16" i="6" s="1"/>
  <c r="H16" i="6"/>
  <c r="BK16" i="6" s="1"/>
  <c r="G16" i="6"/>
  <c r="BJ16" i="6" s="1"/>
  <c r="F16" i="6"/>
  <c r="BI16" i="6" s="1"/>
  <c r="DK15" i="6"/>
  <c r="DJ15" i="6"/>
  <c r="DI15" i="6"/>
  <c r="DH15" i="6"/>
  <c r="DG15" i="6"/>
  <c r="CM15" i="6"/>
  <c r="CI15" i="6" s="1"/>
  <c r="CJ15" i="6" s="1"/>
  <c r="CG15" i="6"/>
  <c r="CH15" i="6" s="1"/>
  <c r="CD15" i="6"/>
  <c r="CF15" i="6" s="1"/>
  <c r="AB15" i="6"/>
  <c r="V15" i="6" s="1"/>
  <c r="W15" i="6" s="1"/>
  <c r="O15" i="6"/>
  <c r="BR15" i="6" s="1"/>
  <c r="N15" i="6"/>
  <c r="BQ15" i="6" s="1"/>
  <c r="M15" i="6"/>
  <c r="BP15" i="6" s="1"/>
  <c r="L15" i="6"/>
  <c r="BO15" i="6" s="1"/>
  <c r="K15" i="6"/>
  <c r="BN15" i="6" s="1"/>
  <c r="J15" i="6"/>
  <c r="I15" i="6"/>
  <c r="BL15" i="6" s="1"/>
  <c r="H15" i="6"/>
  <c r="BK15" i="6" s="1"/>
  <c r="G15" i="6"/>
  <c r="BJ15" i="6" s="1"/>
  <c r="F15" i="6"/>
  <c r="BI15" i="6" s="1"/>
  <c r="DK14" i="6"/>
  <c r="DJ14" i="6"/>
  <c r="DI14" i="6"/>
  <c r="DH14" i="6"/>
  <c r="DG14" i="6"/>
  <c r="CM14" i="6"/>
  <c r="CI14" i="6" s="1"/>
  <c r="CJ14" i="6" s="1"/>
  <c r="CG14" i="6"/>
  <c r="CH14" i="6" s="1"/>
  <c r="CD14" i="6"/>
  <c r="CF14" i="6" s="1"/>
  <c r="AB14" i="6"/>
  <c r="V14" i="6" s="1"/>
  <c r="W14" i="6" s="1"/>
  <c r="L14" i="6"/>
  <c r="T14" i="6" s="1"/>
  <c r="U14" i="6" s="1"/>
  <c r="J14" i="6"/>
  <c r="H14" i="6"/>
  <c r="BK14" i="6" s="1"/>
  <c r="F14" i="6"/>
  <c r="BI14" i="6" s="1"/>
  <c r="CM11" i="6"/>
  <c r="CI11" i="6" s="1"/>
  <c r="AB11" i="6"/>
  <c r="V11" i="6" s="1"/>
  <c r="K11" i="6"/>
  <c r="BN11" i="6" s="1"/>
  <c r="J11" i="6"/>
  <c r="BM11" i="6" s="1"/>
  <c r="I11" i="6"/>
  <c r="BL11" i="6" s="1"/>
  <c r="H11" i="6"/>
  <c r="BK11" i="6" s="1"/>
  <c r="F11" i="6"/>
  <c r="BI11" i="6" s="1"/>
  <c r="CM10" i="6"/>
  <c r="CI10" i="6" s="1"/>
  <c r="CJ10" i="6" s="1"/>
  <c r="AB10" i="6"/>
  <c r="V10" i="6" s="1"/>
  <c r="W10" i="6" s="1"/>
  <c r="L10" i="6"/>
  <c r="BO10" i="6" s="1"/>
  <c r="J10" i="6"/>
  <c r="BM10" i="6" s="1"/>
  <c r="H10" i="6"/>
  <c r="BK10" i="6" s="1"/>
  <c r="F10" i="6"/>
  <c r="BI10" i="6" s="1"/>
  <c r="CM9" i="6"/>
  <c r="CI9" i="6" s="1"/>
  <c r="CJ9" i="6" s="1"/>
  <c r="AB9" i="6"/>
  <c r="V9" i="6" s="1"/>
  <c r="W9" i="6" s="1"/>
  <c r="L9" i="6"/>
  <c r="BO9" i="6" s="1"/>
  <c r="J9" i="6"/>
  <c r="H9" i="6"/>
  <c r="BK9" i="6" s="1"/>
  <c r="F9" i="6"/>
  <c r="BI9" i="6" s="1"/>
  <c r="DK8" i="6"/>
  <c r="DJ8" i="6"/>
  <c r="DI8" i="6"/>
  <c r="DH8" i="6"/>
  <c r="DG8" i="6"/>
  <c r="DF8" i="6"/>
  <c r="CM8" i="6"/>
  <c r="CI8" i="6" s="1"/>
  <c r="CJ8" i="6" s="1"/>
  <c r="CG8" i="6"/>
  <c r="CH8" i="6" s="1"/>
  <c r="CD8" i="6"/>
  <c r="CF8" i="6" s="1"/>
  <c r="AB8" i="6"/>
  <c r="V8" i="6" s="1"/>
  <c r="W8" i="6" s="1"/>
  <c r="CM7" i="6"/>
  <c r="CI7" i="6" s="1"/>
  <c r="CJ7" i="6" s="1"/>
  <c r="AB7" i="6"/>
  <c r="V7" i="6" s="1"/>
  <c r="W7" i="6" s="1"/>
  <c r="S7" i="6"/>
  <c r="L7" i="6"/>
  <c r="J7" i="6"/>
  <c r="BM7" i="6" s="1"/>
  <c r="H7" i="6"/>
  <c r="BK7" i="6" s="1"/>
  <c r="F7" i="6"/>
  <c r="BI7" i="6" s="1"/>
  <c r="CM6" i="6"/>
  <c r="CI6" i="6" s="1"/>
  <c r="CJ6" i="6" s="1"/>
  <c r="AB6" i="6"/>
  <c r="V6" i="6" s="1"/>
  <c r="W6" i="6" s="1"/>
  <c r="L6" i="6"/>
  <c r="T6" i="6" s="1"/>
  <c r="U6" i="6" s="1"/>
  <c r="J6" i="6"/>
  <c r="Q6" i="6" s="1"/>
  <c r="S6" i="6" s="1"/>
  <c r="H6" i="6"/>
  <c r="BK6" i="6" s="1"/>
  <c r="F6" i="6"/>
  <c r="BI6" i="6" s="1"/>
  <c r="CE4" i="6"/>
  <c r="CE45" i="6" s="1"/>
  <c r="R4" i="6"/>
  <c r="R45" i="6" s="1"/>
  <c r="B202" i="4"/>
  <c r="B201" i="4"/>
  <c r="B195" i="4"/>
  <c r="B194" i="4"/>
  <c r="B193" i="4"/>
  <c r="B192" i="4"/>
  <c r="B183" i="4"/>
  <c r="B182" i="4"/>
  <c r="C102" i="4"/>
  <c r="D101" i="4" s="1"/>
  <c r="D3" i="4"/>
  <c r="D2" i="4"/>
  <c r="AH387" i="1"/>
  <c r="AG387" i="1"/>
  <c r="AF387" i="1"/>
  <c r="AE387" i="1"/>
  <c r="AD387" i="1"/>
  <c r="AC387" i="1"/>
  <c r="AB387" i="1"/>
  <c r="AA387" i="1"/>
  <c r="Z387" i="1"/>
  <c r="Y387" i="1"/>
  <c r="X387" i="1"/>
  <c r="W387" i="1"/>
  <c r="V387" i="1"/>
  <c r="U387" i="1"/>
  <c r="T387" i="1"/>
  <c r="AH386" i="1"/>
  <c r="AG386" i="1"/>
  <c r="AF386" i="1"/>
  <c r="AE386" i="1"/>
  <c r="AD386" i="1"/>
  <c r="AC386" i="1"/>
  <c r="AB386" i="1"/>
  <c r="AA386" i="1"/>
  <c r="Z386" i="1"/>
  <c r="Y386" i="1"/>
  <c r="X386" i="1"/>
  <c r="W386" i="1"/>
  <c r="V386" i="1"/>
  <c r="U386" i="1"/>
  <c r="T386" i="1"/>
  <c r="AH385" i="1"/>
  <c r="AG385" i="1"/>
  <c r="AF385" i="1"/>
  <c r="AE385" i="1"/>
  <c r="AD385" i="1"/>
  <c r="AC385" i="1"/>
  <c r="AB385" i="1"/>
  <c r="AA385" i="1"/>
  <c r="Z385" i="1"/>
  <c r="Y385" i="1"/>
  <c r="X385" i="1"/>
  <c r="W385" i="1"/>
  <c r="V385" i="1"/>
  <c r="U385" i="1"/>
  <c r="T385" i="1"/>
  <c r="AH384" i="1"/>
  <c r="AG384" i="1"/>
  <c r="AF384" i="1"/>
  <c r="AE384" i="1"/>
  <c r="AD384" i="1"/>
  <c r="AC384" i="1"/>
  <c r="AB384" i="1"/>
  <c r="AA384" i="1"/>
  <c r="Z384" i="1"/>
  <c r="Y384" i="1"/>
  <c r="X384" i="1"/>
  <c r="W384" i="1"/>
  <c r="V384" i="1"/>
  <c r="U384" i="1"/>
  <c r="T384" i="1"/>
  <c r="AH383" i="1"/>
  <c r="AG383" i="1"/>
  <c r="AF383" i="1"/>
  <c r="AE383" i="1"/>
  <c r="AD383" i="1"/>
  <c r="AC383" i="1"/>
  <c r="AB383" i="1"/>
  <c r="AA383" i="1"/>
  <c r="Z383" i="1"/>
  <c r="Y383" i="1"/>
  <c r="X383" i="1"/>
  <c r="W383" i="1"/>
  <c r="V383" i="1"/>
  <c r="U383" i="1"/>
  <c r="T383" i="1"/>
  <c r="AH382" i="1"/>
  <c r="AG382" i="1"/>
  <c r="AF382" i="1"/>
  <c r="AE382" i="1"/>
  <c r="AD382" i="1"/>
  <c r="AC382" i="1"/>
  <c r="AB382" i="1"/>
  <c r="AA382" i="1"/>
  <c r="Z382" i="1"/>
  <c r="Y382" i="1"/>
  <c r="X382" i="1"/>
  <c r="W382" i="1"/>
  <c r="V382" i="1"/>
  <c r="U382" i="1"/>
  <c r="T382" i="1"/>
  <c r="AH381" i="1"/>
  <c r="AG381" i="1"/>
  <c r="AF381" i="1"/>
  <c r="AE381" i="1"/>
  <c r="AD381" i="1"/>
  <c r="AC381" i="1"/>
  <c r="AB381" i="1"/>
  <c r="AA381" i="1"/>
  <c r="Z381" i="1"/>
  <c r="Y381" i="1"/>
  <c r="X381" i="1"/>
  <c r="W381" i="1"/>
  <c r="V381" i="1"/>
  <c r="U381" i="1"/>
  <c r="T381" i="1"/>
  <c r="AH380" i="1"/>
  <c r="AG380" i="1"/>
  <c r="AF380" i="1"/>
  <c r="AE380" i="1"/>
  <c r="AD380" i="1"/>
  <c r="AC380" i="1"/>
  <c r="AB380" i="1"/>
  <c r="AA380" i="1"/>
  <c r="Z380" i="1"/>
  <c r="Y380" i="1"/>
  <c r="X380" i="1"/>
  <c r="W380" i="1"/>
  <c r="V380" i="1"/>
  <c r="U380" i="1"/>
  <c r="T380" i="1"/>
  <c r="AH379" i="1"/>
  <c r="AG379" i="1"/>
  <c r="AF379" i="1"/>
  <c r="AE379" i="1"/>
  <c r="AD379" i="1"/>
  <c r="AC379" i="1"/>
  <c r="AB379" i="1"/>
  <c r="AA379" i="1"/>
  <c r="Z379" i="1"/>
  <c r="Y379" i="1"/>
  <c r="X379" i="1"/>
  <c r="W379" i="1"/>
  <c r="V379" i="1"/>
  <c r="U379" i="1"/>
  <c r="T379" i="1"/>
  <c r="Q379" i="1"/>
  <c r="P379" i="1"/>
  <c r="O379" i="1"/>
  <c r="N379" i="1"/>
  <c r="M379" i="1"/>
  <c r="L379" i="1"/>
  <c r="K379" i="1"/>
  <c r="J379" i="1"/>
  <c r="I379" i="1"/>
  <c r="H379" i="1"/>
  <c r="G379" i="1"/>
  <c r="F379" i="1"/>
  <c r="C374" i="1"/>
  <c r="C373" i="1"/>
  <c r="C372" i="1"/>
  <c r="C371" i="1"/>
  <c r="C370" i="1"/>
  <c r="C369" i="1"/>
  <c r="C368" i="1"/>
  <c r="C367" i="1"/>
  <c r="C366" i="1"/>
  <c r="C365" i="1"/>
  <c r="C357" i="1"/>
  <c r="C356" i="1"/>
  <c r="C355" i="1"/>
  <c r="C354" i="1"/>
  <c r="C353" i="1"/>
  <c r="C352" i="1"/>
  <c r="C351" i="1"/>
  <c r="AH273" i="1"/>
  <c r="AG273" i="1"/>
  <c r="AF273" i="1"/>
  <c r="AE273" i="1"/>
  <c r="AD273" i="1"/>
  <c r="AC273" i="1"/>
  <c r="AB273" i="1"/>
  <c r="AA273" i="1"/>
  <c r="Z273" i="1"/>
  <c r="Y273" i="1"/>
  <c r="X273" i="1"/>
  <c r="W273" i="1"/>
  <c r="V273" i="1"/>
  <c r="U273" i="1"/>
  <c r="T273" i="1"/>
  <c r="AH257" i="1"/>
  <c r="AH263" i="1" s="1"/>
  <c r="AG257" i="1"/>
  <c r="AF257" i="1"/>
  <c r="AE257" i="1"/>
  <c r="AD257" i="1"/>
  <c r="AD263" i="1" s="1"/>
  <c r="AC257" i="1"/>
  <c r="AC263" i="1" s="1"/>
  <c r="AB257" i="1"/>
  <c r="AB263" i="1" s="1"/>
  <c r="AA257" i="1"/>
  <c r="Z257" i="1"/>
  <c r="Y257" i="1"/>
  <c r="X257" i="1"/>
  <c r="X263" i="1" s="1"/>
  <c r="W257" i="1"/>
  <c r="W263" i="1" s="1"/>
  <c r="V257" i="1"/>
  <c r="U257" i="1"/>
  <c r="T257" i="1"/>
  <c r="AH247" i="1"/>
  <c r="AH332" i="1" s="1"/>
  <c r="AG247" i="1"/>
  <c r="AF247" i="1"/>
  <c r="AE247" i="1"/>
  <c r="AE332" i="1" s="1"/>
  <c r="AD247" i="1"/>
  <c r="AD332" i="1" s="1"/>
  <c r="AC247" i="1"/>
  <c r="AC332" i="1" s="1"/>
  <c r="AB247" i="1"/>
  <c r="AA247" i="1"/>
  <c r="Z247" i="1"/>
  <c r="Z332" i="1" s="1"/>
  <c r="Y247" i="1"/>
  <c r="Y332" i="1" s="1"/>
  <c r="X247" i="1"/>
  <c r="X332" i="1" s="1"/>
  <c r="W247" i="1"/>
  <c r="W332" i="1" s="1"/>
  <c r="V247" i="1"/>
  <c r="V332" i="1" s="1"/>
  <c r="U247" i="1"/>
  <c r="T247" i="1"/>
  <c r="T332" i="1" s="1"/>
  <c r="AH233" i="1"/>
  <c r="AG233" i="1"/>
  <c r="AF233" i="1"/>
  <c r="AE233" i="1"/>
  <c r="AD233" i="1"/>
  <c r="AC233" i="1"/>
  <c r="AB233" i="1"/>
  <c r="AA233" i="1"/>
  <c r="Z233" i="1"/>
  <c r="Y233" i="1"/>
  <c r="X233" i="1"/>
  <c r="W233" i="1"/>
  <c r="V233" i="1"/>
  <c r="U233" i="1"/>
  <c r="T233" i="1"/>
  <c r="AH227" i="1"/>
  <c r="AH229" i="1" s="1"/>
  <c r="AG227" i="1"/>
  <c r="AG229" i="1" s="1"/>
  <c r="AF227" i="1"/>
  <c r="AF229" i="1" s="1"/>
  <c r="AE227" i="1"/>
  <c r="AE229" i="1" s="1"/>
  <c r="AD227" i="1"/>
  <c r="AD229" i="1" s="1"/>
  <c r="AC227" i="1"/>
  <c r="AC229" i="1" s="1"/>
  <c r="AB227" i="1"/>
  <c r="AB229" i="1" s="1"/>
  <c r="AA227" i="1"/>
  <c r="AA229" i="1" s="1"/>
  <c r="Z227" i="1"/>
  <c r="Z229" i="1" s="1"/>
  <c r="Y227" i="1"/>
  <c r="Y229" i="1" s="1"/>
  <c r="X227" i="1"/>
  <c r="X229" i="1" s="1"/>
  <c r="W227" i="1"/>
  <c r="W229" i="1" s="1"/>
  <c r="W309" i="1" s="1"/>
  <c r="V227" i="1"/>
  <c r="V229" i="1" s="1"/>
  <c r="U227" i="1"/>
  <c r="U229" i="1" s="1"/>
  <c r="T227" i="1"/>
  <c r="T229" i="1" s="1"/>
  <c r="T309" i="1" s="1"/>
  <c r="AH218" i="1"/>
  <c r="AG218" i="1"/>
  <c r="AF218" i="1"/>
  <c r="AE218" i="1"/>
  <c r="AD218" i="1"/>
  <c r="AC218" i="1"/>
  <c r="AB218" i="1"/>
  <c r="AA218" i="1"/>
  <c r="Z218" i="1"/>
  <c r="Y218" i="1"/>
  <c r="X218" i="1"/>
  <c r="W218" i="1"/>
  <c r="V218" i="1"/>
  <c r="U218" i="1"/>
  <c r="T218" i="1"/>
  <c r="AH217" i="1"/>
  <c r="AG217" i="1"/>
  <c r="AF217" i="1"/>
  <c r="AE217" i="1"/>
  <c r="AD217" i="1"/>
  <c r="AC217" i="1"/>
  <c r="AB217" i="1"/>
  <c r="AA217" i="1"/>
  <c r="Z217" i="1"/>
  <c r="Y217" i="1"/>
  <c r="X217" i="1"/>
  <c r="W217" i="1"/>
  <c r="V217" i="1"/>
  <c r="U217" i="1"/>
  <c r="T217" i="1"/>
  <c r="AH209" i="1"/>
  <c r="AG209" i="1"/>
  <c r="AF209" i="1"/>
  <c r="AE209" i="1"/>
  <c r="AD209" i="1"/>
  <c r="AC209" i="1"/>
  <c r="AB209" i="1"/>
  <c r="AA209" i="1"/>
  <c r="Z209" i="1"/>
  <c r="Y209" i="1"/>
  <c r="X209" i="1"/>
  <c r="W209" i="1"/>
  <c r="V209" i="1"/>
  <c r="U209" i="1"/>
  <c r="T209" i="1"/>
  <c r="AH196" i="1"/>
  <c r="AG196" i="1"/>
  <c r="AF196" i="1"/>
  <c r="AE196" i="1"/>
  <c r="AD196" i="1"/>
  <c r="AC196" i="1"/>
  <c r="AB196" i="1"/>
  <c r="AA196" i="1"/>
  <c r="Z196" i="1"/>
  <c r="Y196" i="1"/>
  <c r="X196" i="1"/>
  <c r="W196" i="1"/>
  <c r="V196" i="1"/>
  <c r="U196" i="1"/>
  <c r="T196" i="1"/>
  <c r="AH195" i="1"/>
  <c r="AG195" i="1"/>
  <c r="AF195" i="1"/>
  <c r="AE195" i="1"/>
  <c r="AD195" i="1"/>
  <c r="AC195" i="1"/>
  <c r="AB195" i="1"/>
  <c r="AA195" i="1"/>
  <c r="Z195" i="1"/>
  <c r="Y195" i="1"/>
  <c r="X195" i="1"/>
  <c r="W195" i="1"/>
  <c r="V195" i="1"/>
  <c r="U195" i="1"/>
  <c r="T195" i="1"/>
  <c r="AH187" i="1"/>
  <c r="AG187" i="1"/>
  <c r="AF187" i="1"/>
  <c r="AE187" i="1"/>
  <c r="AD187" i="1"/>
  <c r="AC187" i="1"/>
  <c r="AB187" i="1"/>
  <c r="AA187" i="1"/>
  <c r="Z187" i="1"/>
  <c r="Y187" i="1"/>
  <c r="X187" i="1"/>
  <c r="W187" i="1"/>
  <c r="V187" i="1"/>
  <c r="U187" i="1"/>
  <c r="T187" i="1"/>
  <c r="AH159" i="1"/>
  <c r="AG159" i="1"/>
  <c r="AF159" i="1"/>
  <c r="AE159" i="1"/>
  <c r="AD159" i="1"/>
  <c r="AC159" i="1"/>
  <c r="AB159" i="1"/>
  <c r="AA159" i="1"/>
  <c r="Z159" i="1"/>
  <c r="Y159" i="1"/>
  <c r="X159" i="1"/>
  <c r="W159" i="1"/>
  <c r="V159" i="1"/>
  <c r="U159" i="1"/>
  <c r="T159" i="1"/>
  <c r="AH154" i="1"/>
  <c r="AH336" i="1" s="1"/>
  <c r="AG154" i="1"/>
  <c r="AG336" i="1" s="1"/>
  <c r="AF154" i="1"/>
  <c r="AF336" i="1" s="1"/>
  <c r="AE154" i="1"/>
  <c r="AE336" i="1" s="1"/>
  <c r="AD154" i="1"/>
  <c r="AD336" i="1" s="1"/>
  <c r="AC154" i="1"/>
  <c r="AC336" i="1" s="1"/>
  <c r="AB154" i="1"/>
  <c r="AB336" i="1" s="1"/>
  <c r="AA154" i="1"/>
  <c r="AA336" i="1" s="1"/>
  <c r="Z154" i="1"/>
  <c r="Z336" i="1" s="1"/>
  <c r="Y154" i="1"/>
  <c r="Y336" i="1" s="1"/>
  <c r="X154" i="1"/>
  <c r="X336" i="1" s="1"/>
  <c r="W154" i="1"/>
  <c r="W336" i="1" s="1"/>
  <c r="V154" i="1"/>
  <c r="V336" i="1" s="1"/>
  <c r="U154" i="1"/>
  <c r="U336" i="1" s="1"/>
  <c r="T154" i="1"/>
  <c r="T336" i="1" s="1"/>
  <c r="AH148" i="1"/>
  <c r="AG148" i="1"/>
  <c r="AF148" i="1"/>
  <c r="AE148" i="1"/>
  <c r="AD148" i="1"/>
  <c r="AC148" i="1"/>
  <c r="AB148" i="1"/>
  <c r="AA148" i="1"/>
  <c r="Z148" i="1"/>
  <c r="Y148" i="1"/>
  <c r="X148" i="1"/>
  <c r="W148" i="1"/>
  <c r="V148" i="1"/>
  <c r="U148" i="1"/>
  <c r="T148" i="1"/>
  <c r="AH142" i="1"/>
  <c r="AG142" i="1"/>
  <c r="AF142" i="1"/>
  <c r="AE142" i="1"/>
  <c r="AD142" i="1"/>
  <c r="AC142" i="1"/>
  <c r="AB142" i="1"/>
  <c r="AA142" i="1"/>
  <c r="Z142" i="1"/>
  <c r="Y142" i="1"/>
  <c r="X142" i="1"/>
  <c r="W142" i="1"/>
  <c r="V142" i="1"/>
  <c r="U142" i="1"/>
  <c r="T142" i="1"/>
  <c r="AH114" i="1"/>
  <c r="AG114" i="1"/>
  <c r="AF114" i="1"/>
  <c r="AE114" i="1"/>
  <c r="AD114" i="1"/>
  <c r="AC114" i="1"/>
  <c r="AB114" i="1"/>
  <c r="AA114" i="1"/>
  <c r="Z114" i="1"/>
  <c r="Y114" i="1"/>
  <c r="X114" i="1"/>
  <c r="W114" i="1"/>
  <c r="V114" i="1"/>
  <c r="U114" i="1"/>
  <c r="T114" i="1"/>
  <c r="Q114" i="1"/>
  <c r="Q339" i="1" s="1"/>
  <c r="P114" i="1"/>
  <c r="P339" i="1" s="1"/>
  <c r="O114" i="1"/>
  <c r="O339" i="1" s="1"/>
  <c r="N114" i="1"/>
  <c r="N339" i="1" s="1"/>
  <c r="M114" i="1"/>
  <c r="M339" i="1" s="1"/>
  <c r="L114" i="1"/>
  <c r="K114" i="1"/>
  <c r="K339" i="1" s="1"/>
  <c r="J114" i="1"/>
  <c r="J339" i="1" s="1"/>
  <c r="I114" i="1"/>
  <c r="I339" i="1" s="1"/>
  <c r="H114" i="1"/>
  <c r="H339" i="1" s="1"/>
  <c r="G114" i="1"/>
  <c r="G339" i="1" s="1"/>
  <c r="F114" i="1"/>
  <c r="F339" i="1" s="1"/>
  <c r="E114" i="1"/>
  <c r="E339" i="1" s="1"/>
  <c r="B1" i="1"/>
  <c r="D17" i="1"/>
  <c r="D653" i="3"/>
  <c r="D640" i="3"/>
  <c r="F106" i="13" s="1"/>
  <c r="AE106" i="13" s="1"/>
  <c r="D634" i="3"/>
  <c r="D627" i="3"/>
  <c r="E647" i="3" s="1"/>
  <c r="V622" i="3"/>
  <c r="U622" i="3"/>
  <c r="T622" i="3"/>
  <c r="S622" i="3"/>
  <c r="R622" i="3"/>
  <c r="Q622" i="3"/>
  <c r="P622" i="3"/>
  <c r="O622" i="3"/>
  <c r="N622" i="3"/>
  <c r="M622" i="3"/>
  <c r="L622" i="3"/>
  <c r="K622" i="3"/>
  <c r="J622" i="3"/>
  <c r="I622" i="3"/>
  <c r="H622" i="3"/>
  <c r="G622" i="3"/>
  <c r="W618" i="3"/>
  <c r="X618" i="3" s="1"/>
  <c r="Y618" i="3" s="1"/>
  <c r="Z618" i="3" s="1"/>
  <c r="AA618" i="3" s="1"/>
  <c r="AB618" i="3" s="1"/>
  <c r="AC618" i="3" s="1"/>
  <c r="AD618" i="3" s="1"/>
  <c r="AE618" i="3" s="1"/>
  <c r="AF618" i="3" s="1"/>
  <c r="AG618" i="3" s="1"/>
  <c r="AH618" i="3" s="1"/>
  <c r="AI618" i="3" s="1"/>
  <c r="AJ618" i="3" s="1"/>
  <c r="AK618" i="3" s="1"/>
  <c r="AL618" i="3" s="1"/>
  <c r="AM618" i="3" s="1"/>
  <c r="AN618" i="3" s="1"/>
  <c r="W617" i="3"/>
  <c r="X617" i="3" s="1"/>
  <c r="V611" i="3"/>
  <c r="W611" i="3" s="1"/>
  <c r="X611" i="3" s="1"/>
  <c r="Y611" i="3" s="1"/>
  <c r="Z611" i="3" s="1"/>
  <c r="AA611" i="3" s="1"/>
  <c r="AB611" i="3" s="1"/>
  <c r="AC611" i="3" s="1"/>
  <c r="AD611" i="3" s="1"/>
  <c r="AE611" i="3" s="1"/>
  <c r="AF611" i="3" s="1"/>
  <c r="AG611" i="3" s="1"/>
  <c r="AH611" i="3" s="1"/>
  <c r="AI611" i="3" s="1"/>
  <c r="AJ611" i="3" s="1"/>
  <c r="AK611" i="3" s="1"/>
  <c r="AL611" i="3" s="1"/>
  <c r="AM611" i="3" s="1"/>
  <c r="AN611" i="3" s="1"/>
  <c r="U611" i="3"/>
  <c r="T611" i="3"/>
  <c r="S611" i="3"/>
  <c r="R611" i="3"/>
  <c r="Q611" i="3"/>
  <c r="P611" i="3"/>
  <c r="O611" i="3"/>
  <c r="N611" i="3"/>
  <c r="M611" i="3"/>
  <c r="L611" i="3"/>
  <c r="K611" i="3"/>
  <c r="J611" i="3"/>
  <c r="I611" i="3"/>
  <c r="H611" i="3"/>
  <c r="G611" i="3"/>
  <c r="V610" i="3"/>
  <c r="U610" i="3"/>
  <c r="T610" i="3"/>
  <c r="S610" i="3"/>
  <c r="R610" i="3"/>
  <c r="Q610" i="3"/>
  <c r="P610" i="3"/>
  <c r="O610" i="3"/>
  <c r="N610" i="3"/>
  <c r="M610" i="3"/>
  <c r="L610" i="3"/>
  <c r="K610" i="3"/>
  <c r="J610" i="3"/>
  <c r="I610" i="3"/>
  <c r="H610" i="3"/>
  <c r="G610" i="3"/>
  <c r="V609" i="3"/>
  <c r="U609" i="3"/>
  <c r="T609" i="3"/>
  <c r="S609" i="3"/>
  <c r="R609" i="3"/>
  <c r="R613" i="3" s="1"/>
  <c r="Q609" i="3"/>
  <c r="O609" i="3"/>
  <c r="M609" i="3"/>
  <c r="L609" i="3"/>
  <c r="K609" i="3"/>
  <c r="J609" i="3"/>
  <c r="I609" i="3"/>
  <c r="H609" i="3"/>
  <c r="G609" i="3"/>
  <c r="W608" i="3"/>
  <c r="X608" i="3" s="1"/>
  <c r="Y608" i="3" s="1"/>
  <c r="V604" i="3"/>
  <c r="W604" i="3" s="1"/>
  <c r="X604" i="3" s="1"/>
  <c r="Y604" i="3" s="1"/>
  <c r="Z604" i="3" s="1"/>
  <c r="AA604" i="3" s="1"/>
  <c r="AB604" i="3" s="1"/>
  <c r="AC604" i="3" s="1"/>
  <c r="AD604" i="3" s="1"/>
  <c r="AE604" i="3" s="1"/>
  <c r="AF604" i="3" s="1"/>
  <c r="AG604" i="3" s="1"/>
  <c r="AH604" i="3" s="1"/>
  <c r="AI604" i="3" s="1"/>
  <c r="AJ604" i="3" s="1"/>
  <c r="AK604" i="3" s="1"/>
  <c r="AL604" i="3" s="1"/>
  <c r="AM604" i="3" s="1"/>
  <c r="AN604" i="3" s="1"/>
  <c r="T604" i="3"/>
  <c r="S604" i="3"/>
  <c r="R604" i="3"/>
  <c r="Q604" i="3"/>
  <c r="P604" i="3"/>
  <c r="O604" i="3"/>
  <c r="N604" i="3"/>
  <c r="M604" i="3"/>
  <c r="K604" i="3"/>
  <c r="J604" i="3"/>
  <c r="I604" i="3"/>
  <c r="G604" i="3"/>
  <c r="X603" i="3"/>
  <c r="V603" i="3"/>
  <c r="U603" i="3"/>
  <c r="T603" i="3"/>
  <c r="S603" i="3"/>
  <c r="R603" i="3"/>
  <c r="Q603" i="3"/>
  <c r="P603" i="3"/>
  <c r="O603" i="3"/>
  <c r="N603" i="3"/>
  <c r="M603" i="3"/>
  <c r="L603" i="3"/>
  <c r="K603" i="3"/>
  <c r="J603" i="3"/>
  <c r="I603" i="3"/>
  <c r="H603" i="3"/>
  <c r="G603" i="3"/>
  <c r="V602" i="3"/>
  <c r="U602" i="3"/>
  <c r="T602" i="3"/>
  <c r="S602" i="3"/>
  <c r="R602" i="3"/>
  <c r="Q602" i="3"/>
  <c r="P602" i="3"/>
  <c r="O602" i="3"/>
  <c r="N602" i="3"/>
  <c r="M602" i="3"/>
  <c r="L602" i="3"/>
  <c r="K602" i="3"/>
  <c r="J602" i="3"/>
  <c r="I602" i="3"/>
  <c r="H602" i="3"/>
  <c r="G602" i="3"/>
  <c r="W601" i="3"/>
  <c r="X601" i="3" s="1"/>
  <c r="Y601" i="3" s="1"/>
  <c r="Z601" i="3" s="1"/>
  <c r="AA601" i="3" s="1"/>
  <c r="AB601" i="3" s="1"/>
  <c r="AC601" i="3" s="1"/>
  <c r="AD601" i="3" s="1"/>
  <c r="AE601" i="3" s="1"/>
  <c r="AF601" i="3" s="1"/>
  <c r="AG601" i="3" s="1"/>
  <c r="AH601" i="3" s="1"/>
  <c r="AI601" i="3" s="1"/>
  <c r="AJ601" i="3" s="1"/>
  <c r="AK601" i="3" s="1"/>
  <c r="AL601" i="3" s="1"/>
  <c r="AM601" i="3" s="1"/>
  <c r="AN601" i="3" s="1"/>
  <c r="V600" i="3"/>
  <c r="U600" i="3"/>
  <c r="T600" i="3"/>
  <c r="S600" i="3"/>
  <c r="R600" i="3"/>
  <c r="Q600" i="3"/>
  <c r="P600" i="3"/>
  <c r="O600" i="3"/>
  <c r="N600" i="3"/>
  <c r="M600" i="3"/>
  <c r="L600" i="3"/>
  <c r="K600" i="3"/>
  <c r="J600" i="3"/>
  <c r="I600" i="3"/>
  <c r="H600" i="3"/>
  <c r="G600" i="3"/>
  <c r="V599" i="3"/>
  <c r="U599" i="3"/>
  <c r="T599" i="3"/>
  <c r="R599" i="3"/>
  <c r="Q599" i="3"/>
  <c r="P599" i="3"/>
  <c r="O599" i="3"/>
  <c r="N599" i="3"/>
  <c r="M599" i="3"/>
  <c r="L599" i="3"/>
  <c r="K599" i="3"/>
  <c r="J599" i="3"/>
  <c r="I599" i="3"/>
  <c r="H599" i="3"/>
  <c r="G599" i="3"/>
  <c r="V593" i="3"/>
  <c r="W593" i="3" s="1"/>
  <c r="X593" i="3" s="1"/>
  <c r="Y593" i="3" s="1"/>
  <c r="Z593" i="3" s="1"/>
  <c r="AA593" i="3" s="1"/>
  <c r="AB593" i="3" s="1"/>
  <c r="AC593" i="3" s="1"/>
  <c r="AD593" i="3" s="1"/>
  <c r="AE593" i="3" s="1"/>
  <c r="AF593" i="3" s="1"/>
  <c r="AG593" i="3" s="1"/>
  <c r="AH593" i="3" s="1"/>
  <c r="AI593" i="3" s="1"/>
  <c r="AJ593" i="3" s="1"/>
  <c r="AK593" i="3" s="1"/>
  <c r="AL593" i="3" s="1"/>
  <c r="AM593" i="3" s="1"/>
  <c r="AN593" i="3" s="1"/>
  <c r="U593" i="3"/>
  <c r="T593" i="3"/>
  <c r="S593" i="3"/>
  <c r="R593" i="3"/>
  <c r="Q593" i="3"/>
  <c r="P593" i="3"/>
  <c r="O593" i="3"/>
  <c r="N593" i="3"/>
  <c r="M593" i="3"/>
  <c r="L593" i="3"/>
  <c r="K593" i="3"/>
  <c r="J593" i="3"/>
  <c r="I593" i="3"/>
  <c r="W592" i="3"/>
  <c r="X592" i="3" s="1"/>
  <c r="Y592" i="3" s="1"/>
  <c r="Z592" i="3" s="1"/>
  <c r="AA592" i="3" s="1"/>
  <c r="AB592" i="3" s="1"/>
  <c r="AC592" i="3" s="1"/>
  <c r="AD592" i="3" s="1"/>
  <c r="AE592" i="3" s="1"/>
  <c r="AF592" i="3" s="1"/>
  <c r="AG592" i="3" s="1"/>
  <c r="AH592" i="3" s="1"/>
  <c r="AI592" i="3" s="1"/>
  <c r="AJ592" i="3" s="1"/>
  <c r="AK592" i="3" s="1"/>
  <c r="AL592" i="3" s="1"/>
  <c r="AM592" i="3" s="1"/>
  <c r="AN592" i="3" s="1"/>
  <c r="W591" i="3"/>
  <c r="X591" i="3" s="1"/>
  <c r="Y591" i="3" s="1"/>
  <c r="Z591" i="3" s="1"/>
  <c r="AA591" i="3" s="1"/>
  <c r="AB591" i="3" s="1"/>
  <c r="AC591" i="3" s="1"/>
  <c r="AD591" i="3" s="1"/>
  <c r="AE591" i="3" s="1"/>
  <c r="AF591" i="3" s="1"/>
  <c r="AG591" i="3" s="1"/>
  <c r="AH591" i="3" s="1"/>
  <c r="AI591" i="3" s="1"/>
  <c r="AJ591" i="3" s="1"/>
  <c r="AK591" i="3" s="1"/>
  <c r="AL591" i="3" s="1"/>
  <c r="AM591" i="3" s="1"/>
  <c r="AN591" i="3" s="1"/>
  <c r="W590" i="3"/>
  <c r="X590" i="3" s="1"/>
  <c r="Y590" i="3" s="1"/>
  <c r="Z590" i="3" s="1"/>
  <c r="AA590" i="3" s="1"/>
  <c r="AB590" i="3" s="1"/>
  <c r="AC590" i="3" s="1"/>
  <c r="AD590" i="3" s="1"/>
  <c r="AE590" i="3" s="1"/>
  <c r="AF590" i="3" s="1"/>
  <c r="AG590" i="3" s="1"/>
  <c r="AH590" i="3" s="1"/>
  <c r="AI590" i="3" s="1"/>
  <c r="AJ590" i="3" s="1"/>
  <c r="AK590" i="3" s="1"/>
  <c r="AL590" i="3" s="1"/>
  <c r="AM590" i="3" s="1"/>
  <c r="AN590" i="3" s="1"/>
  <c r="W589" i="3"/>
  <c r="X589" i="3" s="1"/>
  <c r="Y589" i="3" s="1"/>
  <c r="Z589" i="3" s="1"/>
  <c r="AA589" i="3" s="1"/>
  <c r="AB589" i="3" s="1"/>
  <c r="AC589" i="3" s="1"/>
  <c r="AD589" i="3" s="1"/>
  <c r="AE589" i="3" s="1"/>
  <c r="AF589" i="3" s="1"/>
  <c r="AG589" i="3" s="1"/>
  <c r="AH589" i="3" s="1"/>
  <c r="AI589" i="3" s="1"/>
  <c r="AJ589" i="3" s="1"/>
  <c r="AK589" i="3" s="1"/>
  <c r="AL589" i="3" s="1"/>
  <c r="AM589" i="3" s="1"/>
  <c r="AN589" i="3" s="1"/>
  <c r="V588" i="3"/>
  <c r="U588" i="3"/>
  <c r="T588" i="3"/>
  <c r="S588" i="3"/>
  <c r="R588" i="3"/>
  <c r="Q588" i="3"/>
  <c r="P588" i="3"/>
  <c r="O588" i="3"/>
  <c r="N588" i="3"/>
  <c r="M588" i="3"/>
  <c r="L588" i="3"/>
  <c r="K588" i="3"/>
  <c r="J588" i="3"/>
  <c r="I588" i="3"/>
  <c r="H588" i="3"/>
  <c r="G588" i="3"/>
  <c r="V587" i="3"/>
  <c r="U587" i="3"/>
  <c r="T587" i="3"/>
  <c r="S587" i="3"/>
  <c r="R587" i="3"/>
  <c r="Q587" i="3"/>
  <c r="P587" i="3"/>
  <c r="O587" i="3"/>
  <c r="N587" i="3"/>
  <c r="M587" i="3"/>
  <c r="L587" i="3"/>
  <c r="K587" i="3"/>
  <c r="J587" i="3"/>
  <c r="I587" i="3"/>
  <c r="H587" i="3"/>
  <c r="H595" i="3" s="1"/>
  <c r="G587" i="3"/>
  <c r="G595" i="3" s="1"/>
  <c r="V583" i="3"/>
  <c r="W583" i="3" s="1"/>
  <c r="X583" i="3" s="1"/>
  <c r="Y583" i="3" s="1"/>
  <c r="Z583" i="3" s="1"/>
  <c r="AA583" i="3" s="1"/>
  <c r="AB583" i="3" s="1"/>
  <c r="AC583" i="3" s="1"/>
  <c r="AD583" i="3" s="1"/>
  <c r="AE583" i="3" s="1"/>
  <c r="AF583" i="3" s="1"/>
  <c r="AG583" i="3" s="1"/>
  <c r="AH583" i="3" s="1"/>
  <c r="AI583" i="3" s="1"/>
  <c r="AJ583" i="3" s="1"/>
  <c r="AK583" i="3" s="1"/>
  <c r="AL583" i="3" s="1"/>
  <c r="AM583" i="3" s="1"/>
  <c r="AN583" i="3" s="1"/>
  <c r="U583" i="3"/>
  <c r="T583" i="3"/>
  <c r="S583" i="3"/>
  <c r="R583" i="3"/>
  <c r="Q583" i="3"/>
  <c r="P583" i="3"/>
  <c r="O583" i="3"/>
  <c r="N583" i="3"/>
  <c r="M583" i="3"/>
  <c r="L583" i="3"/>
  <c r="K583" i="3"/>
  <c r="J583" i="3"/>
  <c r="I583" i="3"/>
  <c r="X582" i="3"/>
  <c r="Y582" i="3" s="1"/>
  <c r="Z582" i="3" s="1"/>
  <c r="AA582" i="3" s="1"/>
  <c r="AB582" i="3" s="1"/>
  <c r="AC582" i="3" s="1"/>
  <c r="AD582" i="3" s="1"/>
  <c r="AE582" i="3" s="1"/>
  <c r="AF582" i="3" s="1"/>
  <c r="AG582" i="3" s="1"/>
  <c r="AH582" i="3" s="1"/>
  <c r="AI582" i="3" s="1"/>
  <c r="AJ582" i="3" s="1"/>
  <c r="AK582" i="3" s="1"/>
  <c r="AL582" i="3" s="1"/>
  <c r="AM582" i="3" s="1"/>
  <c r="AN582" i="3" s="1"/>
  <c r="G582" i="3"/>
  <c r="W581" i="3"/>
  <c r="X581" i="3" s="1"/>
  <c r="Y581" i="3" s="1"/>
  <c r="Z581" i="3" s="1"/>
  <c r="AA581" i="3" s="1"/>
  <c r="AB581" i="3" s="1"/>
  <c r="AC581" i="3" s="1"/>
  <c r="AD581" i="3" s="1"/>
  <c r="AE581" i="3" s="1"/>
  <c r="AF581" i="3" s="1"/>
  <c r="AG581" i="3" s="1"/>
  <c r="AH581" i="3" s="1"/>
  <c r="AI581" i="3" s="1"/>
  <c r="AJ581" i="3" s="1"/>
  <c r="AK581" i="3" s="1"/>
  <c r="AL581" i="3" s="1"/>
  <c r="AM581" i="3" s="1"/>
  <c r="AN581" i="3" s="1"/>
  <c r="V580" i="3"/>
  <c r="U580" i="3"/>
  <c r="T580" i="3"/>
  <c r="S580" i="3"/>
  <c r="R580" i="3"/>
  <c r="Q580" i="3"/>
  <c r="P580" i="3"/>
  <c r="O580" i="3"/>
  <c r="N580" i="3"/>
  <c r="M580" i="3"/>
  <c r="L580" i="3"/>
  <c r="K580" i="3"/>
  <c r="J580" i="3"/>
  <c r="I580" i="3"/>
  <c r="H580" i="3"/>
  <c r="G580" i="3"/>
  <c r="V579" i="3"/>
  <c r="U579" i="3"/>
  <c r="T579" i="3"/>
  <c r="S579" i="3"/>
  <c r="R579" i="3"/>
  <c r="Q579" i="3"/>
  <c r="P579" i="3"/>
  <c r="O579" i="3"/>
  <c r="N579" i="3"/>
  <c r="M579" i="3"/>
  <c r="L579" i="3"/>
  <c r="K579" i="3"/>
  <c r="J579" i="3"/>
  <c r="I579" i="3"/>
  <c r="H579" i="3"/>
  <c r="G579" i="3"/>
  <c r="V578" i="3"/>
  <c r="U578" i="3"/>
  <c r="T578" i="3"/>
  <c r="R578" i="3"/>
  <c r="Q578" i="3"/>
  <c r="P578" i="3"/>
  <c r="O578" i="3"/>
  <c r="N578" i="3"/>
  <c r="M578" i="3"/>
  <c r="L578" i="3"/>
  <c r="K578" i="3"/>
  <c r="J578" i="3"/>
  <c r="I578" i="3"/>
  <c r="H578" i="3"/>
  <c r="G578" i="3"/>
  <c r="W569" i="3"/>
  <c r="W428" i="3" s="1"/>
  <c r="V569" i="3"/>
  <c r="U569" i="3"/>
  <c r="U428" i="3" s="1"/>
  <c r="S569" i="3"/>
  <c r="S428" i="3" s="1"/>
  <c r="R569" i="3"/>
  <c r="R428" i="3" s="1"/>
  <c r="Q569" i="3"/>
  <c r="Q428" i="3" s="1"/>
  <c r="P569" i="3"/>
  <c r="P428" i="3" s="1"/>
  <c r="O569" i="3"/>
  <c r="O428" i="3" s="1"/>
  <c r="N569" i="3"/>
  <c r="N428" i="3" s="1"/>
  <c r="M569" i="3"/>
  <c r="M428" i="3" s="1"/>
  <c r="L569" i="3"/>
  <c r="L428" i="3" s="1"/>
  <c r="K569" i="3"/>
  <c r="K428" i="3" s="1"/>
  <c r="J569" i="3"/>
  <c r="J428" i="3" s="1"/>
  <c r="I569" i="3"/>
  <c r="I428" i="3" s="1"/>
  <c r="H569" i="3"/>
  <c r="H428" i="3" s="1"/>
  <c r="G569" i="3"/>
  <c r="G428" i="3" s="1"/>
  <c r="V567" i="3"/>
  <c r="S567" i="3"/>
  <c r="T567" i="3" s="1"/>
  <c r="U566" i="3"/>
  <c r="S566" i="3"/>
  <c r="U565" i="3"/>
  <c r="S565" i="3"/>
  <c r="R563" i="3"/>
  <c r="P563" i="3"/>
  <c r="N563" i="3"/>
  <c r="J563" i="3"/>
  <c r="H563" i="3"/>
  <c r="AN562" i="3"/>
  <c r="AM562" i="3"/>
  <c r="AL562" i="3"/>
  <c r="AK562" i="3"/>
  <c r="AJ562" i="3"/>
  <c r="AI562" i="3"/>
  <c r="AH562" i="3"/>
  <c r="AG562" i="3"/>
  <c r="AF562" i="3"/>
  <c r="AE562" i="3"/>
  <c r="AD562" i="3"/>
  <c r="AC562" i="3"/>
  <c r="AB562" i="3"/>
  <c r="AA562" i="3"/>
  <c r="Z562" i="3"/>
  <c r="Y562" i="3"/>
  <c r="X562" i="3"/>
  <c r="W562" i="3"/>
  <c r="V562" i="3"/>
  <c r="U562" i="3"/>
  <c r="T562" i="3"/>
  <c r="S562" i="3"/>
  <c r="R562" i="3"/>
  <c r="Q562" i="3"/>
  <c r="P562" i="3"/>
  <c r="O562" i="3"/>
  <c r="N562" i="3"/>
  <c r="M562" i="3"/>
  <c r="L562" i="3"/>
  <c r="K562" i="3"/>
  <c r="J562" i="3"/>
  <c r="I562" i="3"/>
  <c r="H562" i="3"/>
  <c r="G562" i="3"/>
  <c r="AN561" i="3"/>
  <c r="AM561" i="3"/>
  <c r="AL561" i="3"/>
  <c r="AK561" i="3"/>
  <c r="AJ561" i="3"/>
  <c r="AI561" i="3"/>
  <c r="AH561" i="3"/>
  <c r="AG561" i="3"/>
  <c r="AF561" i="3"/>
  <c r="AE561" i="3"/>
  <c r="AD561" i="3"/>
  <c r="AC561" i="3"/>
  <c r="AB561" i="3"/>
  <c r="AA561" i="3"/>
  <c r="Z561" i="3"/>
  <c r="Y561" i="3"/>
  <c r="X561" i="3"/>
  <c r="W561" i="3"/>
  <c r="V561" i="3"/>
  <c r="U561" i="3"/>
  <c r="T561" i="3"/>
  <c r="S561" i="3"/>
  <c r="R561" i="3"/>
  <c r="Q561" i="3"/>
  <c r="P561" i="3"/>
  <c r="O561" i="3"/>
  <c r="N561" i="3"/>
  <c r="M561" i="3"/>
  <c r="L561" i="3"/>
  <c r="K561" i="3"/>
  <c r="J561" i="3"/>
  <c r="I561" i="3"/>
  <c r="H561" i="3"/>
  <c r="G561" i="3"/>
  <c r="U560" i="3"/>
  <c r="S560" i="3"/>
  <c r="V554" i="3"/>
  <c r="T554" i="3"/>
  <c r="Q554" i="3"/>
  <c r="R554" i="3" s="1"/>
  <c r="O554" i="3"/>
  <c r="P554" i="3" s="1"/>
  <c r="M554" i="3"/>
  <c r="N554" i="3" s="1"/>
  <c r="K554" i="3"/>
  <c r="L554" i="3" s="1"/>
  <c r="I554" i="3"/>
  <c r="J554" i="3" s="1"/>
  <c r="G554" i="3"/>
  <c r="H554" i="3" s="1"/>
  <c r="W553" i="3"/>
  <c r="P553" i="3"/>
  <c r="N553" i="3"/>
  <c r="J553" i="3"/>
  <c r="H553" i="3"/>
  <c r="U551" i="3"/>
  <c r="S551" i="3"/>
  <c r="Q551" i="3"/>
  <c r="O551" i="3"/>
  <c r="M551" i="3"/>
  <c r="K551" i="3"/>
  <c r="G551" i="3"/>
  <c r="X550" i="3"/>
  <c r="W550" i="3"/>
  <c r="U550" i="3"/>
  <c r="S550" i="3"/>
  <c r="Q550" i="3"/>
  <c r="O550" i="3"/>
  <c r="M550" i="3"/>
  <c r="U548" i="3"/>
  <c r="T548" i="3"/>
  <c r="V542" i="3"/>
  <c r="T542" i="3"/>
  <c r="R542" i="3"/>
  <c r="P542" i="3"/>
  <c r="N542" i="3"/>
  <c r="L542" i="3"/>
  <c r="J542" i="3"/>
  <c r="H542" i="3"/>
  <c r="AN530" i="3"/>
  <c r="AN559" i="3" s="1"/>
  <c r="AM530" i="3"/>
  <c r="AM559" i="3" s="1"/>
  <c r="AL530" i="3"/>
  <c r="AL559" i="3" s="1"/>
  <c r="AK530" i="3"/>
  <c r="AK559" i="3" s="1"/>
  <c r="AJ530" i="3"/>
  <c r="AJ559" i="3" s="1"/>
  <c r="AI530" i="3"/>
  <c r="AI559" i="3" s="1"/>
  <c r="AH530" i="3"/>
  <c r="AH559" i="3" s="1"/>
  <c r="AG530" i="3"/>
  <c r="AG559" i="3" s="1"/>
  <c r="AF530" i="3"/>
  <c r="AF559" i="3" s="1"/>
  <c r="AE530" i="3"/>
  <c r="AE559" i="3" s="1"/>
  <c r="AD530" i="3"/>
  <c r="AD559" i="3" s="1"/>
  <c r="AC530" i="3"/>
  <c r="AC559" i="3" s="1"/>
  <c r="AB530" i="3"/>
  <c r="AB559" i="3" s="1"/>
  <c r="AA530" i="3"/>
  <c r="AA559" i="3" s="1"/>
  <c r="Z530" i="3"/>
  <c r="Z559" i="3" s="1"/>
  <c r="Y530" i="3"/>
  <c r="Y559" i="3" s="1"/>
  <c r="X530" i="3"/>
  <c r="X559" i="3" s="1"/>
  <c r="W530" i="3"/>
  <c r="W559" i="3" s="1"/>
  <c r="U525" i="3"/>
  <c r="N525" i="3"/>
  <c r="M525" i="3"/>
  <c r="L525" i="3"/>
  <c r="K525" i="3"/>
  <c r="J525" i="3"/>
  <c r="I525" i="3"/>
  <c r="H525" i="3"/>
  <c r="G525" i="3"/>
  <c r="N524" i="3"/>
  <c r="M524" i="3"/>
  <c r="L524" i="3"/>
  <c r="K524" i="3"/>
  <c r="J524" i="3"/>
  <c r="I524" i="3"/>
  <c r="H524" i="3"/>
  <c r="G524" i="3"/>
  <c r="U516" i="3"/>
  <c r="U520" i="3" s="1"/>
  <c r="S516" i="3"/>
  <c r="S520" i="3" s="1"/>
  <c r="Q516" i="3"/>
  <c r="Q520" i="3" s="1"/>
  <c r="O516" i="3"/>
  <c r="O520" i="3" s="1"/>
  <c r="V502" i="3"/>
  <c r="U502" i="3"/>
  <c r="T502" i="3"/>
  <c r="S502" i="3"/>
  <c r="R502" i="3"/>
  <c r="Q502" i="3"/>
  <c r="O502" i="3"/>
  <c r="M502" i="3"/>
  <c r="L502" i="3"/>
  <c r="K502" i="3"/>
  <c r="J502" i="3"/>
  <c r="I502" i="3"/>
  <c r="H502" i="3"/>
  <c r="G502" i="3"/>
  <c r="V501" i="3"/>
  <c r="U501" i="3"/>
  <c r="T501" i="3"/>
  <c r="S501" i="3"/>
  <c r="R501" i="3"/>
  <c r="Q501" i="3"/>
  <c r="P501" i="3"/>
  <c r="O501" i="3"/>
  <c r="N501" i="3"/>
  <c r="M501" i="3"/>
  <c r="L501" i="3"/>
  <c r="K501" i="3"/>
  <c r="J501" i="3"/>
  <c r="I501" i="3"/>
  <c r="H501" i="3"/>
  <c r="G501" i="3"/>
  <c r="V500" i="3"/>
  <c r="U500" i="3"/>
  <c r="T500" i="3"/>
  <c r="R500" i="3"/>
  <c r="Q500" i="3"/>
  <c r="P500" i="3"/>
  <c r="O500" i="3"/>
  <c r="N500" i="3"/>
  <c r="M500" i="3"/>
  <c r="L500" i="3"/>
  <c r="K500" i="3"/>
  <c r="J500" i="3"/>
  <c r="I500" i="3"/>
  <c r="H500" i="3"/>
  <c r="G500" i="3"/>
  <c r="V494" i="3"/>
  <c r="V493" i="3" s="1"/>
  <c r="P493" i="3"/>
  <c r="L493" i="3"/>
  <c r="J493" i="3"/>
  <c r="J303" i="11" s="1"/>
  <c r="P485" i="3"/>
  <c r="P307" i="11" s="1"/>
  <c r="O485" i="3"/>
  <c r="O307" i="11" s="1"/>
  <c r="N485" i="3"/>
  <c r="N307" i="11" s="1"/>
  <c r="M485" i="3"/>
  <c r="L485" i="3"/>
  <c r="L307" i="11" s="1"/>
  <c r="K485" i="3"/>
  <c r="J485" i="3"/>
  <c r="J307" i="11" s="1"/>
  <c r="I485" i="3"/>
  <c r="I307" i="11" s="1"/>
  <c r="H485" i="3"/>
  <c r="H307" i="11" s="1"/>
  <c r="G485" i="3"/>
  <c r="E485" i="3"/>
  <c r="U483" i="3"/>
  <c r="F483" i="3"/>
  <c r="F485" i="3" s="1"/>
  <c r="W482" i="3"/>
  <c r="V482" i="3"/>
  <c r="V487" i="3" s="1"/>
  <c r="I479" i="3"/>
  <c r="I478" i="3" s="1"/>
  <c r="H479" i="3"/>
  <c r="H478" i="3" s="1"/>
  <c r="V478" i="3"/>
  <c r="V479" i="3" s="1"/>
  <c r="V484" i="3" s="1"/>
  <c r="T478" i="3"/>
  <c r="T479" i="3" s="1"/>
  <c r="T484" i="3" s="1"/>
  <c r="S478" i="3"/>
  <c r="S479" i="3" s="1"/>
  <c r="S484" i="3" s="1"/>
  <c r="R478" i="3"/>
  <c r="R479" i="3" s="1"/>
  <c r="R484" i="3" s="1"/>
  <c r="V474" i="3"/>
  <c r="V483" i="3" s="1"/>
  <c r="T474" i="3"/>
  <c r="T483" i="3" s="1"/>
  <c r="S474" i="3"/>
  <c r="S483" i="3" s="1"/>
  <c r="R474" i="3"/>
  <c r="R483" i="3" s="1"/>
  <c r="K474" i="3"/>
  <c r="K473" i="3" s="1"/>
  <c r="J474" i="3"/>
  <c r="J473" i="3" s="1"/>
  <c r="U473" i="3"/>
  <c r="V465" i="3"/>
  <c r="U465" i="3"/>
  <c r="T465" i="3"/>
  <c r="S465" i="3"/>
  <c r="R465" i="3"/>
  <c r="Q465" i="3"/>
  <c r="P465" i="3"/>
  <c r="O465" i="3"/>
  <c r="N465" i="3"/>
  <c r="M465" i="3"/>
  <c r="L465" i="3"/>
  <c r="K465" i="3"/>
  <c r="J465" i="3"/>
  <c r="I465" i="3"/>
  <c r="H465" i="3"/>
  <c r="G465" i="3"/>
  <c r="F465" i="3"/>
  <c r="E465" i="3"/>
  <c r="U452" i="3"/>
  <c r="U458" i="3" s="1"/>
  <c r="S452" i="3"/>
  <c r="S458" i="3" s="1"/>
  <c r="Q452" i="3"/>
  <c r="Q458" i="3" s="1"/>
  <c r="O452" i="3"/>
  <c r="O458" i="3" s="1"/>
  <c r="U447" i="3"/>
  <c r="S447" i="3"/>
  <c r="Q447" i="3"/>
  <c r="O447" i="3"/>
  <c r="U440" i="3"/>
  <c r="S440" i="3"/>
  <c r="Q440" i="3"/>
  <c r="O440" i="3"/>
  <c r="M440" i="3"/>
  <c r="K440" i="3"/>
  <c r="I440" i="3"/>
  <c r="G440" i="3"/>
  <c r="U438" i="3"/>
  <c r="U529" i="3" s="1"/>
  <c r="K438" i="3"/>
  <c r="K529" i="3" s="1"/>
  <c r="K558" i="3" s="1"/>
  <c r="I438" i="3"/>
  <c r="I529" i="3" s="1"/>
  <c r="I558" i="3" s="1"/>
  <c r="I567" i="3" s="1"/>
  <c r="G438" i="3"/>
  <c r="G529" i="3" s="1"/>
  <c r="G558" i="3" s="1"/>
  <c r="V433" i="3"/>
  <c r="V438" i="3" s="1"/>
  <c r="V529" i="3" s="1"/>
  <c r="V558" i="3" s="1"/>
  <c r="T433" i="3"/>
  <c r="T438" i="3" s="1"/>
  <c r="T529" i="3" s="1"/>
  <c r="T558" i="3" s="1"/>
  <c r="R433" i="3"/>
  <c r="R438" i="3" s="1"/>
  <c r="R529" i="3" s="1"/>
  <c r="R558" i="3" s="1"/>
  <c r="P433" i="3"/>
  <c r="P438" i="3" s="1"/>
  <c r="P529" i="3" s="1"/>
  <c r="P558" i="3" s="1"/>
  <c r="N433" i="3"/>
  <c r="N438" i="3" s="1"/>
  <c r="N529" i="3" s="1"/>
  <c r="N558" i="3" s="1"/>
  <c r="M433" i="3"/>
  <c r="L433" i="3"/>
  <c r="L438" i="3" s="1"/>
  <c r="L529" i="3" s="1"/>
  <c r="L558" i="3" s="1"/>
  <c r="J433" i="3"/>
  <c r="J438" i="3" s="1"/>
  <c r="J529" i="3" s="1"/>
  <c r="J558" i="3" s="1"/>
  <c r="H433" i="3"/>
  <c r="H438" i="3" s="1"/>
  <c r="H529" i="3" s="1"/>
  <c r="H558" i="3" s="1"/>
  <c r="V429" i="3"/>
  <c r="U429" i="3"/>
  <c r="T429" i="3"/>
  <c r="R429" i="3"/>
  <c r="Q429" i="3"/>
  <c r="P429" i="3"/>
  <c r="O429" i="3"/>
  <c r="N429" i="3"/>
  <c r="M429" i="3"/>
  <c r="L429" i="3"/>
  <c r="K429" i="3"/>
  <c r="J429" i="3"/>
  <c r="I429" i="3"/>
  <c r="H429" i="3"/>
  <c r="G429" i="3"/>
  <c r="U424" i="3"/>
  <c r="S424" i="3"/>
  <c r="Q424" i="3"/>
  <c r="Q437" i="3" s="1"/>
  <c r="Q528" i="3" s="1"/>
  <c r="Q560" i="3" s="1"/>
  <c r="O424" i="3"/>
  <c r="M424" i="3"/>
  <c r="M437" i="3" s="1"/>
  <c r="M528" i="3" s="1"/>
  <c r="M560" i="3" s="1"/>
  <c r="K424" i="3"/>
  <c r="I424" i="3"/>
  <c r="I437" i="3" s="1"/>
  <c r="I528" i="3" s="1"/>
  <c r="I560" i="3" s="1"/>
  <c r="G424" i="3"/>
  <c r="G437" i="3" s="1"/>
  <c r="E424" i="3"/>
  <c r="V423" i="3"/>
  <c r="T423" i="3"/>
  <c r="R423" i="3"/>
  <c r="P423" i="3"/>
  <c r="N423" i="3"/>
  <c r="L423" i="3"/>
  <c r="J423" i="3"/>
  <c r="J424" i="3" s="1"/>
  <c r="J437" i="3" s="1"/>
  <c r="J528" i="3" s="1"/>
  <c r="J560" i="3" s="1"/>
  <c r="H423" i="3"/>
  <c r="H424" i="3" s="1"/>
  <c r="H437" i="3" s="1"/>
  <c r="H528" i="3" s="1"/>
  <c r="H560" i="3" s="1"/>
  <c r="F423" i="3"/>
  <c r="F424" i="3" s="1"/>
  <c r="V422" i="3"/>
  <c r="T422" i="3"/>
  <c r="R422" i="3"/>
  <c r="P422" i="3"/>
  <c r="N422" i="3"/>
  <c r="L422" i="3"/>
  <c r="V413" i="3"/>
  <c r="V418" i="3" s="1"/>
  <c r="U413" i="3"/>
  <c r="U418" i="3" s="1"/>
  <c r="T413" i="3"/>
  <c r="T418" i="3" s="1"/>
  <c r="S413" i="3"/>
  <c r="S418" i="3" s="1"/>
  <c r="T416" i="3" s="1"/>
  <c r="R413" i="3"/>
  <c r="R418" i="3" s="1"/>
  <c r="Q413" i="3"/>
  <c r="Q418" i="3" s="1"/>
  <c r="O413" i="3"/>
  <c r="O418" i="3" s="1"/>
  <c r="P416" i="3" s="1"/>
  <c r="M413" i="3"/>
  <c r="M418" i="3" s="1"/>
  <c r="L413" i="3"/>
  <c r="L418" i="3" s="1"/>
  <c r="K413" i="3"/>
  <c r="K418" i="3" s="1"/>
  <c r="L416" i="3" s="1"/>
  <c r="J413" i="3"/>
  <c r="J418" i="3" s="1"/>
  <c r="K416" i="3" s="1"/>
  <c r="I413" i="3"/>
  <c r="I418" i="3" s="1"/>
  <c r="H413" i="3"/>
  <c r="H418" i="3" s="1"/>
  <c r="G413" i="3"/>
  <c r="G418" i="3" s="1"/>
  <c r="F413" i="3"/>
  <c r="F418" i="3" s="1"/>
  <c r="E413" i="3"/>
  <c r="E418" i="3" s="1"/>
  <c r="F416" i="3" s="1"/>
  <c r="W411" i="3"/>
  <c r="W610" i="3" s="1"/>
  <c r="Y410" i="3"/>
  <c r="W410" i="3"/>
  <c r="W603" i="3" s="1"/>
  <c r="W409" i="3"/>
  <c r="W609" i="3" s="1"/>
  <c r="P409" i="3"/>
  <c r="P502" i="3" s="1"/>
  <c r="N409" i="3"/>
  <c r="N609" i="3" s="1"/>
  <c r="W408" i="3"/>
  <c r="W602" i="3" s="1"/>
  <c r="U403" i="3"/>
  <c r="M403" i="3"/>
  <c r="K403" i="3"/>
  <c r="G403" i="3"/>
  <c r="U400" i="3"/>
  <c r="N400" i="3"/>
  <c r="M400" i="3"/>
  <c r="L400" i="3"/>
  <c r="K400" i="3"/>
  <c r="J400" i="3"/>
  <c r="I400" i="3"/>
  <c r="H400" i="3"/>
  <c r="G400" i="3"/>
  <c r="V394" i="3"/>
  <c r="T394" i="3"/>
  <c r="S394" i="3" s="1"/>
  <c r="R394" i="3"/>
  <c r="R525" i="3" s="1"/>
  <c r="P394" i="3"/>
  <c r="P400" i="3" s="1"/>
  <c r="V393" i="3"/>
  <c r="T393" i="3"/>
  <c r="T551" i="3" s="1"/>
  <c r="R393" i="3"/>
  <c r="R551" i="3" s="1"/>
  <c r="P393" i="3"/>
  <c r="P551" i="3" s="1"/>
  <c r="N393" i="3"/>
  <c r="N403" i="3" s="1"/>
  <c r="L393" i="3"/>
  <c r="I393" i="3"/>
  <c r="H393" i="3"/>
  <c r="W392" i="3"/>
  <c r="V392" i="3"/>
  <c r="U392" i="3"/>
  <c r="U395" i="3" s="1"/>
  <c r="T392" i="3"/>
  <c r="S392" i="3"/>
  <c r="R392" i="3"/>
  <c r="Q392" i="3"/>
  <c r="P392" i="3"/>
  <c r="O392" i="3"/>
  <c r="N392" i="3"/>
  <c r="M392" i="3"/>
  <c r="M395" i="3" s="1"/>
  <c r="L392" i="3"/>
  <c r="K392" i="3"/>
  <c r="K395" i="3" s="1"/>
  <c r="J392" i="3"/>
  <c r="I392" i="3"/>
  <c r="H392" i="3"/>
  <c r="G392" i="3"/>
  <c r="G395" i="3" s="1"/>
  <c r="M388" i="3"/>
  <c r="X385" i="3"/>
  <c r="Y385" i="3" s="1"/>
  <c r="Z385" i="3" s="1"/>
  <c r="AA385" i="3" s="1"/>
  <c r="AB385" i="3" s="1"/>
  <c r="AC385" i="3" s="1"/>
  <c r="AD385" i="3" s="1"/>
  <c r="AE385" i="3" s="1"/>
  <c r="AF385" i="3" s="1"/>
  <c r="AG385" i="3" s="1"/>
  <c r="AH385" i="3" s="1"/>
  <c r="AI385" i="3" s="1"/>
  <c r="AJ385" i="3" s="1"/>
  <c r="AK385" i="3" s="1"/>
  <c r="AL385" i="3" s="1"/>
  <c r="AM385" i="3" s="1"/>
  <c r="AN385" i="3" s="1"/>
  <c r="N385" i="3"/>
  <c r="M385" i="3"/>
  <c r="L385" i="3"/>
  <c r="K385" i="3"/>
  <c r="J385" i="3"/>
  <c r="I385" i="3"/>
  <c r="H385" i="3"/>
  <c r="G385" i="3"/>
  <c r="W379" i="3"/>
  <c r="W524" i="3" s="1"/>
  <c r="U379" i="3"/>
  <c r="V378" i="3"/>
  <c r="V550" i="3" s="1"/>
  <c r="T378" i="3"/>
  <c r="T550" i="3" s="1"/>
  <c r="R378" i="3"/>
  <c r="R550" i="3" s="1"/>
  <c r="P378" i="3"/>
  <c r="P550" i="3" s="1"/>
  <c r="N378" i="3"/>
  <c r="N550" i="3" s="1"/>
  <c r="K378" i="3"/>
  <c r="K550" i="3" s="1"/>
  <c r="I378" i="3"/>
  <c r="G378" i="3"/>
  <c r="G550" i="3" s="1"/>
  <c r="W377" i="3"/>
  <c r="V377" i="3"/>
  <c r="U377" i="3"/>
  <c r="T377" i="3"/>
  <c r="S377" i="3"/>
  <c r="R377" i="3"/>
  <c r="Q377" i="3"/>
  <c r="P377" i="3"/>
  <c r="O377" i="3"/>
  <c r="N377" i="3"/>
  <c r="M377" i="3"/>
  <c r="M380" i="3" s="1"/>
  <c r="L377" i="3"/>
  <c r="K377" i="3"/>
  <c r="J377" i="3"/>
  <c r="I377" i="3"/>
  <c r="H377" i="3"/>
  <c r="G377" i="3"/>
  <c r="V370" i="3"/>
  <c r="T370" i="3"/>
  <c r="R370" i="3"/>
  <c r="P370" i="3"/>
  <c r="N370" i="3"/>
  <c r="L370" i="3"/>
  <c r="J370" i="3"/>
  <c r="J345" i="11" s="1"/>
  <c r="H370" i="3"/>
  <c r="H345" i="11" s="1"/>
  <c r="V368" i="3"/>
  <c r="T368" i="3"/>
  <c r="R368" i="3"/>
  <c r="P368" i="3"/>
  <c r="N368" i="3"/>
  <c r="L368" i="3"/>
  <c r="J368" i="3"/>
  <c r="J341" i="11" s="1"/>
  <c r="H368" i="3"/>
  <c r="H341" i="11" s="1"/>
  <c r="AN367" i="3"/>
  <c r="AN543" i="3" s="1"/>
  <c r="AM367" i="3"/>
  <c r="AM543" i="3" s="1"/>
  <c r="AL367" i="3"/>
  <c r="AL543" i="3" s="1"/>
  <c r="AK367" i="3"/>
  <c r="AK543" i="3" s="1"/>
  <c r="AJ367" i="3"/>
  <c r="AJ543" i="3" s="1"/>
  <c r="AI367" i="3"/>
  <c r="AI543" i="3" s="1"/>
  <c r="AH367" i="3"/>
  <c r="AH543" i="3" s="1"/>
  <c r="AG367" i="3"/>
  <c r="AG543" i="3" s="1"/>
  <c r="AF367" i="3"/>
  <c r="AF543" i="3" s="1"/>
  <c r="AE367" i="3"/>
  <c r="AE543" i="3" s="1"/>
  <c r="AD367" i="3"/>
  <c r="AD543" i="3" s="1"/>
  <c r="AC367" i="3"/>
  <c r="AC543" i="3" s="1"/>
  <c r="AB367" i="3"/>
  <c r="AB543" i="3" s="1"/>
  <c r="AA367" i="3"/>
  <c r="AA543" i="3" s="1"/>
  <c r="Z367" i="3"/>
  <c r="Z543" i="3" s="1"/>
  <c r="Y367" i="3"/>
  <c r="Y543" i="3" s="1"/>
  <c r="X367" i="3"/>
  <c r="X543" i="3" s="1"/>
  <c r="W367" i="3"/>
  <c r="W543" i="3" s="1"/>
  <c r="U366" i="3"/>
  <c r="U367" i="3" s="1"/>
  <c r="S366" i="3"/>
  <c r="S367" i="3" s="1"/>
  <c r="Q366" i="3"/>
  <c r="Q367" i="3" s="1"/>
  <c r="O366" i="3"/>
  <c r="O367" i="3" s="1"/>
  <c r="M366" i="3"/>
  <c r="M367" i="3" s="1"/>
  <c r="K366" i="3"/>
  <c r="K367" i="3" s="1"/>
  <c r="I366" i="3"/>
  <c r="I367" i="3" s="1"/>
  <c r="G366" i="3"/>
  <c r="G367" i="3" s="1"/>
  <c r="V364" i="3"/>
  <c r="T364" i="3"/>
  <c r="AN363" i="3"/>
  <c r="AM363" i="3"/>
  <c r="AL363" i="3"/>
  <c r="AK363" i="3"/>
  <c r="AJ363" i="3"/>
  <c r="AI363" i="3"/>
  <c r="AH363" i="3"/>
  <c r="AG363" i="3"/>
  <c r="AF363" i="3"/>
  <c r="AE363" i="3"/>
  <c r="AD363" i="3"/>
  <c r="AC363" i="3"/>
  <c r="AB363" i="3"/>
  <c r="AA363" i="3"/>
  <c r="Z363" i="3"/>
  <c r="Y363" i="3"/>
  <c r="X363" i="3"/>
  <c r="W363" i="3"/>
  <c r="V360" i="3"/>
  <c r="T360" i="3"/>
  <c r="R360" i="3"/>
  <c r="P360" i="3"/>
  <c r="N360" i="3"/>
  <c r="L360" i="3"/>
  <c r="J360" i="3"/>
  <c r="H360" i="3"/>
  <c r="U358" i="3"/>
  <c r="U359" i="3" s="1"/>
  <c r="S358" i="3"/>
  <c r="S359" i="3" s="1"/>
  <c r="Q358" i="3"/>
  <c r="Q359" i="3" s="1"/>
  <c r="O358" i="3"/>
  <c r="O359" i="3" s="1"/>
  <c r="M358" i="3"/>
  <c r="M359" i="3" s="1"/>
  <c r="K358" i="3"/>
  <c r="K359" i="3" s="1"/>
  <c r="I358" i="3"/>
  <c r="I359" i="3" s="1"/>
  <c r="G358" i="3"/>
  <c r="G359" i="3" s="1"/>
  <c r="V356" i="3"/>
  <c r="T356" i="3"/>
  <c r="R356" i="3"/>
  <c r="P356" i="3"/>
  <c r="N356" i="3"/>
  <c r="L356" i="3"/>
  <c r="J356" i="3"/>
  <c r="J313" i="11" s="1"/>
  <c r="H356" i="3"/>
  <c r="H313" i="11" s="1"/>
  <c r="U354" i="3"/>
  <c r="S354" i="3"/>
  <c r="S401" i="3" s="1"/>
  <c r="Q354" i="3"/>
  <c r="O354" i="3"/>
  <c r="O355" i="3" s="1"/>
  <c r="V349" i="3"/>
  <c r="T349" i="3"/>
  <c r="R349" i="3"/>
  <c r="P349" i="3"/>
  <c r="N349" i="3"/>
  <c r="L349" i="3"/>
  <c r="J349" i="3"/>
  <c r="J299" i="11" s="1"/>
  <c r="H349" i="3"/>
  <c r="H299" i="11" s="1"/>
  <c r="V348" i="3"/>
  <c r="V366" i="3" s="1"/>
  <c r="T348" i="3"/>
  <c r="T366" i="3" s="1"/>
  <c r="R348" i="3"/>
  <c r="R366" i="3" s="1"/>
  <c r="P348" i="3"/>
  <c r="N348" i="3"/>
  <c r="L348" i="3"/>
  <c r="J348" i="3"/>
  <c r="J295" i="11" s="1"/>
  <c r="H348" i="3"/>
  <c r="V340" i="3"/>
  <c r="T340" i="3"/>
  <c r="R340" i="3"/>
  <c r="P340" i="3"/>
  <c r="N340" i="3"/>
  <c r="L340" i="3"/>
  <c r="J340" i="3"/>
  <c r="J287" i="11" s="1"/>
  <c r="J288" i="11" s="1"/>
  <c r="H340" i="3"/>
  <c r="H287" i="11" s="1"/>
  <c r="N336" i="3"/>
  <c r="M336" i="3"/>
  <c r="M338" i="3" s="1"/>
  <c r="L336" i="3"/>
  <c r="K336" i="3"/>
  <c r="K338" i="3" s="1"/>
  <c r="K343" i="3" s="1"/>
  <c r="J336" i="3"/>
  <c r="I336" i="3"/>
  <c r="I338" i="3" s="1"/>
  <c r="H336" i="3"/>
  <c r="G336" i="3"/>
  <c r="G338" i="3" s="1"/>
  <c r="U333" i="3"/>
  <c r="S333" i="3"/>
  <c r="Q333" i="3"/>
  <c r="O333" i="3"/>
  <c r="N329" i="3"/>
  <c r="M329" i="3"/>
  <c r="L329" i="3"/>
  <c r="K329" i="3"/>
  <c r="J329" i="3"/>
  <c r="I329" i="3"/>
  <c r="H329" i="3"/>
  <c r="G329" i="3"/>
  <c r="F329" i="3"/>
  <c r="E329" i="3"/>
  <c r="V325" i="3"/>
  <c r="V358" i="3" s="1"/>
  <c r="T325" i="3"/>
  <c r="T1" i="3" s="1"/>
  <c r="R325" i="3"/>
  <c r="P325" i="3"/>
  <c r="N325" i="3"/>
  <c r="L325" i="3"/>
  <c r="J325" i="3"/>
  <c r="H325" i="3"/>
  <c r="F325" i="3"/>
  <c r="X323" i="3"/>
  <c r="O35" i="6" s="1"/>
  <c r="BR35" i="6" s="1"/>
  <c r="U323" i="3"/>
  <c r="L35" i="6" s="1"/>
  <c r="S323" i="3"/>
  <c r="J35" i="6" s="1"/>
  <c r="Q323" i="3"/>
  <c r="H35" i="6" s="1"/>
  <c r="BK35" i="6" s="1"/>
  <c r="O323" i="3"/>
  <c r="F35" i="6" s="1"/>
  <c r="BI35" i="6" s="1"/>
  <c r="M323" i="3"/>
  <c r="K323" i="3"/>
  <c r="I323" i="3"/>
  <c r="G323" i="3"/>
  <c r="E323" i="3"/>
  <c r="U322" i="3"/>
  <c r="S322" i="3"/>
  <c r="Q322" i="3"/>
  <c r="O322" i="3"/>
  <c r="M322" i="3"/>
  <c r="H322" i="3"/>
  <c r="G322" i="3"/>
  <c r="F322" i="3"/>
  <c r="E322" i="3"/>
  <c r="U321" i="3"/>
  <c r="S321" i="3"/>
  <c r="J33" i="6" s="1"/>
  <c r="Q321" i="3"/>
  <c r="H33" i="6" s="1"/>
  <c r="O321" i="3"/>
  <c r="F33" i="6" s="1"/>
  <c r="U320" i="3"/>
  <c r="L32" i="6" s="1"/>
  <c r="S320" i="3"/>
  <c r="J32" i="6" s="1"/>
  <c r="Q320" i="3"/>
  <c r="H32" i="6" s="1"/>
  <c r="O320" i="3"/>
  <c r="U319" i="3"/>
  <c r="L31" i="6" s="1"/>
  <c r="S319" i="3"/>
  <c r="J31" i="6" s="1"/>
  <c r="Q319" i="3"/>
  <c r="H31" i="6" s="1"/>
  <c r="O319" i="3"/>
  <c r="F31" i="6" s="1"/>
  <c r="U316" i="3"/>
  <c r="S316" i="3"/>
  <c r="Q316" i="3"/>
  <c r="O316" i="3"/>
  <c r="M316" i="3"/>
  <c r="K316" i="3"/>
  <c r="I316" i="3"/>
  <c r="G316" i="3"/>
  <c r="Z315" i="3"/>
  <c r="AB315" i="3" s="1"/>
  <c r="AB323" i="3" s="1"/>
  <c r="W315" i="3"/>
  <c r="W323" i="3" s="1"/>
  <c r="N35" i="6" s="1"/>
  <c r="BQ35" i="6" s="1"/>
  <c r="V315" i="3"/>
  <c r="V323" i="3" s="1"/>
  <c r="M35" i="6" s="1"/>
  <c r="BP35" i="6" s="1"/>
  <c r="T315" i="3"/>
  <c r="T323" i="3" s="1"/>
  <c r="K35" i="6" s="1"/>
  <c r="BN35" i="6" s="1"/>
  <c r="R315" i="3"/>
  <c r="R323" i="3" s="1"/>
  <c r="I35" i="6" s="1"/>
  <c r="BL35" i="6" s="1"/>
  <c r="P315" i="3"/>
  <c r="P323" i="3" s="1"/>
  <c r="G35" i="6" s="1"/>
  <c r="BJ35" i="6" s="1"/>
  <c r="N315" i="3"/>
  <c r="L315" i="3"/>
  <c r="L323" i="3" s="1"/>
  <c r="J315" i="3"/>
  <c r="J323" i="3" s="1"/>
  <c r="H315" i="3"/>
  <c r="H323" i="3" s="1"/>
  <c r="F315" i="3"/>
  <c r="F323" i="3" s="1"/>
  <c r="U313" i="3"/>
  <c r="U521" i="3" s="1"/>
  <c r="S313" i="3"/>
  <c r="Q313" i="3"/>
  <c r="O313" i="3"/>
  <c r="V311" i="3"/>
  <c r="V516" i="3" s="1"/>
  <c r="V520" i="3" s="1"/>
  <c r="T311" i="3"/>
  <c r="T354" i="3" s="1"/>
  <c r="R311" i="3"/>
  <c r="R354" i="3" s="1"/>
  <c r="P311" i="3"/>
  <c r="P447" i="3" s="1"/>
  <c r="AA309" i="3"/>
  <c r="Z309" i="3"/>
  <c r="Y309" i="3"/>
  <c r="X309" i="3"/>
  <c r="O27" i="6" s="1"/>
  <c r="BR27" i="6" s="1"/>
  <c r="W309" i="3"/>
  <c r="N27" i="6" s="1"/>
  <c r="BQ27" i="6" s="1"/>
  <c r="U309" i="3"/>
  <c r="L27" i="6" s="1"/>
  <c r="S309" i="3"/>
  <c r="J27" i="6" s="1"/>
  <c r="Q309" i="3"/>
  <c r="H27" i="6" s="1"/>
  <c r="BK27" i="6" s="1"/>
  <c r="O309" i="3"/>
  <c r="F27" i="6" s="1"/>
  <c r="BI27" i="6" s="1"/>
  <c r="M309" i="3"/>
  <c r="K309" i="3"/>
  <c r="I309" i="3"/>
  <c r="H309" i="3"/>
  <c r="G309" i="3"/>
  <c r="F309" i="3"/>
  <c r="E309" i="3"/>
  <c r="U308" i="3"/>
  <c r="S308" i="3"/>
  <c r="U307" i="3"/>
  <c r="L25" i="6" s="1"/>
  <c r="S307" i="3"/>
  <c r="J25" i="6" s="1"/>
  <c r="U306" i="3"/>
  <c r="S306" i="3"/>
  <c r="J24" i="6" s="1"/>
  <c r="R299" i="3"/>
  <c r="N54" i="13" s="1"/>
  <c r="P299" i="3"/>
  <c r="L54" i="13" s="1"/>
  <c r="M299" i="3"/>
  <c r="I54" i="13" s="1"/>
  <c r="K299" i="3"/>
  <c r="G54" i="13" s="1"/>
  <c r="I299" i="3"/>
  <c r="I322" i="3" s="1"/>
  <c r="Q297" i="3"/>
  <c r="O297" i="3"/>
  <c r="R296" i="3"/>
  <c r="P296" i="3"/>
  <c r="Z293" i="3"/>
  <c r="V53" i="13" s="1"/>
  <c r="Y293" i="3"/>
  <c r="U53" i="13" s="1"/>
  <c r="X293" i="3"/>
  <c r="W293" i="3"/>
  <c r="V293" i="3"/>
  <c r="V322" i="3" s="1"/>
  <c r="T293" i="3"/>
  <c r="T322" i="3" s="1"/>
  <c r="R293" i="3"/>
  <c r="R322" i="3" s="1"/>
  <c r="P293" i="3"/>
  <c r="P322" i="3" s="1"/>
  <c r="N293" i="3"/>
  <c r="J53" i="13" s="1"/>
  <c r="L293" i="3"/>
  <c r="H53" i="13" s="1"/>
  <c r="J293" i="3"/>
  <c r="J299" i="3" s="1"/>
  <c r="J322" i="3" s="1"/>
  <c r="Y291" i="3"/>
  <c r="X291" i="3"/>
  <c r="W291" i="3"/>
  <c r="AA290" i="3"/>
  <c r="W52" i="13" s="1"/>
  <c r="V290" i="3"/>
  <c r="R52" i="13" s="1"/>
  <c r="T290" i="3"/>
  <c r="P52" i="13" s="1"/>
  <c r="R290" i="3"/>
  <c r="N52" i="13" s="1"/>
  <c r="P290" i="3"/>
  <c r="L52" i="13" s="1"/>
  <c r="N290" i="3"/>
  <c r="J52" i="13" s="1"/>
  <c r="AG52" i="13" s="1"/>
  <c r="L290" i="3"/>
  <c r="H52" i="13" s="1"/>
  <c r="J290" i="3"/>
  <c r="Y288" i="3"/>
  <c r="W288" i="3"/>
  <c r="AC287" i="3"/>
  <c r="Y51" i="13" s="1"/>
  <c r="AB287" i="3"/>
  <c r="X51" i="13" s="1"/>
  <c r="V287" i="3"/>
  <c r="T287" i="3"/>
  <c r="P51" i="13" s="1"/>
  <c r="R287" i="3"/>
  <c r="N51" i="13" s="1"/>
  <c r="P287" i="3"/>
  <c r="L51" i="13" s="1"/>
  <c r="AH51" i="13" s="1"/>
  <c r="N287" i="3"/>
  <c r="J51" i="13" s="1"/>
  <c r="L287" i="3"/>
  <c r="H51" i="13" s="1"/>
  <c r="J287" i="3"/>
  <c r="J309" i="3" s="1"/>
  <c r="Q285" i="3"/>
  <c r="O285" i="3"/>
  <c r="M285" i="3"/>
  <c r="R284" i="3"/>
  <c r="P284" i="3"/>
  <c r="N284" i="3"/>
  <c r="Q282" i="3"/>
  <c r="O282" i="3"/>
  <c r="M282" i="3"/>
  <c r="R281" i="3"/>
  <c r="P281" i="3"/>
  <c r="N281" i="3"/>
  <c r="Q279" i="3"/>
  <c r="O279" i="3"/>
  <c r="R278" i="3"/>
  <c r="N50" i="13" s="1"/>
  <c r="P278" i="3"/>
  <c r="L50" i="13" s="1"/>
  <c r="N278" i="3"/>
  <c r="J50" i="13" s="1"/>
  <c r="V272" i="3"/>
  <c r="T272" i="3"/>
  <c r="R272" i="3"/>
  <c r="P272" i="3"/>
  <c r="V271" i="3"/>
  <c r="T271" i="3"/>
  <c r="R271" i="3"/>
  <c r="P271" i="3"/>
  <c r="V270" i="3"/>
  <c r="T270" i="3"/>
  <c r="R270" i="3"/>
  <c r="P270" i="3"/>
  <c r="V267" i="3"/>
  <c r="T267" i="3"/>
  <c r="R267" i="3"/>
  <c r="P267" i="3"/>
  <c r="V266" i="3"/>
  <c r="T266" i="3"/>
  <c r="R266" i="3"/>
  <c r="P266" i="3"/>
  <c r="V265" i="3"/>
  <c r="T265" i="3"/>
  <c r="R265" i="3"/>
  <c r="P265" i="3"/>
  <c r="V257" i="3"/>
  <c r="T257" i="3"/>
  <c r="T321" i="3" s="1"/>
  <c r="R257" i="3"/>
  <c r="R321" i="3" s="1"/>
  <c r="P257" i="3"/>
  <c r="P321" i="3" s="1"/>
  <c r="V256" i="3"/>
  <c r="V320" i="3" s="1"/>
  <c r="T256" i="3"/>
  <c r="R256" i="3"/>
  <c r="P256" i="3"/>
  <c r="P320" i="3" s="1"/>
  <c r="G32" i="6" s="1"/>
  <c r="V255" i="3"/>
  <c r="V319" i="3" s="1"/>
  <c r="M31" i="6" s="1"/>
  <c r="T255" i="3"/>
  <c r="T319" i="3" s="1"/>
  <c r="R255" i="3"/>
  <c r="R319" i="3" s="1"/>
  <c r="P255" i="3"/>
  <c r="V252" i="3"/>
  <c r="T252" i="3"/>
  <c r="R252" i="3"/>
  <c r="P252" i="3"/>
  <c r="V251" i="3"/>
  <c r="T251" i="3"/>
  <c r="R251" i="3"/>
  <c r="P251" i="3"/>
  <c r="V250" i="3"/>
  <c r="T250" i="3"/>
  <c r="R250" i="3"/>
  <c r="P250" i="3"/>
  <c r="Z247" i="3"/>
  <c r="Y247" i="3"/>
  <c r="Z246" i="3"/>
  <c r="Y246" i="3"/>
  <c r="Z245" i="3"/>
  <c r="Y245" i="3"/>
  <c r="AB242" i="3"/>
  <c r="AD242" i="3" s="1"/>
  <c r="AF242" i="3" s="1"/>
  <c r="AH242" i="3" s="1"/>
  <c r="AJ242" i="3" s="1"/>
  <c r="AL242" i="3" s="1"/>
  <c r="AN242" i="3" s="1"/>
  <c r="AA242" i="3"/>
  <c r="AC242" i="3" s="1"/>
  <c r="AE242" i="3" s="1"/>
  <c r="AG242" i="3" s="1"/>
  <c r="AI242" i="3" s="1"/>
  <c r="AK242" i="3" s="1"/>
  <c r="AM242" i="3" s="1"/>
  <c r="AB241" i="3"/>
  <c r="AD241" i="3" s="1"/>
  <c r="AF241" i="3" s="1"/>
  <c r="AH241" i="3" s="1"/>
  <c r="AJ241" i="3" s="1"/>
  <c r="AL241" i="3" s="1"/>
  <c r="AN241" i="3" s="1"/>
  <c r="AA241" i="3"/>
  <c r="AC241" i="3" s="1"/>
  <c r="AE241" i="3" s="1"/>
  <c r="AG241" i="3" s="1"/>
  <c r="AI241" i="3" s="1"/>
  <c r="AK241" i="3" s="1"/>
  <c r="AM241" i="3" s="1"/>
  <c r="AB240" i="3"/>
  <c r="AD240" i="3" s="1"/>
  <c r="AF240" i="3" s="1"/>
  <c r="AH240" i="3" s="1"/>
  <c r="AJ240" i="3" s="1"/>
  <c r="AL240" i="3" s="1"/>
  <c r="AN240" i="3" s="1"/>
  <c r="AA240" i="3"/>
  <c r="AC240" i="3" s="1"/>
  <c r="AE240" i="3" s="1"/>
  <c r="AG240" i="3" s="1"/>
  <c r="AI240" i="3" s="1"/>
  <c r="AK240" i="3" s="1"/>
  <c r="AM240" i="3" s="1"/>
  <c r="U237" i="3"/>
  <c r="S237" i="3"/>
  <c r="Q237" i="3"/>
  <c r="O237" i="3"/>
  <c r="U236" i="3"/>
  <c r="S236" i="3"/>
  <c r="Q236" i="3"/>
  <c r="O236" i="3"/>
  <c r="U235" i="3"/>
  <c r="S235" i="3"/>
  <c r="Q235" i="3"/>
  <c r="O235" i="3"/>
  <c r="W232" i="3"/>
  <c r="X232" i="3" s="1"/>
  <c r="Y232" i="3" s="1"/>
  <c r="Z232" i="3" s="1"/>
  <c r="AA232" i="3" s="1"/>
  <c r="AB232" i="3" s="1"/>
  <c r="AC232" i="3" s="1"/>
  <c r="AD232" i="3" s="1"/>
  <c r="AE232" i="3" s="1"/>
  <c r="AF232" i="3" s="1"/>
  <c r="AG232" i="3" s="1"/>
  <c r="AH232" i="3" s="1"/>
  <c r="AI232" i="3" s="1"/>
  <c r="AJ232" i="3" s="1"/>
  <c r="AK232" i="3" s="1"/>
  <c r="AL232" i="3" s="1"/>
  <c r="AM232" i="3" s="1"/>
  <c r="AN232" i="3" s="1"/>
  <c r="W231" i="3"/>
  <c r="X231" i="3" s="1"/>
  <c r="Y231" i="3" s="1"/>
  <c r="Z231" i="3" s="1"/>
  <c r="AA231" i="3" s="1"/>
  <c r="AB231" i="3" s="1"/>
  <c r="AC231" i="3" s="1"/>
  <c r="AD231" i="3" s="1"/>
  <c r="AE231" i="3" s="1"/>
  <c r="AF231" i="3" s="1"/>
  <c r="AG231" i="3" s="1"/>
  <c r="AH231" i="3" s="1"/>
  <c r="AI231" i="3" s="1"/>
  <c r="AJ231" i="3" s="1"/>
  <c r="AK231" i="3" s="1"/>
  <c r="AL231" i="3" s="1"/>
  <c r="AM231" i="3" s="1"/>
  <c r="AN231" i="3" s="1"/>
  <c r="W230" i="3"/>
  <c r="X230" i="3" s="1"/>
  <c r="Y230" i="3" s="1"/>
  <c r="Z230" i="3" s="1"/>
  <c r="AA230" i="3" s="1"/>
  <c r="AB230" i="3" s="1"/>
  <c r="AC230" i="3" s="1"/>
  <c r="AD230" i="3" s="1"/>
  <c r="AE230" i="3" s="1"/>
  <c r="AF230" i="3" s="1"/>
  <c r="AG230" i="3" s="1"/>
  <c r="AH230" i="3" s="1"/>
  <c r="AI230" i="3" s="1"/>
  <c r="AJ230" i="3" s="1"/>
  <c r="AK230" i="3" s="1"/>
  <c r="AL230" i="3" s="1"/>
  <c r="AM230" i="3" s="1"/>
  <c r="AN230" i="3" s="1"/>
  <c r="U226" i="3"/>
  <c r="U262" i="3" s="1"/>
  <c r="S226" i="3"/>
  <c r="S262" i="3" s="1"/>
  <c r="U225" i="3"/>
  <c r="U261" i="3" s="1"/>
  <c r="S225" i="3"/>
  <c r="S261" i="3" s="1"/>
  <c r="U224" i="3"/>
  <c r="S224" i="3"/>
  <c r="S260" i="3" s="1"/>
  <c r="Z214" i="3"/>
  <c r="Z100" i="3" s="1"/>
  <c r="V37" i="13" s="1"/>
  <c r="Y214" i="3"/>
  <c r="Y249" i="11" s="1"/>
  <c r="Y250" i="11" s="1"/>
  <c r="X214" i="3"/>
  <c r="X249" i="11" s="1"/>
  <c r="W214" i="3"/>
  <c r="W249" i="11" s="1"/>
  <c r="U214" i="3"/>
  <c r="U249" i="11" s="1"/>
  <c r="S214" i="3"/>
  <c r="Q214" i="3"/>
  <c r="O214" i="3"/>
  <c r="N214" i="3"/>
  <c r="M214" i="3"/>
  <c r="M249" i="11" s="1"/>
  <c r="K214" i="3"/>
  <c r="K249" i="11" s="1"/>
  <c r="I214" i="3"/>
  <c r="I249" i="11" s="1"/>
  <c r="G214" i="3"/>
  <c r="G249" i="11" s="1"/>
  <c r="E214" i="3"/>
  <c r="E249" i="11" s="1"/>
  <c r="Z213" i="3"/>
  <c r="Z152" i="11" s="1"/>
  <c r="Y213" i="3"/>
  <c r="Y152" i="11" s="1"/>
  <c r="X213" i="3"/>
  <c r="X152" i="11" s="1"/>
  <c r="W213" i="3"/>
  <c r="W152" i="11" s="1"/>
  <c r="U213" i="3"/>
  <c r="S213" i="3"/>
  <c r="Q213" i="3"/>
  <c r="Q152" i="11" s="1"/>
  <c r="O213" i="3"/>
  <c r="O152" i="11" s="1"/>
  <c r="N213" i="3"/>
  <c r="M213" i="3"/>
  <c r="M152" i="11" s="1"/>
  <c r="L213" i="3"/>
  <c r="L152" i="11" s="1"/>
  <c r="K213" i="3"/>
  <c r="K152" i="11" s="1"/>
  <c r="J213" i="3"/>
  <c r="J152" i="11" s="1"/>
  <c r="I213" i="3"/>
  <c r="H213" i="3"/>
  <c r="H152" i="11" s="1"/>
  <c r="G213" i="3"/>
  <c r="G152" i="11" s="1"/>
  <c r="F213" i="3"/>
  <c r="F152" i="11" s="1"/>
  <c r="E213" i="3"/>
  <c r="E152" i="11" s="1"/>
  <c r="Y212" i="3"/>
  <c r="Y106" i="11" s="1"/>
  <c r="X212" i="3"/>
  <c r="X106" i="11" s="1"/>
  <c r="W212" i="3"/>
  <c r="W86" i="3" s="1"/>
  <c r="U212" i="3"/>
  <c r="S212" i="3"/>
  <c r="Q212" i="3"/>
  <c r="Q106" i="11" s="1"/>
  <c r="O212" i="3"/>
  <c r="O106" i="11" s="1"/>
  <c r="N212" i="3"/>
  <c r="N106" i="11" s="1"/>
  <c r="M212" i="3"/>
  <c r="M106" i="11" s="1"/>
  <c r="K212" i="3"/>
  <c r="I212" i="3"/>
  <c r="I106" i="11" s="1"/>
  <c r="G212" i="3"/>
  <c r="E212" i="3"/>
  <c r="E106" i="11" s="1"/>
  <c r="U209" i="3"/>
  <c r="S209" i="3"/>
  <c r="Q209" i="3"/>
  <c r="P209" i="3"/>
  <c r="U208" i="3"/>
  <c r="S208" i="3"/>
  <c r="Q208" i="3"/>
  <c r="P208" i="3"/>
  <c r="U207" i="3"/>
  <c r="S207" i="3"/>
  <c r="Q207" i="3"/>
  <c r="P207" i="3"/>
  <c r="AB204" i="3"/>
  <c r="AD204" i="3" s="1"/>
  <c r="AF204" i="3" s="1"/>
  <c r="AH204" i="3" s="1"/>
  <c r="AJ204" i="3" s="1"/>
  <c r="AL204" i="3" s="1"/>
  <c r="AN204" i="3" s="1"/>
  <c r="AA204" i="3"/>
  <c r="AC204" i="3" s="1"/>
  <c r="AE204" i="3" s="1"/>
  <c r="AG204" i="3" s="1"/>
  <c r="AI204" i="3" s="1"/>
  <c r="AK204" i="3" s="1"/>
  <c r="AM204" i="3" s="1"/>
  <c r="V204" i="3"/>
  <c r="T204" i="3"/>
  <c r="R204" i="3"/>
  <c r="R209" i="3" s="1"/>
  <c r="AB203" i="3"/>
  <c r="AD203" i="3" s="1"/>
  <c r="AF203" i="3" s="1"/>
  <c r="AH203" i="3" s="1"/>
  <c r="AJ203" i="3" s="1"/>
  <c r="AL203" i="3" s="1"/>
  <c r="AN203" i="3" s="1"/>
  <c r="AA203" i="3"/>
  <c r="AC203" i="3" s="1"/>
  <c r="AE203" i="3" s="1"/>
  <c r="AG203" i="3" s="1"/>
  <c r="AI203" i="3" s="1"/>
  <c r="AK203" i="3" s="1"/>
  <c r="AM203" i="3" s="1"/>
  <c r="V203" i="3"/>
  <c r="T203" i="3"/>
  <c r="R203" i="3"/>
  <c r="AB202" i="3"/>
  <c r="AD202" i="3" s="1"/>
  <c r="AA202" i="3"/>
  <c r="AC202" i="3" s="1"/>
  <c r="AE202" i="3" s="1"/>
  <c r="AG202" i="3" s="1"/>
  <c r="V202" i="3"/>
  <c r="T202" i="3"/>
  <c r="R202" i="3"/>
  <c r="AB194" i="3"/>
  <c r="AD194" i="3" s="1"/>
  <c r="AF194" i="3" s="1"/>
  <c r="AH194" i="3" s="1"/>
  <c r="AJ194" i="3" s="1"/>
  <c r="AL194" i="3" s="1"/>
  <c r="AN194" i="3" s="1"/>
  <c r="AA194" i="3"/>
  <c r="AC194" i="3" s="1"/>
  <c r="AE194" i="3" s="1"/>
  <c r="AG194" i="3" s="1"/>
  <c r="AI194" i="3" s="1"/>
  <c r="AK194" i="3" s="1"/>
  <c r="AM194" i="3" s="1"/>
  <c r="V194" i="3"/>
  <c r="T194" i="3"/>
  <c r="R194" i="3"/>
  <c r="AB193" i="3"/>
  <c r="AD193" i="3" s="1"/>
  <c r="AF193" i="3" s="1"/>
  <c r="AH193" i="3" s="1"/>
  <c r="AJ193" i="3" s="1"/>
  <c r="AL193" i="3" s="1"/>
  <c r="AN193" i="3" s="1"/>
  <c r="AA193" i="3"/>
  <c r="AC193" i="3" s="1"/>
  <c r="AE193" i="3" s="1"/>
  <c r="AB192" i="3"/>
  <c r="AD192" i="3" s="1"/>
  <c r="AA192" i="3"/>
  <c r="AC192" i="3" s="1"/>
  <c r="AE192" i="3" s="1"/>
  <c r="AG192" i="3" s="1"/>
  <c r="V192" i="3"/>
  <c r="T192" i="3"/>
  <c r="R192" i="3"/>
  <c r="U189" i="3"/>
  <c r="S189" i="3"/>
  <c r="Q189" i="3"/>
  <c r="P189" i="3"/>
  <c r="U188" i="3"/>
  <c r="S188" i="3"/>
  <c r="Q188" i="3"/>
  <c r="W187" i="3"/>
  <c r="U187" i="3"/>
  <c r="S187" i="3"/>
  <c r="Q187" i="3"/>
  <c r="P187" i="3"/>
  <c r="S184" i="3"/>
  <c r="T184" i="3" s="1"/>
  <c r="U184" i="3" s="1"/>
  <c r="V184" i="3" s="1"/>
  <c r="W184" i="3" s="1"/>
  <c r="X184" i="3" s="1"/>
  <c r="Y184" i="3" s="1"/>
  <c r="Z184" i="3" s="1"/>
  <c r="AA184" i="3" s="1"/>
  <c r="AB184" i="3" s="1"/>
  <c r="AC184" i="3" s="1"/>
  <c r="AD184" i="3" s="1"/>
  <c r="AE184" i="3" s="1"/>
  <c r="AF184" i="3" s="1"/>
  <c r="AG184" i="3" s="1"/>
  <c r="AH184" i="3" s="1"/>
  <c r="AI184" i="3" s="1"/>
  <c r="AJ184" i="3" s="1"/>
  <c r="AK184" i="3" s="1"/>
  <c r="AL184" i="3" s="1"/>
  <c r="AM184" i="3" s="1"/>
  <c r="AN184" i="3" s="1"/>
  <c r="R181" i="3"/>
  <c r="T189" i="3" s="1"/>
  <c r="AA178" i="3"/>
  <c r="AC178" i="3" s="1"/>
  <c r="AE178" i="3" s="1"/>
  <c r="AG178" i="3" s="1"/>
  <c r="AI178" i="3" s="1"/>
  <c r="AK178" i="3" s="1"/>
  <c r="AM178" i="3" s="1"/>
  <c r="Z178" i="3"/>
  <c r="Z212" i="3" s="1"/>
  <c r="Z106" i="11" s="1"/>
  <c r="V178" i="3"/>
  <c r="T178" i="3"/>
  <c r="R178" i="3"/>
  <c r="P178" i="3"/>
  <c r="AB177" i="3"/>
  <c r="AD177" i="3" s="1"/>
  <c r="AF177" i="3" s="1"/>
  <c r="AH177" i="3" s="1"/>
  <c r="AJ177" i="3" s="1"/>
  <c r="AL177" i="3" s="1"/>
  <c r="AN177" i="3" s="1"/>
  <c r="AA177" i="3"/>
  <c r="AC177" i="3" s="1"/>
  <c r="AE177" i="3" s="1"/>
  <c r="AG177" i="3" s="1"/>
  <c r="AI177" i="3" s="1"/>
  <c r="AK177" i="3" s="1"/>
  <c r="AM177" i="3" s="1"/>
  <c r="V177" i="3"/>
  <c r="T177" i="3"/>
  <c r="R177" i="3"/>
  <c r="P177" i="3"/>
  <c r="P188" i="3" s="1"/>
  <c r="AB176" i="3"/>
  <c r="AD176" i="3" s="1"/>
  <c r="AA176" i="3"/>
  <c r="AC176" i="3" s="1"/>
  <c r="AE176" i="3" s="1"/>
  <c r="V176" i="3"/>
  <c r="T176" i="3"/>
  <c r="R176" i="3"/>
  <c r="R187" i="3" s="1"/>
  <c r="Y171" i="3"/>
  <c r="Y170" i="3"/>
  <c r="Y169" i="3"/>
  <c r="AA167" i="3"/>
  <c r="AC167" i="3" s="1"/>
  <c r="AC99" i="3" s="1"/>
  <c r="Z167" i="3"/>
  <c r="AB167" i="3" s="1"/>
  <c r="U167" i="3"/>
  <c r="W171" i="3" s="1"/>
  <c r="S167" i="3"/>
  <c r="Q167" i="3"/>
  <c r="O167" i="3"/>
  <c r="AA166" i="3"/>
  <c r="AA92" i="3" s="1"/>
  <c r="Z166" i="3"/>
  <c r="AB166" i="3" s="1"/>
  <c r="AD166" i="3" s="1"/>
  <c r="U166" i="3"/>
  <c r="W170" i="3" s="1"/>
  <c r="S166" i="3"/>
  <c r="Q166" i="3"/>
  <c r="O166" i="3"/>
  <c r="AA165" i="3"/>
  <c r="AC165" i="3" s="1"/>
  <c r="Z165" i="3"/>
  <c r="AB165" i="3" s="1"/>
  <c r="U165" i="3"/>
  <c r="W169" i="3" s="1"/>
  <c r="S165" i="3"/>
  <c r="Q165" i="3"/>
  <c r="O165" i="3"/>
  <c r="Y160" i="3"/>
  <c r="Y159" i="3"/>
  <c r="Y158" i="3"/>
  <c r="AB156" i="3"/>
  <c r="AD156" i="3" s="1"/>
  <c r="AA156" i="3"/>
  <c r="AC156" i="3" s="1"/>
  <c r="U156" i="3"/>
  <c r="W160" i="3" s="1"/>
  <c r="S156" i="3"/>
  <c r="S235" i="11" s="1"/>
  <c r="Q156" i="3"/>
  <c r="Q235" i="11" s="1"/>
  <c r="O156" i="3"/>
  <c r="O235" i="11" s="1"/>
  <c r="N156" i="3"/>
  <c r="N235" i="11" s="1"/>
  <c r="N236" i="11" s="1"/>
  <c r="M156" i="3"/>
  <c r="M235" i="11" s="1"/>
  <c r="L156" i="3"/>
  <c r="L235" i="11" s="1"/>
  <c r="K156" i="3"/>
  <c r="J156" i="3"/>
  <c r="I156" i="3"/>
  <c r="I235" i="11" s="1"/>
  <c r="H156" i="3"/>
  <c r="G156" i="3"/>
  <c r="G235" i="11" s="1"/>
  <c r="F156" i="3"/>
  <c r="E156" i="3"/>
  <c r="AA155" i="3"/>
  <c r="AC155" i="3" s="1"/>
  <c r="Z155" i="3"/>
  <c r="Z138" i="11" s="1"/>
  <c r="U155" i="3"/>
  <c r="U138" i="11" s="1"/>
  <c r="S155" i="3"/>
  <c r="S138" i="11" s="1"/>
  <c r="Q155" i="3"/>
  <c r="Q138" i="11" s="1"/>
  <c r="O155" i="3"/>
  <c r="O138" i="11" s="1"/>
  <c r="N155" i="3"/>
  <c r="M155" i="3"/>
  <c r="K155" i="3"/>
  <c r="I155" i="3"/>
  <c r="G155" i="3"/>
  <c r="G138" i="11" s="1"/>
  <c r="E155" i="3"/>
  <c r="E138" i="11" s="1"/>
  <c r="AA154" i="3"/>
  <c r="AC154" i="3" s="1"/>
  <c r="Z154" i="3"/>
  <c r="Z92" i="11" s="1"/>
  <c r="U154" i="3"/>
  <c r="U92" i="11" s="1"/>
  <c r="S154" i="3"/>
  <c r="S92" i="11" s="1"/>
  <c r="Q154" i="3"/>
  <c r="Q92" i="11" s="1"/>
  <c r="O154" i="3"/>
  <c r="O92" i="11" s="1"/>
  <c r="N154" i="3"/>
  <c r="M154" i="3"/>
  <c r="M92" i="11" s="1"/>
  <c r="K154" i="3"/>
  <c r="I154" i="3"/>
  <c r="I92" i="11" s="1"/>
  <c r="I93" i="11" s="1"/>
  <c r="G154" i="3"/>
  <c r="G92" i="11" s="1"/>
  <c r="E154" i="3"/>
  <c r="E92" i="11" s="1"/>
  <c r="Y147" i="3"/>
  <c r="Y243" i="11" s="1"/>
  <c r="Z145" i="3"/>
  <c r="Z100" i="11" s="1"/>
  <c r="Y145" i="3"/>
  <c r="Y100" i="11" s="1"/>
  <c r="I142" i="3"/>
  <c r="G142" i="3"/>
  <c r="E142" i="3"/>
  <c r="K141" i="3"/>
  <c r="I141" i="3"/>
  <c r="G141" i="3"/>
  <c r="E141" i="3"/>
  <c r="U138" i="3"/>
  <c r="T138" i="3"/>
  <c r="U137" i="3"/>
  <c r="W137" i="3" s="1"/>
  <c r="Y137" i="3" s="1"/>
  <c r="AA137" i="3" s="1"/>
  <c r="AC137" i="3" s="1"/>
  <c r="AE137" i="3" s="1"/>
  <c r="AG137" i="3" s="1"/>
  <c r="AI137" i="3" s="1"/>
  <c r="AK137" i="3" s="1"/>
  <c r="AM137" i="3" s="1"/>
  <c r="T137" i="3"/>
  <c r="V137" i="3" s="1"/>
  <c r="U136" i="3"/>
  <c r="U96" i="11" s="1"/>
  <c r="T136" i="3"/>
  <c r="T96" i="11" s="1"/>
  <c r="Z131" i="3"/>
  <c r="Y131" i="3"/>
  <c r="Y129" i="3"/>
  <c r="AB127" i="3"/>
  <c r="AB97" i="3" s="1"/>
  <c r="AA127" i="3"/>
  <c r="AA97" i="3" s="1"/>
  <c r="U127" i="3"/>
  <c r="W131" i="3" s="1"/>
  <c r="S127" i="3"/>
  <c r="Q127" i="3"/>
  <c r="O127" i="3"/>
  <c r="N127" i="3"/>
  <c r="M127" i="3"/>
  <c r="L127" i="3"/>
  <c r="K127" i="3"/>
  <c r="J127" i="3"/>
  <c r="I127" i="3"/>
  <c r="H127" i="3"/>
  <c r="G127" i="3"/>
  <c r="F127" i="3"/>
  <c r="E127" i="3"/>
  <c r="E221" i="11" s="1"/>
  <c r="U126" i="3"/>
  <c r="U124" i="11" s="1"/>
  <c r="S126" i="3"/>
  <c r="S124" i="11" s="1"/>
  <c r="Q126" i="3"/>
  <c r="Q124" i="11" s="1"/>
  <c r="O126" i="3"/>
  <c r="O124" i="11" s="1"/>
  <c r="N126" i="3"/>
  <c r="N124" i="11" s="1"/>
  <c r="M126" i="3"/>
  <c r="M124" i="11" s="1"/>
  <c r="K126" i="3"/>
  <c r="I126" i="3"/>
  <c r="I124" i="11" s="1"/>
  <c r="G126" i="3"/>
  <c r="G124" i="11" s="1"/>
  <c r="E126" i="3"/>
  <c r="E124" i="11" s="1"/>
  <c r="AA125" i="3"/>
  <c r="AA83" i="3" s="1"/>
  <c r="Z125" i="3"/>
  <c r="Z78" i="11" s="1"/>
  <c r="U125" i="3"/>
  <c r="U78" i="11" s="1"/>
  <c r="S125" i="3"/>
  <c r="S78" i="11" s="1"/>
  <c r="Q125" i="3"/>
  <c r="Q78" i="11" s="1"/>
  <c r="O125" i="3"/>
  <c r="O78" i="11" s="1"/>
  <c r="N125" i="3"/>
  <c r="M125" i="3"/>
  <c r="K125" i="3"/>
  <c r="K78" i="11" s="1"/>
  <c r="I125" i="3"/>
  <c r="I78" i="11" s="1"/>
  <c r="G125" i="3"/>
  <c r="G78" i="11" s="1"/>
  <c r="E125" i="3"/>
  <c r="E78" i="11" s="1"/>
  <c r="AA118" i="3"/>
  <c r="AC118" i="3" s="1"/>
  <c r="AE118" i="3" s="1"/>
  <c r="AG118" i="3" s="1"/>
  <c r="AI118" i="3" s="1"/>
  <c r="AK118" i="3" s="1"/>
  <c r="AM118" i="3" s="1"/>
  <c r="Z118" i="3"/>
  <c r="Z229" i="11" s="1"/>
  <c r="Y116" i="3"/>
  <c r="Y86" i="11" s="1"/>
  <c r="O113" i="3"/>
  <c r="M113" i="3"/>
  <c r="K113" i="3"/>
  <c r="I113" i="3"/>
  <c r="G113" i="3"/>
  <c r="E113" i="3"/>
  <c r="K112" i="3"/>
  <c r="I112" i="3"/>
  <c r="G112" i="3"/>
  <c r="E112" i="3"/>
  <c r="O111" i="3"/>
  <c r="M111" i="3"/>
  <c r="K111" i="3"/>
  <c r="I111" i="3"/>
  <c r="G111" i="3"/>
  <c r="E111" i="3"/>
  <c r="T109" i="3"/>
  <c r="T225" i="11" s="1"/>
  <c r="R109" i="3"/>
  <c r="R225" i="11" s="1"/>
  <c r="O109" i="3"/>
  <c r="O225" i="11" s="1"/>
  <c r="M109" i="3"/>
  <c r="M225" i="11" s="1"/>
  <c r="I109" i="3"/>
  <c r="I225" i="11" s="1"/>
  <c r="G109" i="3"/>
  <c r="G225" i="11" s="1"/>
  <c r="E109" i="3"/>
  <c r="E225" i="11" s="1"/>
  <c r="K108" i="3"/>
  <c r="K128" i="11" s="1"/>
  <c r="I108" i="3"/>
  <c r="I128" i="11" s="1"/>
  <c r="G108" i="3"/>
  <c r="G128" i="11" s="1"/>
  <c r="E108" i="3"/>
  <c r="E128" i="11" s="1"/>
  <c r="T107" i="3"/>
  <c r="T82" i="11" s="1"/>
  <c r="U102" i="3"/>
  <c r="S102" i="3"/>
  <c r="V101" i="3"/>
  <c r="T101" i="3"/>
  <c r="Q101" i="3"/>
  <c r="O101" i="3"/>
  <c r="O226" i="3" s="1"/>
  <c r="O262" i="3" s="1"/>
  <c r="N101" i="3"/>
  <c r="M101" i="3"/>
  <c r="I38" i="13" s="1"/>
  <c r="K101" i="3"/>
  <c r="I101" i="3"/>
  <c r="I308" i="3" s="1"/>
  <c r="I331" i="3" s="1"/>
  <c r="G101" i="3"/>
  <c r="G308" i="3" s="1"/>
  <c r="G331" i="3" s="1"/>
  <c r="E101" i="3"/>
  <c r="E308" i="3" s="1"/>
  <c r="E331" i="3" s="1"/>
  <c r="V100" i="3"/>
  <c r="T100" i="3"/>
  <c r="R100" i="3"/>
  <c r="P100" i="3"/>
  <c r="L100" i="3"/>
  <c r="H37" i="13" s="1"/>
  <c r="J100" i="3"/>
  <c r="J214" i="3" s="1"/>
  <c r="H100" i="3"/>
  <c r="H214" i="3" s="1"/>
  <c r="H249" i="11" s="1"/>
  <c r="F100" i="3"/>
  <c r="F214" i="3" s="1"/>
  <c r="F249" i="11" s="1"/>
  <c r="Y99" i="3"/>
  <c r="X99" i="3"/>
  <c r="W99" i="3"/>
  <c r="V99" i="3"/>
  <c r="V167" i="3" s="1"/>
  <c r="X171" i="3" s="1"/>
  <c r="T99" i="3"/>
  <c r="T167" i="3" s="1"/>
  <c r="R99" i="3"/>
  <c r="R167" i="3" s="1"/>
  <c r="P99" i="3"/>
  <c r="P167" i="3" s="1"/>
  <c r="Z98" i="3"/>
  <c r="V36" i="13" s="1"/>
  <c r="Y98" i="3"/>
  <c r="U36" i="13" s="1"/>
  <c r="X98" i="3"/>
  <c r="W98" i="3"/>
  <c r="V98" i="3"/>
  <c r="V156" i="3" s="1"/>
  <c r="T98" i="3"/>
  <c r="T156" i="3" s="1"/>
  <c r="T235" i="11" s="1"/>
  <c r="R98" i="3"/>
  <c r="R156" i="3" s="1"/>
  <c r="R235" i="11" s="1"/>
  <c r="R236" i="11" s="1"/>
  <c r="P98" i="3"/>
  <c r="P156" i="3" s="1"/>
  <c r="P235" i="11" s="1"/>
  <c r="Z97" i="3"/>
  <c r="Y97" i="3"/>
  <c r="U35" i="13" s="1"/>
  <c r="X97" i="3"/>
  <c r="W97" i="3"/>
  <c r="V97" i="3"/>
  <c r="T97" i="3"/>
  <c r="R97" i="3"/>
  <c r="P97" i="3"/>
  <c r="P127" i="3" s="1"/>
  <c r="U95" i="3"/>
  <c r="S95" i="3"/>
  <c r="V94" i="3"/>
  <c r="T94" i="3"/>
  <c r="T307" i="3" s="1"/>
  <c r="K25" i="6" s="1"/>
  <c r="BN25" i="6" s="1"/>
  <c r="Q94" i="3"/>
  <c r="Q307" i="3" s="1"/>
  <c r="H25" i="6" s="1"/>
  <c r="BK25" i="6" s="1"/>
  <c r="O94" i="3"/>
  <c r="N94" i="3"/>
  <c r="N307" i="3" s="1"/>
  <c r="M94" i="3"/>
  <c r="M307" i="3" s="1"/>
  <c r="M330" i="3" s="1"/>
  <c r="K94" i="3"/>
  <c r="K307" i="3" s="1"/>
  <c r="I94" i="3"/>
  <c r="I307" i="3" s="1"/>
  <c r="G94" i="3"/>
  <c r="G307" i="3" s="1"/>
  <c r="G330" i="3" s="1"/>
  <c r="E94" i="3"/>
  <c r="E307" i="3" s="1"/>
  <c r="V93" i="3"/>
  <c r="T93" i="3"/>
  <c r="K58" i="6" s="1"/>
  <c r="BN58" i="6" s="1"/>
  <c r="R93" i="3"/>
  <c r="I58" i="6" s="1"/>
  <c r="BL58" i="6" s="1"/>
  <c r="P93" i="3"/>
  <c r="G58" i="6" s="1"/>
  <c r="BJ58" i="6" s="1"/>
  <c r="Y92" i="3"/>
  <c r="X92" i="3"/>
  <c r="W92" i="3"/>
  <c r="V92" i="3"/>
  <c r="V166" i="3" s="1"/>
  <c r="X170" i="3" s="1"/>
  <c r="T92" i="3"/>
  <c r="T166" i="3" s="1"/>
  <c r="R92" i="3"/>
  <c r="R166" i="3" s="1"/>
  <c r="P92" i="3"/>
  <c r="P166" i="3" s="1"/>
  <c r="Y91" i="3"/>
  <c r="X91" i="3"/>
  <c r="O53" i="6" s="1"/>
  <c r="BR53" i="6" s="1"/>
  <c r="W91" i="3"/>
  <c r="N53" i="6" s="1"/>
  <c r="BQ53" i="6" s="1"/>
  <c r="V91" i="3"/>
  <c r="M53" i="6" s="1"/>
  <c r="BP53" i="6" s="1"/>
  <c r="T91" i="3"/>
  <c r="K53" i="6" s="1"/>
  <c r="BN53" i="6" s="1"/>
  <c r="R91" i="3"/>
  <c r="I53" i="6" s="1"/>
  <c r="BL53" i="6" s="1"/>
  <c r="P91" i="3"/>
  <c r="L91" i="3"/>
  <c r="L155" i="3" s="1"/>
  <c r="J91" i="3"/>
  <c r="J155" i="3" s="1"/>
  <c r="H91" i="3"/>
  <c r="H155" i="3" s="1"/>
  <c r="F91" i="3"/>
  <c r="F155" i="3" s="1"/>
  <c r="V90" i="3"/>
  <c r="V126" i="3" s="1"/>
  <c r="T90" i="3"/>
  <c r="T126" i="3" s="1"/>
  <c r="R90" i="3"/>
  <c r="R126" i="3" s="1"/>
  <c r="R124" i="11" s="1"/>
  <c r="P90" i="3"/>
  <c r="G48" i="6" s="1"/>
  <c r="BJ48" i="6" s="1"/>
  <c r="L90" i="3"/>
  <c r="J90" i="3"/>
  <c r="J126" i="3" s="1"/>
  <c r="H90" i="3"/>
  <c r="F90" i="3"/>
  <c r="F126" i="3" s="1"/>
  <c r="F124" i="11" s="1"/>
  <c r="U88" i="3"/>
  <c r="S88" i="3"/>
  <c r="V87" i="3"/>
  <c r="T87" i="3"/>
  <c r="Q87" i="3"/>
  <c r="O87" i="3"/>
  <c r="N87" i="3"/>
  <c r="J14" i="13" s="1"/>
  <c r="M87" i="3"/>
  <c r="I14" i="13" s="1"/>
  <c r="K87" i="3"/>
  <c r="G14" i="13" s="1"/>
  <c r="I87" i="3"/>
  <c r="G87" i="3"/>
  <c r="E87" i="3"/>
  <c r="V86" i="3"/>
  <c r="V212" i="3" s="1"/>
  <c r="T86" i="3"/>
  <c r="R86" i="3"/>
  <c r="P86" i="3"/>
  <c r="L86" i="3"/>
  <c r="H13" i="13" s="1"/>
  <c r="J86" i="3"/>
  <c r="J212" i="3" s="1"/>
  <c r="J106" i="11" s="1"/>
  <c r="H86" i="3"/>
  <c r="H212" i="3" s="1"/>
  <c r="F86" i="3"/>
  <c r="F212" i="3" s="1"/>
  <c r="F106" i="11" s="1"/>
  <c r="Y85" i="3"/>
  <c r="X85" i="3"/>
  <c r="W85" i="3"/>
  <c r="V85" i="3"/>
  <c r="V165" i="3" s="1"/>
  <c r="T85" i="3"/>
  <c r="T165" i="3" s="1"/>
  <c r="R85" i="3"/>
  <c r="R165" i="3" s="1"/>
  <c r="P85" i="3"/>
  <c r="P165" i="3" s="1"/>
  <c r="Y84" i="3"/>
  <c r="U12" i="13" s="1"/>
  <c r="X84" i="3"/>
  <c r="W84" i="3"/>
  <c r="V84" i="3"/>
  <c r="V154" i="3" s="1"/>
  <c r="T84" i="3"/>
  <c r="R84" i="3"/>
  <c r="P84" i="3"/>
  <c r="L84" i="3"/>
  <c r="H12" i="13" s="1"/>
  <c r="J84" i="3"/>
  <c r="J154" i="3" s="1"/>
  <c r="H84" i="3"/>
  <c r="H154" i="3" s="1"/>
  <c r="F84" i="3"/>
  <c r="F154" i="3" s="1"/>
  <c r="Y83" i="3"/>
  <c r="X83" i="3"/>
  <c r="W83" i="3"/>
  <c r="V83" i="3"/>
  <c r="V125" i="3" s="1"/>
  <c r="V78" i="11" s="1"/>
  <c r="T83" i="3"/>
  <c r="T125" i="3" s="1"/>
  <c r="T78" i="11" s="1"/>
  <c r="R83" i="3"/>
  <c r="P83" i="3"/>
  <c r="L83" i="3"/>
  <c r="H11" i="13" s="1"/>
  <c r="J83" i="3"/>
  <c r="H83" i="3"/>
  <c r="F83" i="3"/>
  <c r="Z17" i="3"/>
  <c r="Y17" i="3"/>
  <c r="X17" i="3"/>
  <c r="W17" i="3"/>
  <c r="V17" i="3"/>
  <c r="U17" i="3"/>
  <c r="T17" i="3"/>
  <c r="S17" i="3"/>
  <c r="R17" i="3"/>
  <c r="Q17" i="3"/>
  <c r="P17" i="3"/>
  <c r="O17" i="3"/>
  <c r="N17" i="3"/>
  <c r="M17" i="3"/>
  <c r="L17" i="3"/>
  <c r="K17" i="3"/>
  <c r="J17" i="3"/>
  <c r="I17" i="3"/>
  <c r="H17" i="3"/>
  <c r="G17" i="3"/>
  <c r="F17" i="3"/>
  <c r="E17" i="3"/>
  <c r="U16" i="3"/>
  <c r="V16" i="3" s="1"/>
  <c r="W16" i="3" s="1"/>
  <c r="X16" i="3" s="1"/>
  <c r="Y16" i="3" s="1"/>
  <c r="Z16" i="3" s="1"/>
  <c r="AA16" i="3" s="1"/>
  <c r="AB16" i="3" s="1"/>
  <c r="AC16" i="3" s="1"/>
  <c r="AD16" i="3" s="1"/>
  <c r="AE16" i="3" s="1"/>
  <c r="AF16" i="3" s="1"/>
  <c r="AG16" i="3" s="1"/>
  <c r="AH16" i="3" s="1"/>
  <c r="AI16" i="3" s="1"/>
  <c r="AJ16" i="3" s="1"/>
  <c r="AK16" i="3" s="1"/>
  <c r="AL16" i="3" s="1"/>
  <c r="AM16" i="3" s="1"/>
  <c r="AN16" i="3" s="1"/>
  <c r="R16" i="3"/>
  <c r="N16" i="3"/>
  <c r="L16" i="3"/>
  <c r="J16" i="3"/>
  <c r="H16" i="3"/>
  <c r="F16" i="3"/>
  <c r="E13" i="3"/>
  <c r="AN10" i="3"/>
  <c r="AM10" i="3"/>
  <c r="AL10" i="3"/>
  <c r="AK10" i="3"/>
  <c r="AJ10" i="3"/>
  <c r="AI10" i="3"/>
  <c r="AH10" i="3"/>
  <c r="AG10" i="3"/>
  <c r="AF10" i="3"/>
  <c r="AE10" i="3"/>
  <c r="AD10" i="3"/>
  <c r="AC10" i="3"/>
  <c r="AB10" i="3"/>
  <c r="AA10" i="3"/>
  <c r="Z10" i="3"/>
  <c r="Y10" i="3"/>
  <c r="X10" i="3"/>
  <c r="W10" i="3"/>
  <c r="V10" i="3"/>
  <c r="E9" i="3" a="1"/>
  <c r="E9" i="3" s="1"/>
  <c r="E7" i="3"/>
  <c r="E6" i="3" a="1"/>
  <c r="E6" i="3" s="1"/>
  <c r="F4" i="3"/>
  <c r="F2" i="3"/>
  <c r="E2" i="3"/>
  <c r="M153" i="11" l="1"/>
  <c r="T79" i="11"/>
  <c r="K129" i="11"/>
  <c r="E3" i="4"/>
  <c r="F647" i="3"/>
  <c r="AN51" i="13"/>
  <c r="T97" i="11"/>
  <c r="T226" i="11"/>
  <c r="AH50" i="13"/>
  <c r="E107" i="11"/>
  <c r="AK52" i="13"/>
  <c r="I250" i="11"/>
  <c r="O79" i="11"/>
  <c r="E222" i="11"/>
  <c r="T613" i="3"/>
  <c r="W250" i="11"/>
  <c r="R222" i="11"/>
  <c r="F226" i="11"/>
  <c r="W100" i="3"/>
  <c r="E2" i="4"/>
  <c r="S139" i="11"/>
  <c r="Z93" i="11"/>
  <c r="P18" i="1"/>
  <c r="S79" i="11"/>
  <c r="P12" i="11"/>
  <c r="F250" i="11"/>
  <c r="P51" i="11"/>
  <c r="Y63" i="11"/>
  <c r="H189" i="11"/>
  <c r="K300" i="11"/>
  <c r="H395" i="3"/>
  <c r="X250" i="11"/>
  <c r="Q236" i="11"/>
  <c r="H250" i="11"/>
  <c r="E79" i="11"/>
  <c r="N125" i="11"/>
  <c r="S93" i="11"/>
  <c r="O107" i="11"/>
  <c r="E226" i="11"/>
  <c r="F42" i="6"/>
  <c r="BI42" i="6" s="1"/>
  <c r="X86" i="3"/>
  <c r="X87" i="3" s="1"/>
  <c r="E153" i="11"/>
  <c r="O318" i="11"/>
  <c r="R322" i="11"/>
  <c r="Y100" i="3"/>
  <c r="U37" i="13" s="1"/>
  <c r="AM37" i="13" s="1"/>
  <c r="AM317" i="13" s="1" a="1"/>
  <c r="AM317" i="13" s="1"/>
  <c r="I240" i="11"/>
  <c r="G260" i="11"/>
  <c r="W260" i="11"/>
  <c r="J268" i="11"/>
  <c r="Z268" i="11"/>
  <c r="W93" i="3"/>
  <c r="N58" i="6" s="1"/>
  <c r="BQ58" i="6" s="1"/>
  <c r="Q473" i="3"/>
  <c r="Q474" i="3" s="1"/>
  <c r="Q483" i="3" s="1"/>
  <c r="W473" i="3"/>
  <c r="Y473" i="3" s="1"/>
  <c r="H179" i="11"/>
  <c r="U79" i="11"/>
  <c r="R59" i="11"/>
  <c r="F113" i="11"/>
  <c r="V113" i="11"/>
  <c r="P159" i="11"/>
  <c r="F171" i="11"/>
  <c r="AA91" i="3"/>
  <c r="CM42" i="6"/>
  <c r="J209" i="11"/>
  <c r="Z209" i="11"/>
  <c r="U240" i="3"/>
  <c r="W245" i="3" s="1"/>
  <c r="Q595" i="3"/>
  <c r="G225" i="13" a="1"/>
  <c r="G225" i="13" s="1"/>
  <c r="AB149" i="1"/>
  <c r="J193" i="11"/>
  <c r="M199" i="11"/>
  <c r="F334" i="11"/>
  <c r="V334" i="11"/>
  <c r="Z85" i="3"/>
  <c r="AD149" i="1"/>
  <c r="AD155" i="1" s="1"/>
  <c r="U219" i="1"/>
  <c r="X327" i="1"/>
  <c r="Z67" i="11"/>
  <c r="M71" i="11"/>
  <c r="L83" i="11"/>
  <c r="E51" i="11"/>
  <c r="H55" i="11"/>
  <c r="X55" i="11"/>
  <c r="N63" i="11"/>
  <c r="O160" i="3"/>
  <c r="U380" i="3"/>
  <c r="X79" i="11"/>
  <c r="S125" i="11"/>
  <c r="N175" i="11"/>
  <c r="D628" i="3"/>
  <c r="D15" i="1" s="1"/>
  <c r="AH333" i="1"/>
  <c r="I20" i="11"/>
  <c r="Y20" i="11"/>
  <c r="H43" i="11"/>
  <c r="X43" i="11"/>
  <c r="E346" i="11"/>
  <c r="L503" i="3"/>
  <c r="O97" i="11"/>
  <c r="I113" i="11"/>
  <c r="N143" i="11"/>
  <c r="I171" i="11"/>
  <c r="H322" i="11"/>
  <c r="X322" i="11"/>
  <c r="AM51" i="13"/>
  <c r="AM367" i="13" s="1" a="1"/>
  <c r="AM367" i="13" s="1"/>
  <c r="AI103" i="13"/>
  <c r="E8" i="3"/>
  <c r="E3" i="3" s="1"/>
  <c r="F107" i="11"/>
  <c r="P424" i="3"/>
  <c r="P437" i="3" s="1"/>
  <c r="P528" i="3" s="1"/>
  <c r="P560" i="3" s="1"/>
  <c r="K179" i="11"/>
  <c r="W219" i="1"/>
  <c r="Z238" i="1"/>
  <c r="P43" i="11"/>
  <c r="G51" i="11"/>
  <c r="J55" i="11"/>
  <c r="P63" i="11"/>
  <c r="Q171" i="11"/>
  <c r="S175" i="11"/>
  <c r="H185" i="11"/>
  <c r="X185" i="11"/>
  <c r="N193" i="11"/>
  <c r="Q199" i="11"/>
  <c r="T205" i="11"/>
  <c r="M280" i="11"/>
  <c r="G288" i="11"/>
  <c r="M318" i="11"/>
  <c r="P322" i="11"/>
  <c r="E47" i="11"/>
  <c r="U47" i="11"/>
  <c r="H51" i="11"/>
  <c r="X51" i="11"/>
  <c r="K55" i="11"/>
  <c r="T67" i="11"/>
  <c r="G71" i="11"/>
  <c r="W71" i="11"/>
  <c r="G143" i="11"/>
  <c r="W143" i="11"/>
  <c r="G179" i="11"/>
  <c r="W179" i="11"/>
  <c r="L189" i="11"/>
  <c r="P36" i="11"/>
  <c r="I51" i="11"/>
  <c r="Y51" i="11"/>
  <c r="Q83" i="11"/>
  <c r="P285" i="3"/>
  <c r="T43" i="11"/>
  <c r="Z51" i="11"/>
  <c r="P59" i="11"/>
  <c r="O226" i="11"/>
  <c r="S16" i="11"/>
  <c r="I24" i="11"/>
  <c r="L185" i="11"/>
  <c r="X205" i="11"/>
  <c r="E16" i="11"/>
  <c r="J47" i="11"/>
  <c r="Z47" i="11"/>
  <c r="P55" i="11"/>
  <c r="I67" i="11"/>
  <c r="Y67" i="11"/>
  <c r="P131" i="3"/>
  <c r="M503" i="3"/>
  <c r="AA149" i="1"/>
  <c r="AA328" i="1" s="1"/>
  <c r="K304" i="11"/>
  <c r="AF35" i="13"/>
  <c r="G236" i="11"/>
  <c r="CI36" i="6"/>
  <c r="Y24" i="11"/>
  <c r="J304" i="11"/>
  <c r="E163" i="11"/>
  <c r="U163" i="11"/>
  <c r="Z175" i="11"/>
  <c r="Q304" i="11"/>
  <c r="Z99" i="3"/>
  <c r="Z101" i="3" s="1"/>
  <c r="AA99" i="3"/>
  <c r="Q11" i="6"/>
  <c r="O71" i="11"/>
  <c r="N159" i="11"/>
  <c r="AN229" i="13" a="1"/>
  <c r="AN229" i="13" s="1"/>
  <c r="R285" i="3"/>
  <c r="AF52" i="13"/>
  <c r="P71" i="11"/>
  <c r="S217" i="11"/>
  <c r="F296" i="11"/>
  <c r="E300" i="11"/>
  <c r="J322" i="11"/>
  <c r="Z322" i="11"/>
  <c r="O556" i="3"/>
  <c r="T49" i="6"/>
  <c r="U49" i="6" s="1"/>
  <c r="S185" i="11"/>
  <c r="F189" i="11"/>
  <c r="V189" i="11"/>
  <c r="U276" i="11"/>
  <c r="H280" i="11"/>
  <c r="X280" i="11"/>
  <c r="G300" i="11"/>
  <c r="F304" i="11"/>
  <c r="H318" i="11"/>
  <c r="X318" i="11"/>
  <c r="K322" i="11"/>
  <c r="G338" i="11"/>
  <c r="W338" i="11"/>
  <c r="AM53" i="13"/>
  <c r="O256" i="11"/>
  <c r="K314" i="11"/>
  <c r="N466" i="3"/>
  <c r="N546" i="3" s="1"/>
  <c r="S47" i="11"/>
  <c r="R175" i="11"/>
  <c r="R205" i="11"/>
  <c r="E288" i="11"/>
  <c r="U288" i="11"/>
  <c r="J83" i="15"/>
  <c r="X93" i="3"/>
  <c r="O58" i="6" s="1"/>
  <c r="BR58" i="6" s="1"/>
  <c r="AD315" i="3"/>
  <c r="AD323" i="3" s="1"/>
  <c r="W129" i="3"/>
  <c r="F125" i="11"/>
  <c r="V1" i="3"/>
  <c r="I131" i="3"/>
  <c r="M28" i="11"/>
  <c r="W28" i="11"/>
  <c r="P32" i="11"/>
  <c r="S36" i="11"/>
  <c r="J97" i="11"/>
  <c r="T113" i="11"/>
  <c r="I143" i="11"/>
  <c r="Y143" i="11"/>
  <c r="P163" i="11"/>
  <c r="E179" i="11"/>
  <c r="U179" i="11"/>
  <c r="P199" i="11"/>
  <c r="F209" i="11"/>
  <c r="V209" i="11"/>
  <c r="I217" i="11"/>
  <c r="Y217" i="11"/>
  <c r="L222" i="11"/>
  <c r="L240" i="11"/>
  <c r="G256" i="11"/>
  <c r="W256" i="11"/>
  <c r="I276" i="11"/>
  <c r="Y276" i="11"/>
  <c r="E292" i="11"/>
  <c r="J338" i="11"/>
  <c r="E7" i="14"/>
  <c r="E2" i="14" s="1"/>
  <c r="H314" i="11"/>
  <c r="R400" i="3"/>
  <c r="Q153" i="11"/>
  <c r="AG53" i="13"/>
  <c r="AG375" i="13" s="1" a="1"/>
  <c r="AG375" i="13" s="1"/>
  <c r="AH54" i="13"/>
  <c r="AH379" i="13" s="1" a="1"/>
  <c r="AH379" i="13" s="1"/>
  <c r="K503" i="3"/>
  <c r="Y197" i="1"/>
  <c r="S20" i="11"/>
  <c r="F24" i="11"/>
  <c r="H585" i="3"/>
  <c r="H597" i="3" s="1"/>
  <c r="O401" i="3"/>
  <c r="E12" i="11"/>
  <c r="M24" i="11"/>
  <c r="V36" i="11"/>
  <c r="Y43" i="11"/>
  <c r="N51" i="11"/>
  <c r="G63" i="11"/>
  <c r="W63" i="11"/>
  <c r="E83" i="11"/>
  <c r="J117" i="11"/>
  <c r="Z117" i="11"/>
  <c r="T117" i="11"/>
  <c r="V129" i="11"/>
  <c r="S163" i="11"/>
  <c r="V171" i="11"/>
  <c r="X179" i="11"/>
  <c r="F205" i="11"/>
  <c r="V205" i="11"/>
  <c r="V217" i="11"/>
  <c r="S226" i="11"/>
  <c r="O139" i="11"/>
  <c r="G324" i="3"/>
  <c r="P466" i="3"/>
  <c r="P546" i="3" s="1"/>
  <c r="U556" i="3"/>
  <c r="U648" i="3" s="1"/>
  <c r="H3" i="1"/>
  <c r="AB197" i="1"/>
  <c r="F12" i="11"/>
  <c r="H16" i="11"/>
  <c r="R16" i="11"/>
  <c r="Q28" i="11"/>
  <c r="G36" i="11"/>
  <c r="W36" i="11"/>
  <c r="X93" i="11"/>
  <c r="X101" i="11"/>
  <c r="W129" i="11"/>
  <c r="W139" i="11"/>
  <c r="R159" i="11"/>
  <c r="G171" i="11"/>
  <c r="H175" i="11"/>
  <c r="X175" i="11"/>
  <c r="T199" i="11"/>
  <c r="K256" i="11"/>
  <c r="M276" i="11"/>
  <c r="O346" i="11"/>
  <c r="Y87" i="11"/>
  <c r="G125" i="11"/>
  <c r="X107" i="11"/>
  <c r="H300" i="11"/>
  <c r="R466" i="3"/>
  <c r="R546" i="3" s="1"/>
  <c r="N595" i="3"/>
  <c r="Q296" i="11"/>
  <c r="M20" i="11"/>
  <c r="Y171" i="11"/>
  <c r="W218" i="3"/>
  <c r="O332" i="3"/>
  <c r="AD197" i="1"/>
  <c r="AG219" i="1"/>
  <c r="N117" i="11"/>
  <c r="E159" i="11"/>
  <c r="U159" i="11"/>
  <c r="P276" i="11"/>
  <c r="V32" i="11"/>
  <c r="M117" i="11"/>
  <c r="R240" i="11"/>
  <c r="L424" i="3"/>
  <c r="L437" i="3" s="1"/>
  <c r="L528" i="3" s="1"/>
  <c r="L560" i="3" s="1"/>
  <c r="J12" i="11"/>
  <c r="Z12" i="11"/>
  <c r="L16" i="11"/>
  <c r="O20" i="11"/>
  <c r="R24" i="11"/>
  <c r="E36" i="11"/>
  <c r="J83" i="11"/>
  <c r="T280" i="11"/>
  <c r="V322" i="11"/>
  <c r="R338" i="11"/>
  <c r="U342" i="11"/>
  <c r="I36" i="11"/>
  <c r="W59" i="11"/>
  <c r="S193" i="11"/>
  <c r="Q93" i="11"/>
  <c r="T51" i="11"/>
  <c r="J59" i="11"/>
  <c r="Z59" i="11"/>
  <c r="S71" i="11"/>
  <c r="X139" i="11"/>
  <c r="R143" i="11"/>
  <c r="G159" i="11"/>
  <c r="W159" i="11"/>
  <c r="I163" i="11"/>
  <c r="Y163" i="11"/>
  <c r="M175" i="11"/>
  <c r="N179" i="11"/>
  <c r="S189" i="11"/>
  <c r="R217" i="11"/>
  <c r="E240" i="11"/>
  <c r="P256" i="11"/>
  <c r="F268" i="11"/>
  <c r="V268" i="11"/>
  <c r="M330" i="11"/>
  <c r="P334" i="11"/>
  <c r="S338" i="11"/>
  <c r="U131" i="3"/>
  <c r="AC166" i="3"/>
  <c r="AC92" i="3" s="1"/>
  <c r="U430" i="3"/>
  <c r="I487" i="3"/>
  <c r="I350" i="3" s="1"/>
  <c r="M129" i="11"/>
  <c r="S304" i="11"/>
  <c r="U346" i="11"/>
  <c r="S236" i="11"/>
  <c r="F32" i="11"/>
  <c r="G59" i="11"/>
  <c r="R28" i="11"/>
  <c r="I55" i="11"/>
  <c r="Y55" i="11"/>
  <c r="E71" i="11"/>
  <c r="W87" i="11"/>
  <c r="N129" i="11"/>
  <c r="T143" i="11"/>
  <c r="I159" i="11"/>
  <c r="R256" i="11"/>
  <c r="E260" i="11"/>
  <c r="U260" i="11"/>
  <c r="H268" i="11"/>
  <c r="N276" i="11"/>
  <c r="G280" i="11"/>
  <c r="W280" i="11"/>
  <c r="O338" i="11"/>
  <c r="AG35" i="13"/>
  <c r="AG309" i="13" s="1" a="1"/>
  <c r="AG309" i="13" s="1"/>
  <c r="AG103" i="13"/>
  <c r="AG560" i="13" s="1" a="1"/>
  <c r="AG560" i="13" s="1"/>
  <c r="AJ89" i="13"/>
  <c r="AJ511" i="13" s="1" a="1"/>
  <c r="AJ511" i="13" s="1"/>
  <c r="H94" i="3"/>
  <c r="H307" i="3" s="1"/>
  <c r="H330" i="3" s="1"/>
  <c r="K466" i="3"/>
  <c r="K546" i="3" s="1"/>
  <c r="G613" i="3"/>
  <c r="AH149" i="1"/>
  <c r="AH315" i="1" s="1"/>
  <c r="U197" i="1"/>
  <c r="AB238" i="1"/>
  <c r="AG11" i="13"/>
  <c r="AG222" i="13" s="1" a="1"/>
  <c r="AG222" i="13" s="1"/>
  <c r="Y93" i="3"/>
  <c r="Z93" i="3"/>
  <c r="K79" i="11"/>
  <c r="Y217" i="3"/>
  <c r="AE287" i="3"/>
  <c r="AE309" i="3" s="1"/>
  <c r="M324" i="3"/>
  <c r="V197" i="1"/>
  <c r="W197" i="1"/>
  <c r="N12" i="11"/>
  <c r="P16" i="11"/>
  <c r="K43" i="11"/>
  <c r="U55" i="11"/>
  <c r="J67" i="11"/>
  <c r="F117" i="11"/>
  <c r="V117" i="11"/>
  <c r="R179" i="11"/>
  <c r="I193" i="11"/>
  <c r="O205" i="11"/>
  <c r="G268" i="11"/>
  <c r="W268" i="11"/>
  <c r="M288" i="11"/>
  <c r="U308" i="11"/>
  <c r="F326" i="11"/>
  <c r="V326" i="11"/>
  <c r="I330" i="11"/>
  <c r="Y330" i="11"/>
  <c r="AN50" i="13"/>
  <c r="E129" i="11"/>
  <c r="N308" i="11"/>
  <c r="R169" i="3"/>
  <c r="Y86" i="3"/>
  <c r="U13" i="13" s="1"/>
  <c r="W153" i="11"/>
  <c r="J613" i="3"/>
  <c r="T10" i="6"/>
  <c r="U10" i="6" s="1"/>
  <c r="BM59" i="6"/>
  <c r="G222" i="11"/>
  <c r="W222" i="11"/>
  <c r="I159" i="3"/>
  <c r="Y107" i="11"/>
  <c r="X153" i="11"/>
  <c r="I466" i="3"/>
  <c r="I546" i="3" s="1"/>
  <c r="H487" i="3"/>
  <c r="H350" i="3" s="1"/>
  <c r="CM40" i="6"/>
  <c r="E20" i="11"/>
  <c r="H24" i="11"/>
  <c r="X24" i="11"/>
  <c r="X32" i="11"/>
  <c r="G55" i="11"/>
  <c r="W55" i="11"/>
  <c r="Q55" i="11"/>
  <c r="H59" i="11"/>
  <c r="X59" i="11"/>
  <c r="Z63" i="11"/>
  <c r="F67" i="11"/>
  <c r="V67" i="11"/>
  <c r="O175" i="11"/>
  <c r="K205" i="11"/>
  <c r="S256" i="11"/>
  <c r="M256" i="11"/>
  <c r="V260" i="11"/>
  <c r="Y268" i="11"/>
  <c r="E280" i="11"/>
  <c r="U280" i="11"/>
  <c r="O288" i="11"/>
  <c r="K288" i="11"/>
  <c r="U314" i="11"/>
  <c r="S318" i="11"/>
  <c r="F322" i="11"/>
  <c r="N334" i="11"/>
  <c r="H334" i="11"/>
  <c r="X334" i="11"/>
  <c r="U300" i="11"/>
  <c r="I226" i="11"/>
  <c r="G153" i="11"/>
  <c r="V367" i="3"/>
  <c r="O613" i="3"/>
  <c r="I3" i="1"/>
  <c r="AD219" i="1"/>
  <c r="T36" i="6"/>
  <c r="U36" i="6" s="1"/>
  <c r="T47" i="6"/>
  <c r="U47" i="6" s="1"/>
  <c r="K32" i="11"/>
  <c r="K222" i="11"/>
  <c r="T304" i="11"/>
  <c r="H153" i="11"/>
  <c r="G250" i="11"/>
  <c r="S331" i="3"/>
  <c r="X149" i="1"/>
  <c r="X315" i="1" s="1"/>
  <c r="T53" i="6"/>
  <c r="U53" i="6" s="1"/>
  <c r="R32" i="11"/>
  <c r="J51" i="11"/>
  <c r="AA145" i="3"/>
  <c r="AC145" i="3" s="1"/>
  <c r="AE145" i="3" s="1"/>
  <c r="AG145" i="3" s="1"/>
  <c r="AI145" i="3" s="1"/>
  <c r="AK145" i="3" s="1"/>
  <c r="AM145" i="3" s="1"/>
  <c r="I107" i="11"/>
  <c r="AI52" i="13"/>
  <c r="AI371" i="13" s="1" a="1"/>
  <c r="AI371" i="13" s="1"/>
  <c r="R485" i="3"/>
  <c r="R487" i="3" s="1"/>
  <c r="R371" i="3" s="1"/>
  <c r="AC197" i="1"/>
  <c r="Y250" i="1"/>
  <c r="Y279" i="1" s="1"/>
  <c r="Y308" i="1" s="1"/>
  <c r="T20" i="11"/>
  <c r="G24" i="11"/>
  <c r="V55" i="11"/>
  <c r="Y139" i="11"/>
  <c r="X189" i="11"/>
  <c r="Z330" i="11"/>
  <c r="AK54" i="13"/>
  <c r="AG89" i="13"/>
  <c r="AG511" i="13" s="1" a="1"/>
  <c r="AG511" i="13" s="1"/>
  <c r="L417" i="3"/>
  <c r="L565" i="3" s="1"/>
  <c r="BM53" i="6"/>
  <c r="AG36" i="13"/>
  <c r="V225" i="13" a="1"/>
  <c r="V225" i="13" s="1"/>
  <c r="N606" i="3"/>
  <c r="Z197" i="1"/>
  <c r="H131" i="3"/>
  <c r="P297" i="3"/>
  <c r="S395" i="3"/>
  <c r="I503" i="3"/>
  <c r="AE197" i="1"/>
  <c r="E32" i="11"/>
  <c r="K47" i="11"/>
  <c r="W51" i="11"/>
  <c r="O59" i="11"/>
  <c r="O117" i="11"/>
  <c r="E199" i="11"/>
  <c r="U199" i="11"/>
  <c r="H205" i="11"/>
  <c r="T209" i="11"/>
  <c r="P268" i="11"/>
  <c r="F288" i="11"/>
  <c r="E314" i="11"/>
  <c r="O326" i="11"/>
  <c r="I326" i="11"/>
  <c r="Y326" i="11"/>
  <c r="E334" i="11"/>
  <c r="U334" i="11"/>
  <c r="I342" i="11"/>
  <c r="AK50" i="13"/>
  <c r="AK363" i="13" s="1" a="1"/>
  <c r="AK363" i="13" s="1"/>
  <c r="H49" i="14"/>
  <c r="U332" i="3"/>
  <c r="L42" i="6"/>
  <c r="BO42" i="6" s="1"/>
  <c r="S205" i="11"/>
  <c r="P222" i="11"/>
  <c r="E276" i="11"/>
  <c r="I346" i="11"/>
  <c r="AJ225" i="13" a="1"/>
  <c r="AJ225" i="13" s="1"/>
  <c r="G233" i="13" a="1"/>
  <c r="G233" i="13" s="1"/>
  <c r="AF37" i="13"/>
  <c r="AF317" i="13" s="1" a="1"/>
  <c r="AF317" i="13" s="1"/>
  <c r="V102" i="3"/>
  <c r="Z230" i="11"/>
  <c r="O131" i="3"/>
  <c r="N107" i="11"/>
  <c r="P452" i="3"/>
  <c r="P458" i="3" s="1"/>
  <c r="I430" i="3"/>
  <c r="T219" i="1"/>
  <c r="I12" i="11"/>
  <c r="Y12" i="11"/>
  <c r="Q24" i="11"/>
  <c r="K24" i="11"/>
  <c r="N28" i="11"/>
  <c r="K59" i="11"/>
  <c r="S63" i="11"/>
  <c r="E67" i="11"/>
  <c r="W79" i="11"/>
  <c r="M83" i="11"/>
  <c r="N113" i="11"/>
  <c r="S143" i="11"/>
  <c r="O185" i="11"/>
  <c r="T193" i="11"/>
  <c r="L256" i="11"/>
  <c r="F256" i="11"/>
  <c r="V256" i="11"/>
  <c r="V308" i="11"/>
  <c r="V318" i="11"/>
  <c r="T330" i="11"/>
  <c r="Z338" i="11"/>
  <c r="V606" i="3"/>
  <c r="L117" i="11"/>
  <c r="AO233" i="13" a="1"/>
  <c r="AO233" i="13" s="1"/>
  <c r="AC219" i="1"/>
  <c r="M107" i="11"/>
  <c r="AA98" i="3"/>
  <c r="W36" i="13" s="1"/>
  <c r="W313" i="13" s="1" a="1"/>
  <c r="W313" i="13" s="1"/>
  <c r="M125" i="11"/>
  <c r="S170" i="3"/>
  <c r="U219" i="3"/>
  <c r="I332" i="3"/>
  <c r="F28" i="11"/>
  <c r="V28" i="11"/>
  <c r="S32" i="11"/>
  <c r="O47" i="11"/>
  <c r="Q51" i="11"/>
  <c r="L55" i="11"/>
  <c r="S59" i="11"/>
  <c r="G67" i="11"/>
  <c r="F97" i="11"/>
  <c r="Z113" i="11"/>
  <c r="S117" i="11"/>
  <c r="E143" i="11"/>
  <c r="U143" i="11"/>
  <c r="P175" i="11"/>
  <c r="O179" i="11"/>
  <c r="F193" i="11"/>
  <c r="V193" i="11"/>
  <c r="S240" i="11"/>
  <c r="K260" i="11"/>
  <c r="Q322" i="11"/>
  <c r="M326" i="11"/>
  <c r="F330" i="11"/>
  <c r="V330" i="11"/>
  <c r="L338" i="11"/>
  <c r="V221" i="13" a="1"/>
  <c r="V221" i="13" s="1"/>
  <c r="R237" i="3"/>
  <c r="T208" i="3"/>
  <c r="I595" i="3"/>
  <c r="AF149" i="1"/>
  <c r="AF315" i="1" s="1"/>
  <c r="O43" i="11"/>
  <c r="S55" i="11"/>
  <c r="T59" i="11"/>
  <c r="F63" i="11"/>
  <c r="V63" i="11"/>
  <c r="H67" i="11"/>
  <c r="X67" i="11"/>
  <c r="P83" i="11"/>
  <c r="F143" i="11"/>
  <c r="V143" i="11"/>
  <c r="Q175" i="11"/>
  <c r="E189" i="11"/>
  <c r="U189" i="11"/>
  <c r="O209" i="11"/>
  <c r="G330" i="11"/>
  <c r="W330" i="11"/>
  <c r="Q330" i="11"/>
  <c r="Z221" i="13" a="1"/>
  <c r="Z221" i="13" s="1"/>
  <c r="S296" i="11"/>
  <c r="AB154" i="3"/>
  <c r="AD154" i="3" s="1"/>
  <c r="AD84" i="3" s="1"/>
  <c r="Z12" i="13" s="1"/>
  <c r="Z226" i="13" s="1" a="1"/>
  <c r="Z226" i="13" s="1"/>
  <c r="S242" i="3"/>
  <c r="R22" i="6"/>
  <c r="J42" i="6"/>
  <c r="BM42" i="6" s="1"/>
  <c r="T48" i="6"/>
  <c r="U48" i="6" s="1"/>
  <c r="BM57" i="6"/>
  <c r="O28" i="11"/>
  <c r="U242" i="3"/>
  <c r="W247" i="3" s="1"/>
  <c r="AG50" i="13"/>
  <c r="AG363" i="13" s="1" a="1"/>
  <c r="AG363" i="13" s="1"/>
  <c r="L338" i="3"/>
  <c r="L362" i="3" s="1"/>
  <c r="L363" i="3" s="1"/>
  <c r="O430" i="3"/>
  <c r="N487" i="3"/>
  <c r="N371" i="3" s="1"/>
  <c r="J585" i="3"/>
  <c r="F3" i="1"/>
  <c r="Q16" i="11"/>
  <c r="T47" i="11"/>
  <c r="Z55" i="11"/>
  <c r="O113" i="11"/>
  <c r="L129" i="11"/>
  <c r="Q143" i="11"/>
  <c r="R163" i="11"/>
  <c r="S171" i="11"/>
  <c r="O189" i="11"/>
  <c r="O193" i="11"/>
  <c r="Q205" i="11"/>
  <c r="R209" i="11"/>
  <c r="T217" i="11"/>
  <c r="N217" i="11"/>
  <c r="N240" i="11"/>
  <c r="P260" i="11"/>
  <c r="R268" i="11"/>
  <c r="J276" i="11"/>
  <c r="Z276" i="11"/>
  <c r="E322" i="11"/>
  <c r="U322" i="11"/>
  <c r="E326" i="11"/>
  <c r="U326" i="11"/>
  <c r="H330" i="11"/>
  <c r="X330" i="11"/>
  <c r="K334" i="11"/>
  <c r="F342" i="11"/>
  <c r="AL52" i="13"/>
  <c r="P221" i="13" a="1"/>
  <c r="P221" i="13" s="1"/>
  <c r="V207" i="3"/>
  <c r="V226" i="3"/>
  <c r="V262" i="3" s="1"/>
  <c r="M466" i="3"/>
  <c r="M546" i="3" s="1"/>
  <c r="O487" i="3"/>
  <c r="O371" i="3" s="1"/>
  <c r="Q503" i="3"/>
  <c r="Q12" i="11"/>
  <c r="T24" i="11"/>
  <c r="U67" i="11"/>
  <c r="J129" i="11"/>
  <c r="H338" i="11"/>
  <c r="X338" i="11"/>
  <c r="R221" i="13" a="1"/>
  <c r="R221" i="13" s="1"/>
  <c r="V379" i="3"/>
  <c r="R82" i="13" s="1"/>
  <c r="R483" i="13" s="1" a="1"/>
  <c r="R483" i="13" s="1"/>
  <c r="L131" i="3"/>
  <c r="R12" i="11"/>
  <c r="E24" i="11"/>
  <c r="U24" i="11"/>
  <c r="H28" i="11"/>
  <c r="X28" i="11"/>
  <c r="K63" i="11"/>
  <c r="L67" i="11"/>
  <c r="L71" i="11"/>
  <c r="R83" i="11"/>
  <c r="S159" i="11"/>
  <c r="E175" i="11"/>
  <c r="U175" i="11"/>
  <c r="S179" i="11"/>
  <c r="Q189" i="11"/>
  <c r="Q193" i="11"/>
  <c r="W230" i="11"/>
  <c r="T268" i="11"/>
  <c r="N268" i="11"/>
  <c r="G296" i="11"/>
  <c r="F300" i="11"/>
  <c r="R304" i="11"/>
  <c r="T318" i="11"/>
  <c r="G322" i="11"/>
  <c r="W322" i="11"/>
  <c r="G326" i="11"/>
  <c r="W326" i="11"/>
  <c r="J330" i="11"/>
  <c r="M334" i="11"/>
  <c r="F346" i="11"/>
  <c r="AL54" i="13"/>
  <c r="AL379" i="13" s="1" a="1"/>
  <c r="AL379" i="13" s="1"/>
  <c r="AJ103" i="13"/>
  <c r="S221" i="13" a="1"/>
  <c r="S221" i="13" s="1"/>
  <c r="P45" i="14"/>
  <c r="T309" i="3"/>
  <c r="K27" i="6" s="1"/>
  <c r="BN27" i="6" s="1"/>
  <c r="H316" i="3"/>
  <c r="R452" i="3"/>
  <c r="R458" i="3" s="1"/>
  <c r="R430" i="3"/>
  <c r="U503" i="3"/>
  <c r="M430" i="3"/>
  <c r="T16" i="11"/>
  <c r="U20" i="11"/>
  <c r="I28" i="11"/>
  <c r="Y28" i="11"/>
  <c r="J32" i="11"/>
  <c r="Z32" i="11"/>
  <c r="K36" i="11"/>
  <c r="U36" i="11"/>
  <c r="L43" i="11"/>
  <c r="M47" i="11"/>
  <c r="G47" i="11"/>
  <c r="W47" i="11"/>
  <c r="L59" i="11"/>
  <c r="M67" i="11"/>
  <c r="W67" i="11"/>
  <c r="S83" i="11"/>
  <c r="H97" i="11"/>
  <c r="O129" i="11"/>
  <c r="Q217" i="11"/>
  <c r="O304" i="11"/>
  <c r="J47" i="14"/>
  <c r="AB118" i="3"/>
  <c r="AD118" i="3" s="1"/>
  <c r="AF118" i="3" s="1"/>
  <c r="AH118" i="3" s="1"/>
  <c r="AJ118" i="3" s="1"/>
  <c r="AL118" i="3" s="1"/>
  <c r="AN118" i="3" s="1"/>
  <c r="V208" i="3"/>
  <c r="M130" i="3"/>
  <c r="N131" i="3"/>
  <c r="M236" i="11"/>
  <c r="U171" i="3"/>
  <c r="P279" i="3"/>
  <c r="G380" i="3"/>
  <c r="W382" i="3"/>
  <c r="W587" i="3" s="1"/>
  <c r="Q430" i="3"/>
  <c r="M556" i="3"/>
  <c r="J595" i="3"/>
  <c r="Y149" i="1"/>
  <c r="Y155" i="1" s="1"/>
  <c r="AB219" i="1"/>
  <c r="Q28" i="6"/>
  <c r="S28" i="6" s="1"/>
  <c r="T52" i="6"/>
  <c r="U52" i="6" s="1"/>
  <c r="U16" i="11"/>
  <c r="O16" i="11"/>
  <c r="F20" i="11"/>
  <c r="V20" i="11"/>
  <c r="J28" i="11"/>
  <c r="Z28" i="11"/>
  <c r="M43" i="11"/>
  <c r="G43" i="11"/>
  <c r="W43" i="11"/>
  <c r="X47" i="11"/>
  <c r="N55" i="11"/>
  <c r="M59" i="11"/>
  <c r="N67" i="11"/>
  <c r="H71" i="11"/>
  <c r="X71" i="11"/>
  <c r="S113" i="11"/>
  <c r="M113" i="11"/>
  <c r="O143" i="11"/>
  <c r="M193" i="11"/>
  <c r="P209" i="11"/>
  <c r="H240" i="11"/>
  <c r="G314" i="11"/>
  <c r="I322" i="11"/>
  <c r="Y322" i="11"/>
  <c r="S322" i="11"/>
  <c r="L330" i="11"/>
  <c r="Q338" i="11"/>
  <c r="AL51" i="13"/>
  <c r="AL367" i="13" s="1" a="1"/>
  <c r="AL367" i="13" s="1"/>
  <c r="AM54" i="13"/>
  <c r="AF82" i="13"/>
  <c r="AF483" i="13" s="1" a="1"/>
  <c r="AF483" i="13" s="1"/>
  <c r="AN225" i="13" a="1"/>
  <c r="AN225" i="13" s="1"/>
  <c r="N47" i="14"/>
  <c r="F87" i="3"/>
  <c r="AF51" i="13"/>
  <c r="AF367" i="13" s="1" a="1"/>
  <c r="AF367" i="13" s="1"/>
  <c r="H494" i="3"/>
  <c r="H495" i="3" s="1"/>
  <c r="N551" i="3"/>
  <c r="N556" i="3" s="1"/>
  <c r="T28" i="6"/>
  <c r="U28" i="6" s="1"/>
  <c r="T58" i="6"/>
  <c r="U58" i="6" s="1"/>
  <c r="U12" i="11"/>
  <c r="O12" i="11"/>
  <c r="Q163" i="11"/>
  <c r="P205" i="11"/>
  <c r="P47" i="14"/>
  <c r="Q131" i="3"/>
  <c r="T188" i="3"/>
  <c r="M217" i="3"/>
  <c r="N424" i="3"/>
  <c r="N437" i="3" s="1"/>
  <c r="N528" i="3" s="1"/>
  <c r="N560" i="3" s="1"/>
  <c r="I494" i="3"/>
  <c r="I495" i="3" s="1"/>
  <c r="J606" i="3"/>
  <c r="AE219" i="1"/>
  <c r="T9" i="6"/>
  <c r="U9" i="6" s="1"/>
  <c r="BM36" i="6"/>
  <c r="S24" i="11"/>
  <c r="X36" i="11"/>
  <c r="I59" i="11"/>
  <c r="R129" i="11"/>
  <c r="Q342" i="11"/>
  <c r="M346" i="11"/>
  <c r="AG82" i="13"/>
  <c r="AG483" i="13" s="1" a="1"/>
  <c r="AG483" i="13" s="1"/>
  <c r="F13" i="3"/>
  <c r="F118" i="3" s="1"/>
  <c r="F229" i="11" s="1"/>
  <c r="F230" i="11" s="1"/>
  <c r="S131" i="3"/>
  <c r="M93" i="11"/>
  <c r="V209" i="3"/>
  <c r="O217" i="3"/>
  <c r="U260" i="3"/>
  <c r="P282" i="3"/>
  <c r="AA293" i="3"/>
  <c r="AA294" i="3" s="1"/>
  <c r="K556" i="3"/>
  <c r="R395" i="3"/>
  <c r="G503" i="3"/>
  <c r="AF219" i="1"/>
  <c r="BM58" i="6"/>
  <c r="N32" i="11"/>
  <c r="Y36" i="11"/>
  <c r="R51" i="11"/>
  <c r="K67" i="11"/>
  <c r="Q71" i="11"/>
  <c r="Q117" i="11"/>
  <c r="Q129" i="11"/>
  <c r="J171" i="11"/>
  <c r="Z171" i="11"/>
  <c r="V199" i="11"/>
  <c r="K217" i="11"/>
  <c r="P226" i="11"/>
  <c r="N256" i="11"/>
  <c r="L322" i="11"/>
  <c r="L326" i="11"/>
  <c r="R334" i="11"/>
  <c r="T338" i="11"/>
  <c r="N338" i="11"/>
  <c r="Q346" i="11"/>
  <c r="AG12" i="13"/>
  <c r="AG226" i="13" s="1" a="1"/>
  <c r="AG226" i="13" s="1"/>
  <c r="AN54" i="13"/>
  <c r="AJ221" i="13" a="1"/>
  <c r="AJ221" i="13" s="1"/>
  <c r="L50" i="14"/>
  <c r="AA85" i="3"/>
  <c r="H101" i="3"/>
  <c r="H308" i="3" s="1"/>
  <c r="H331" i="3" s="1"/>
  <c r="W87" i="3"/>
  <c r="S14" i="13" s="1"/>
  <c r="L101" i="3"/>
  <c r="H38" i="13" s="1"/>
  <c r="H321" i="13" s="1" a="1"/>
  <c r="H321" i="13" s="1"/>
  <c r="G226" i="11"/>
  <c r="H218" i="3"/>
  <c r="R282" i="3"/>
  <c r="AB290" i="3"/>
  <c r="X52" i="13" s="1"/>
  <c r="AN52" i="13" s="1"/>
  <c r="AN371" i="13" s="1" a="1"/>
  <c r="AN371" i="13" s="1"/>
  <c r="U385" i="3"/>
  <c r="G430" i="3"/>
  <c r="K606" i="3"/>
  <c r="BM52" i="6"/>
  <c r="I16" i="11"/>
  <c r="J20" i="11"/>
  <c r="Z20" i="11"/>
  <c r="R47" i="11"/>
  <c r="R55" i="11"/>
  <c r="R67" i="11"/>
  <c r="R71" i="11"/>
  <c r="H83" i="11"/>
  <c r="M97" i="11"/>
  <c r="G113" i="11"/>
  <c r="W113" i="11"/>
  <c r="J163" i="11"/>
  <c r="Z163" i="11"/>
  <c r="K175" i="11"/>
  <c r="G189" i="11"/>
  <c r="W189" i="11"/>
  <c r="G193" i="11"/>
  <c r="W193" i="11"/>
  <c r="H260" i="11"/>
  <c r="X260" i="11"/>
  <c r="R276" i="11"/>
  <c r="J318" i="11"/>
  <c r="Z318" i="11"/>
  <c r="M322" i="11"/>
  <c r="S334" i="11"/>
  <c r="E338" i="11"/>
  <c r="U338" i="11"/>
  <c r="P556" i="3"/>
  <c r="T424" i="3"/>
  <c r="T437" i="3" s="1"/>
  <c r="T528" i="3" s="1"/>
  <c r="T560" i="3" s="1"/>
  <c r="L606" i="3"/>
  <c r="H113" i="11"/>
  <c r="X113" i="11"/>
  <c r="J159" i="11"/>
  <c r="Z159" i="11"/>
  <c r="L175" i="11"/>
  <c r="J179" i="11"/>
  <c r="Z179" i="11"/>
  <c r="I185" i="11"/>
  <c r="Y185" i="11"/>
  <c r="R189" i="11"/>
  <c r="J205" i="11"/>
  <c r="Z205" i="11"/>
  <c r="K209" i="11"/>
  <c r="I222" i="11"/>
  <c r="M240" i="11"/>
  <c r="I260" i="11"/>
  <c r="Y260" i="11"/>
  <c r="K268" i="11"/>
  <c r="R280" i="11"/>
  <c r="L280" i="11"/>
  <c r="I304" i="11"/>
  <c r="K318" i="11"/>
  <c r="E318" i="11"/>
  <c r="U318" i="11"/>
  <c r="N322" i="11"/>
  <c r="N326" i="11"/>
  <c r="T334" i="11"/>
  <c r="F338" i="11"/>
  <c r="V338" i="11"/>
  <c r="F8" i="14" a="1"/>
  <c r="F8" i="14" s="1"/>
  <c r="I16" i="14"/>
  <c r="I47" i="14" s="1"/>
  <c r="AB92" i="3"/>
  <c r="R87" i="3"/>
  <c r="N14" i="13" s="1"/>
  <c r="N234" i="13" s="1" a="1"/>
  <c r="N234" i="13" s="1"/>
  <c r="R297" i="3"/>
  <c r="O386" i="3"/>
  <c r="V424" i="3"/>
  <c r="V437" i="3" s="1"/>
  <c r="V528" i="3" s="1"/>
  <c r="V560" i="3" s="1"/>
  <c r="J440" i="3"/>
  <c r="J439" i="3" s="1"/>
  <c r="J530" i="3" s="1"/>
  <c r="J559" i="3" s="1"/>
  <c r="F466" i="3"/>
  <c r="K613" i="3"/>
  <c r="M613" i="3"/>
  <c r="AH197" i="1"/>
  <c r="U238" i="1"/>
  <c r="AD250" i="1"/>
  <c r="AD277" i="1" s="1"/>
  <c r="Q17" i="6"/>
  <c r="S17" i="6" s="1"/>
  <c r="T26" i="6"/>
  <c r="U26" i="6" s="1"/>
  <c r="CJ28" i="6"/>
  <c r="F129" i="11"/>
  <c r="T129" i="11"/>
  <c r="K159" i="11"/>
  <c r="L163" i="11"/>
  <c r="J185" i="11"/>
  <c r="Z185" i="11"/>
  <c r="O222" i="11"/>
  <c r="Y236" i="11"/>
  <c r="K16" i="14"/>
  <c r="Z323" i="3"/>
  <c r="R367" i="3"/>
  <c r="H346" i="11"/>
  <c r="T595" i="3"/>
  <c r="AG149" i="1"/>
  <c r="AG328" i="1" s="1"/>
  <c r="AH250" i="1"/>
  <c r="AH277" i="1" s="1"/>
  <c r="BO6" i="6"/>
  <c r="V16" i="11"/>
  <c r="K117" i="11"/>
  <c r="L159" i="11"/>
  <c r="M163" i="11"/>
  <c r="L179" i="11"/>
  <c r="F179" i="11"/>
  <c r="V179" i="11"/>
  <c r="K185" i="11"/>
  <c r="J189" i="11"/>
  <c r="Z189" i="11"/>
  <c r="T189" i="11"/>
  <c r="Z193" i="11"/>
  <c r="L205" i="11"/>
  <c r="M209" i="11"/>
  <c r="G318" i="11"/>
  <c r="W318" i="11"/>
  <c r="J326" i="11"/>
  <c r="Z326" i="11"/>
  <c r="AO50" i="13"/>
  <c r="Z84" i="3"/>
  <c r="V12" i="13" s="1"/>
  <c r="AM12" i="13" s="1"/>
  <c r="AM226" i="13" s="1" a="1"/>
  <c r="AM226" i="13" s="1"/>
  <c r="AC127" i="3"/>
  <c r="AE127" i="3" s="1"/>
  <c r="AE97" i="3" s="1"/>
  <c r="AA84" i="3"/>
  <c r="W12" i="13" s="1"/>
  <c r="W226" i="13" s="1" a="1"/>
  <c r="W226" i="13" s="1"/>
  <c r="O129" i="3"/>
  <c r="W158" i="3"/>
  <c r="T207" i="3"/>
  <c r="N285" i="3"/>
  <c r="U336" i="3"/>
  <c r="U338" i="3" s="1"/>
  <c r="Q83" i="13" s="1"/>
  <c r="Q487" i="13" s="1" a="1"/>
  <c r="Q487" i="13" s="1"/>
  <c r="H466" i="3"/>
  <c r="H546" i="3" s="1"/>
  <c r="G466" i="3"/>
  <c r="G546" i="3" s="1"/>
  <c r="P606" i="3"/>
  <c r="BM16" i="6"/>
  <c r="CE22" i="6"/>
  <c r="M16" i="11"/>
  <c r="W16" i="11"/>
  <c r="N20" i="11"/>
  <c r="H20" i="11"/>
  <c r="O24" i="11"/>
  <c r="V47" i="11"/>
  <c r="P47" i="11"/>
  <c r="F83" i="11"/>
  <c r="Q97" i="11"/>
  <c r="K97" i="11"/>
  <c r="K113" i="11"/>
  <c r="E113" i="11"/>
  <c r="U113" i="11"/>
  <c r="M143" i="11"/>
  <c r="N163" i="11"/>
  <c r="I175" i="11"/>
  <c r="Y175" i="11"/>
  <c r="E193" i="11"/>
  <c r="U193" i="11"/>
  <c r="K199" i="11"/>
  <c r="M205" i="11"/>
  <c r="G205" i="11"/>
  <c r="W205" i="11"/>
  <c r="N209" i="11"/>
  <c r="P217" i="11"/>
  <c r="W236" i="11"/>
  <c r="O314" i="11"/>
  <c r="Q334" i="11"/>
  <c r="BM49" i="6"/>
  <c r="W12" i="11"/>
  <c r="P24" i="11"/>
  <c r="Z24" i="11"/>
  <c r="H159" i="11"/>
  <c r="X159" i="11"/>
  <c r="M222" i="11"/>
  <c r="J256" i="11"/>
  <c r="Z256" i="11"/>
  <c r="G276" i="11"/>
  <c r="W276" i="11"/>
  <c r="Q276" i="11"/>
  <c r="F280" i="11"/>
  <c r="V280" i="11"/>
  <c r="P280" i="11"/>
  <c r="F284" i="11"/>
  <c r="R326" i="11"/>
  <c r="G346" i="11"/>
  <c r="Z309" i="1"/>
  <c r="AA238" i="1"/>
  <c r="Z235" i="1"/>
  <c r="F494" i="3"/>
  <c r="F487" i="3"/>
  <c r="AF202" i="3"/>
  <c r="AF214" i="3" s="1"/>
  <c r="AD214" i="3"/>
  <c r="AD100" i="3" s="1"/>
  <c r="Z37" i="13" s="1"/>
  <c r="Z317" i="13" s="1" a="1"/>
  <c r="Z317" i="13" s="1"/>
  <c r="H430" i="3"/>
  <c r="V585" i="3"/>
  <c r="CI42" i="6"/>
  <c r="H87" i="3"/>
  <c r="T95" i="3"/>
  <c r="K131" i="3"/>
  <c r="Q129" i="3"/>
  <c r="W136" i="3"/>
  <c r="W96" i="11" s="1"/>
  <c r="W97" i="11" s="1"/>
  <c r="E146" i="3"/>
  <c r="E146" i="11" s="1"/>
  <c r="E147" i="11" s="1"/>
  <c r="G158" i="3"/>
  <c r="S241" i="3"/>
  <c r="R279" i="3"/>
  <c r="Q332" i="3"/>
  <c r="X409" i="3"/>
  <c r="X609" i="3" s="1"/>
  <c r="P430" i="3"/>
  <c r="O503" i="3"/>
  <c r="G585" i="3"/>
  <c r="G597" i="3" s="1"/>
  <c r="AA197" i="1"/>
  <c r="Z219" i="1"/>
  <c r="T238" i="1"/>
  <c r="T16" i="6"/>
  <c r="U16" i="6" s="1"/>
  <c r="BM54" i="6"/>
  <c r="T59" i="6"/>
  <c r="U59" i="6" s="1"/>
  <c r="J87" i="3"/>
  <c r="J101" i="3"/>
  <c r="J308" i="3" s="1"/>
  <c r="J331" i="3" s="1"/>
  <c r="H126" i="3"/>
  <c r="H124" i="11" s="1"/>
  <c r="H125" i="11" s="1"/>
  <c r="V129" i="3"/>
  <c r="I158" i="3"/>
  <c r="V187" i="3"/>
  <c r="R189" i="3"/>
  <c r="Z217" i="3"/>
  <c r="U241" i="3"/>
  <c r="W246" i="3" s="1"/>
  <c r="N282" i="3"/>
  <c r="N309" i="3"/>
  <c r="R424" i="3"/>
  <c r="R437" i="3" s="1"/>
  <c r="R528" i="3" s="1"/>
  <c r="R560" i="3" s="1"/>
  <c r="S485" i="3"/>
  <c r="S307" i="11" s="1"/>
  <c r="S308" i="11" s="1"/>
  <c r="S595" i="3"/>
  <c r="L595" i="3"/>
  <c r="Z149" i="1"/>
  <c r="AA219" i="1"/>
  <c r="G12" i="11"/>
  <c r="T28" i="11"/>
  <c r="Q32" i="11"/>
  <c r="J63" i="11"/>
  <c r="O159" i="11"/>
  <c r="M171" i="11"/>
  <c r="V250" i="1"/>
  <c r="V279" i="1" s="1"/>
  <c r="V308" i="1" s="1"/>
  <c r="H12" i="11"/>
  <c r="X12" i="11"/>
  <c r="K28" i="11"/>
  <c r="L51" i="11"/>
  <c r="Q63" i="11"/>
  <c r="I71" i="11"/>
  <c r="Y71" i="11"/>
  <c r="R113" i="11"/>
  <c r="G117" i="11"/>
  <c r="W117" i="11"/>
  <c r="H143" i="11"/>
  <c r="X143" i="11"/>
  <c r="T163" i="11"/>
  <c r="T171" i="11"/>
  <c r="I268" i="11"/>
  <c r="O280" i="11"/>
  <c r="J218" i="3"/>
  <c r="L316" i="3"/>
  <c r="K380" i="3"/>
  <c r="L378" i="3"/>
  <c r="L550" i="3" s="1"/>
  <c r="R503" i="3"/>
  <c r="P525" i="3"/>
  <c r="Q556" i="3"/>
  <c r="U595" i="3"/>
  <c r="H606" i="3"/>
  <c r="Q613" i="3"/>
  <c r="AC149" i="1"/>
  <c r="AC328" i="1" s="1"/>
  <c r="X326" i="1"/>
  <c r="X250" i="1"/>
  <c r="T15" i="6"/>
  <c r="U15" i="6" s="1"/>
  <c r="BI28" i="6"/>
  <c r="R208" i="3"/>
  <c r="J466" i="3"/>
  <c r="J546" i="3" s="1"/>
  <c r="Y327" i="1"/>
  <c r="S613" i="3"/>
  <c r="AF197" i="1"/>
  <c r="K12" i="11"/>
  <c r="J16" i="11"/>
  <c r="Z16" i="11"/>
  <c r="G20" i="11"/>
  <c r="W20" i="11"/>
  <c r="Q20" i="11"/>
  <c r="U32" i="11"/>
  <c r="H36" i="11"/>
  <c r="F43" i="11"/>
  <c r="V43" i="11"/>
  <c r="O51" i="11"/>
  <c r="N97" i="11"/>
  <c r="P117" i="11"/>
  <c r="Y159" i="11"/>
  <c r="G163" i="11"/>
  <c r="W163" i="11"/>
  <c r="W171" i="11"/>
  <c r="M185" i="11"/>
  <c r="G185" i="11"/>
  <c r="W185" i="11"/>
  <c r="F199" i="11"/>
  <c r="E217" i="11"/>
  <c r="U217" i="11"/>
  <c r="J260" i="11"/>
  <c r="Z260" i="11"/>
  <c r="G130" i="3"/>
  <c r="G159" i="3"/>
  <c r="P213" i="3"/>
  <c r="P152" i="11" s="1"/>
  <c r="P153" i="11" s="1"/>
  <c r="M218" i="3"/>
  <c r="V235" i="3"/>
  <c r="Z92" i="3"/>
  <c r="T171" i="3"/>
  <c r="X100" i="3"/>
  <c r="X101" i="3" s="1"/>
  <c r="T38" i="13" s="1"/>
  <c r="T321" i="13" s="1" a="1"/>
  <c r="T321" i="13" s="1"/>
  <c r="U130" i="3"/>
  <c r="W159" i="3"/>
  <c r="O218" i="3"/>
  <c r="Z294" i="3"/>
  <c r="J316" i="3"/>
  <c r="N380" i="3"/>
  <c r="L466" i="3"/>
  <c r="L546" i="3" s="1"/>
  <c r="Q466" i="3"/>
  <c r="Q546" i="3" s="1"/>
  <c r="N494" i="3"/>
  <c r="N495" i="3" s="1"/>
  <c r="AE149" i="1"/>
  <c r="AE315" i="1" s="1"/>
  <c r="AE250" i="1"/>
  <c r="AE279" i="1" s="1"/>
  <c r="AE308" i="1" s="1"/>
  <c r="L12" i="11"/>
  <c r="X20" i="11"/>
  <c r="L32" i="11"/>
  <c r="Q43" i="11"/>
  <c r="N47" i="11"/>
  <c r="M55" i="11"/>
  <c r="O63" i="11"/>
  <c r="S67" i="11"/>
  <c r="O83" i="11"/>
  <c r="P113" i="11"/>
  <c r="H129" i="11"/>
  <c r="X129" i="11"/>
  <c r="L143" i="11"/>
  <c r="T159" i="11"/>
  <c r="Q179" i="11"/>
  <c r="Y193" i="11"/>
  <c r="F217" i="11"/>
  <c r="T276" i="11"/>
  <c r="S169" i="3"/>
  <c r="R155" i="3"/>
  <c r="R138" i="11" s="1"/>
  <c r="R139" i="11" s="1"/>
  <c r="S330" i="3"/>
  <c r="J567" i="3"/>
  <c r="O494" i="3"/>
  <c r="O495" i="3" s="1"/>
  <c r="L585" i="3"/>
  <c r="U613" i="3"/>
  <c r="F222" i="11"/>
  <c r="V222" i="11"/>
  <c r="X230" i="11"/>
  <c r="U169" i="3"/>
  <c r="AB213" i="3"/>
  <c r="Z218" i="3"/>
  <c r="S386" i="3"/>
  <c r="O585" i="3"/>
  <c r="AH219" i="1"/>
  <c r="T57" i="6"/>
  <c r="U57" i="6" s="1"/>
  <c r="Q283" i="13" a="1"/>
  <c r="Q283" i="13" s="1"/>
  <c r="Q221" i="13" a="1"/>
  <c r="Q221" i="13" s="1"/>
  <c r="Q229" i="13" a="1"/>
  <c r="Q229" i="13" s="1"/>
  <c r="M131" i="3"/>
  <c r="G160" i="3"/>
  <c r="I219" i="3"/>
  <c r="J332" i="3"/>
  <c r="E324" i="3"/>
  <c r="V359" i="3"/>
  <c r="T403" i="3"/>
  <c r="O466" i="3"/>
  <c r="O546" i="3" s="1"/>
  <c r="S556" i="3"/>
  <c r="M606" i="3"/>
  <c r="T197" i="1"/>
  <c r="T237" i="1" s="1"/>
  <c r="Q10" i="6"/>
  <c r="S10" i="6" s="1"/>
  <c r="T17" i="6"/>
  <c r="U17" i="6" s="1"/>
  <c r="Q34" i="6"/>
  <c r="S34" i="6" s="1"/>
  <c r="N16" i="11"/>
  <c r="X16" i="11"/>
  <c r="K20" i="11"/>
  <c r="V24" i="11"/>
  <c r="O32" i="11"/>
  <c r="I32" i="11"/>
  <c r="Y32" i="11"/>
  <c r="S51" i="11"/>
  <c r="M51" i="11"/>
  <c r="Y93" i="11"/>
  <c r="R97" i="11"/>
  <c r="Y113" i="11"/>
  <c r="K171" i="11"/>
  <c r="T179" i="11"/>
  <c r="Q185" i="11"/>
  <c r="J199" i="11"/>
  <c r="Z199" i="11"/>
  <c r="M314" i="11"/>
  <c r="T102" i="3"/>
  <c r="F94" i="3"/>
  <c r="F307" i="3" s="1"/>
  <c r="F330" i="3" s="1"/>
  <c r="T127" i="3"/>
  <c r="V155" i="3"/>
  <c r="I160" i="3"/>
  <c r="AD213" i="3"/>
  <c r="AD93" i="3" s="1"/>
  <c r="Y219" i="3"/>
  <c r="S332" i="3"/>
  <c r="Y16" i="11"/>
  <c r="L20" i="11"/>
  <c r="W24" i="11"/>
  <c r="S28" i="11"/>
  <c r="M36" i="11"/>
  <c r="H47" i="11"/>
  <c r="N59" i="11"/>
  <c r="Q67" i="11"/>
  <c r="S97" i="11"/>
  <c r="J113" i="11"/>
  <c r="E117" i="11"/>
  <c r="U117" i="11"/>
  <c r="Z129" i="11"/>
  <c r="P143" i="11"/>
  <c r="F163" i="11"/>
  <c r="V163" i="11"/>
  <c r="L171" i="11"/>
  <c r="P189" i="11"/>
  <c r="I209" i="11"/>
  <c r="Y209" i="11"/>
  <c r="Y222" i="11"/>
  <c r="F240" i="11"/>
  <c r="Q268" i="11"/>
  <c r="J94" i="3"/>
  <c r="J307" i="3" s="1"/>
  <c r="J330" i="3" s="1"/>
  <c r="V403" i="3"/>
  <c r="K430" i="3"/>
  <c r="U478" i="3"/>
  <c r="U479" i="3" s="1"/>
  <c r="U484" i="3" s="1"/>
  <c r="Q585" i="3"/>
  <c r="M595" i="3"/>
  <c r="J3" i="1"/>
  <c r="T149" i="1"/>
  <c r="T315" i="1" s="1"/>
  <c r="AB39" i="6"/>
  <c r="L160" i="3"/>
  <c r="AA214" i="3"/>
  <c r="E118" i="3"/>
  <c r="E229" i="11" s="1"/>
  <c r="E230" i="11" s="1"/>
  <c r="E145" i="3"/>
  <c r="E100" i="11" s="1"/>
  <c r="E101" i="11" s="1"/>
  <c r="M160" i="3"/>
  <c r="U170" i="3"/>
  <c r="AF192" i="3"/>
  <c r="AH192" i="3" s="1"/>
  <c r="AJ192" i="3" s="1"/>
  <c r="AB214" i="3"/>
  <c r="AB100" i="3" s="1"/>
  <c r="X37" i="13" s="1"/>
  <c r="X317" i="13" s="1" a="1"/>
  <c r="X317" i="13" s="1"/>
  <c r="S240" i="3"/>
  <c r="P333" i="3"/>
  <c r="V350" i="3"/>
  <c r="V354" i="3"/>
  <c r="V386" i="3" s="1"/>
  <c r="J487" i="3"/>
  <c r="J371" i="3" s="1"/>
  <c r="J503" i="3"/>
  <c r="R585" i="3"/>
  <c r="H613" i="3"/>
  <c r="K3" i="1"/>
  <c r="U149" i="1"/>
  <c r="U315" i="1" s="1"/>
  <c r="V219" i="1"/>
  <c r="V232" i="1" s="1"/>
  <c r="V320" i="1" s="1"/>
  <c r="Q18" i="6"/>
  <c r="S18" i="6" s="1"/>
  <c r="H42" i="6"/>
  <c r="BK42" i="6" s="1"/>
  <c r="T54" i="6"/>
  <c r="U54" i="6" s="1"/>
  <c r="AB98" i="3"/>
  <c r="X36" i="13" s="1"/>
  <c r="L218" i="3"/>
  <c r="W235" i="3"/>
  <c r="W250" i="3" s="1"/>
  <c r="T169" i="3"/>
  <c r="Z86" i="3"/>
  <c r="V13" i="13" s="1"/>
  <c r="AM13" i="13" s="1"/>
  <c r="AM230" i="13" s="1" a="1"/>
  <c r="AM230" i="13" s="1"/>
  <c r="L94" i="3"/>
  <c r="L307" i="3" s="1"/>
  <c r="L330" i="3" s="1"/>
  <c r="Z91" i="3"/>
  <c r="F101" i="3"/>
  <c r="F308" i="3" s="1"/>
  <c r="F331" i="3" s="1"/>
  <c r="N160" i="3"/>
  <c r="M332" i="3"/>
  <c r="N613" i="3"/>
  <c r="L430" i="3"/>
  <c r="O433" i="3"/>
  <c r="O438" i="3" s="1"/>
  <c r="O529" i="3" s="1"/>
  <c r="O558" i="3" s="1"/>
  <c r="S466" i="3"/>
  <c r="X473" i="3"/>
  <c r="X478" i="3" s="1"/>
  <c r="X479" i="3" s="1"/>
  <c r="X484" i="3" s="1"/>
  <c r="L487" i="3"/>
  <c r="L371" i="3" s="1"/>
  <c r="O595" i="3"/>
  <c r="R606" i="3"/>
  <c r="R615" i="3" s="1"/>
  <c r="I613" i="3"/>
  <c r="N3" i="1"/>
  <c r="V149" i="1"/>
  <c r="V156" i="1" s="1"/>
  <c r="V162" i="1" s="1"/>
  <c r="W149" i="1"/>
  <c r="W155" i="1" s="1"/>
  <c r="X197" i="1"/>
  <c r="X219" i="1"/>
  <c r="CI32" i="6"/>
  <c r="CJ32" i="6" s="1"/>
  <c r="S12" i="11"/>
  <c r="M12" i="11"/>
  <c r="J24" i="11"/>
  <c r="J36" i="11"/>
  <c r="Z36" i="11"/>
  <c r="T55" i="11"/>
  <c r="Q59" i="11"/>
  <c r="T71" i="11"/>
  <c r="N71" i="11"/>
  <c r="P97" i="11"/>
  <c r="H117" i="11"/>
  <c r="X117" i="11"/>
  <c r="O163" i="11"/>
  <c r="J175" i="11"/>
  <c r="T175" i="11"/>
  <c r="N199" i="11"/>
  <c r="M217" i="11"/>
  <c r="G217" i="11"/>
  <c r="W217" i="11"/>
  <c r="N226" i="11"/>
  <c r="R260" i="11"/>
  <c r="N304" i="11"/>
  <c r="R333" i="3"/>
  <c r="S355" i="3"/>
  <c r="P413" i="3"/>
  <c r="P418" i="3" s="1"/>
  <c r="Q416" i="3" s="1"/>
  <c r="Q419" i="3" s="1"/>
  <c r="N430" i="3"/>
  <c r="T466" i="3"/>
  <c r="T546" i="3" s="1"/>
  <c r="U585" i="3"/>
  <c r="P595" i="3"/>
  <c r="P3" i="1"/>
  <c r="Y219" i="1"/>
  <c r="T234" i="1"/>
  <c r="T310" i="1" s="1"/>
  <c r="BO34" i="6"/>
  <c r="T12" i="11"/>
  <c r="P20" i="11"/>
  <c r="G28" i="11"/>
  <c r="T32" i="11"/>
  <c r="Q36" i="11"/>
  <c r="I43" i="11"/>
  <c r="L47" i="11"/>
  <c r="F47" i="11"/>
  <c r="E55" i="11"/>
  <c r="M63" i="11"/>
  <c r="U71" i="11"/>
  <c r="P129" i="11"/>
  <c r="I179" i="11"/>
  <c r="Y179" i="11"/>
  <c r="F185" i="11"/>
  <c r="V185" i="11"/>
  <c r="N189" i="11"/>
  <c r="K193" i="11"/>
  <c r="O199" i="11"/>
  <c r="I199" i="11"/>
  <c r="Y199" i="11"/>
  <c r="G209" i="11"/>
  <c r="W209" i="11"/>
  <c r="S209" i="11"/>
  <c r="Y230" i="11"/>
  <c r="Z236" i="11"/>
  <c r="W244" i="11"/>
  <c r="H256" i="11"/>
  <c r="X256" i="11"/>
  <c r="F260" i="11"/>
  <c r="E268" i="11"/>
  <c r="U268" i="11"/>
  <c r="O268" i="11"/>
  <c r="H276" i="11"/>
  <c r="X276" i="11"/>
  <c r="S280" i="11"/>
  <c r="E296" i="11"/>
  <c r="U296" i="11"/>
  <c r="I318" i="11"/>
  <c r="Y318" i="11"/>
  <c r="T326" i="11"/>
  <c r="E330" i="11"/>
  <c r="U330" i="11"/>
  <c r="F36" i="11"/>
  <c r="K83" i="11"/>
  <c r="R171" i="11"/>
  <c r="R185" i="11"/>
  <c r="H222" i="11"/>
  <c r="X222" i="11"/>
  <c r="K226" i="11"/>
  <c r="P330" i="11"/>
  <c r="O342" i="11"/>
  <c r="AG13" i="13"/>
  <c r="AG230" i="13" s="1" a="1"/>
  <c r="AG230" i="13" s="1"/>
  <c r="AJ50" i="13"/>
  <c r="AJ363" i="13" s="1" a="1"/>
  <c r="AJ363" i="13" s="1"/>
  <c r="T221" i="13" a="1"/>
  <c r="T221" i="13" s="1"/>
  <c r="I53" i="15"/>
  <c r="I48" i="15" s="1"/>
  <c r="AM52" i="13"/>
  <c r="AM371" i="13" s="1" a="1"/>
  <c r="AM371" i="13" s="1"/>
  <c r="AM238" i="13" a="1"/>
  <c r="AM238" i="13" s="1"/>
  <c r="P241" i="13" a="1"/>
  <c r="P241" i="13" s="1"/>
  <c r="H209" i="11"/>
  <c r="X209" i="11"/>
  <c r="Q222" i="11"/>
  <c r="L226" i="11"/>
  <c r="G240" i="11"/>
  <c r="Q240" i="11"/>
  <c r="Q314" i="11"/>
  <c r="N318" i="11"/>
  <c r="S326" i="11"/>
  <c r="AL50" i="13"/>
  <c r="L260" i="11"/>
  <c r="I280" i="11"/>
  <c r="Y280" i="11"/>
  <c r="I288" i="11"/>
  <c r="K296" i="11"/>
  <c r="I300" i="11"/>
  <c r="K330" i="11"/>
  <c r="I334" i="11"/>
  <c r="Y334" i="11"/>
  <c r="T237" i="13" a="1"/>
  <c r="T237" i="13" s="1"/>
  <c r="T241" i="13" a="1"/>
  <c r="T241" i="13" s="1"/>
  <c r="K9" i="14"/>
  <c r="P50" i="14"/>
  <c r="R36" i="11"/>
  <c r="N43" i="11"/>
  <c r="I47" i="11"/>
  <c r="Y47" i="11"/>
  <c r="O55" i="11"/>
  <c r="Y59" i="11"/>
  <c r="R63" i="11"/>
  <c r="F71" i="11"/>
  <c r="V71" i="11"/>
  <c r="G83" i="11"/>
  <c r="E97" i="11"/>
  <c r="W101" i="11"/>
  <c r="R117" i="11"/>
  <c r="U129" i="11"/>
  <c r="F159" i="11"/>
  <c r="V159" i="11"/>
  <c r="K163" i="11"/>
  <c r="N171" i="11"/>
  <c r="H171" i="11"/>
  <c r="X171" i="11"/>
  <c r="G175" i="11"/>
  <c r="W175" i="11"/>
  <c r="N185" i="11"/>
  <c r="H217" i="11"/>
  <c r="X217" i="11"/>
  <c r="N222" i="11"/>
  <c r="I256" i="11"/>
  <c r="Y256" i="11"/>
  <c r="L268" i="11"/>
  <c r="O276" i="11"/>
  <c r="J280" i="11"/>
  <c r="Z280" i="11"/>
  <c r="F292" i="11"/>
  <c r="S314" i="11"/>
  <c r="P318" i="11"/>
  <c r="J334" i="11"/>
  <c r="Z334" i="11"/>
  <c r="I338" i="11"/>
  <c r="Y338" i="11"/>
  <c r="AG37" i="13"/>
  <c r="AM50" i="13"/>
  <c r="AM363" i="13" s="1" a="1"/>
  <c r="AM363" i="13" s="1"/>
  <c r="G16" i="14"/>
  <c r="G52" i="14" s="1"/>
  <c r="I41" i="14"/>
  <c r="F52" i="14"/>
  <c r="L199" i="11"/>
  <c r="I205" i="11"/>
  <c r="Y205" i="11"/>
  <c r="T222" i="11"/>
  <c r="M296" i="11"/>
  <c r="U237" i="13" a="1"/>
  <c r="U237" i="13" s="1"/>
  <c r="K41" i="14"/>
  <c r="K53" i="14" s="1"/>
  <c r="J52" i="14"/>
  <c r="T36" i="11"/>
  <c r="F51" i="11"/>
  <c r="V51" i="11"/>
  <c r="T63" i="11"/>
  <c r="P67" i="11"/>
  <c r="G97" i="11"/>
  <c r="L113" i="11"/>
  <c r="Y129" i="11"/>
  <c r="K143" i="11"/>
  <c r="P171" i="11"/>
  <c r="P179" i="11"/>
  <c r="P185" i="11"/>
  <c r="M189" i="11"/>
  <c r="H193" i="11"/>
  <c r="X193" i="11"/>
  <c r="R193" i="11"/>
  <c r="S199" i="11"/>
  <c r="L209" i="11"/>
  <c r="J217" i="11"/>
  <c r="Z217" i="11"/>
  <c r="K240" i="11"/>
  <c r="Q256" i="11"/>
  <c r="X268" i="11"/>
  <c r="I296" i="11"/>
  <c r="R318" i="11"/>
  <c r="L318" i="11"/>
  <c r="O322" i="11"/>
  <c r="N330" i="11"/>
  <c r="L334" i="11"/>
  <c r="K338" i="11"/>
  <c r="AO54" i="13"/>
  <c r="AO379" i="13" s="1" a="1"/>
  <c r="AO379" i="13" s="1"/>
  <c r="AL221" i="13" a="1"/>
  <c r="AL221" i="13" s="1"/>
  <c r="AN241" i="13" a="1"/>
  <c r="AN241" i="13" s="1"/>
  <c r="K23" i="14"/>
  <c r="M41" i="14"/>
  <c r="O296" i="11"/>
  <c r="G334" i="11"/>
  <c r="W334" i="11"/>
  <c r="AM221" i="13" a="1"/>
  <c r="AM221" i="13" s="1"/>
  <c r="AM237" i="13" a="1"/>
  <c r="AM237" i="13" s="1"/>
  <c r="M23" i="14"/>
  <c r="O41" i="14"/>
  <c r="K342" i="11"/>
  <c r="E342" i="11"/>
  <c r="AI89" i="13"/>
  <c r="AN221" i="13" a="1"/>
  <c r="AN221" i="13" s="1"/>
  <c r="O16" i="14"/>
  <c r="O23" i="14"/>
  <c r="P326" i="11"/>
  <c r="O334" i="11"/>
  <c r="AL233" i="13" a="1"/>
  <c r="AL233" i="13" s="1"/>
  <c r="L193" i="11"/>
  <c r="E256" i="11"/>
  <c r="U256" i="11"/>
  <c r="S260" i="11"/>
  <c r="I314" i="11"/>
  <c r="F318" i="11"/>
  <c r="Q326" i="11"/>
  <c r="M342" i="11"/>
  <c r="AF50" i="13"/>
  <c r="AF363" i="13" s="1" a="1"/>
  <c r="AF363" i="13" s="1"/>
  <c r="AO237" i="13" a="1"/>
  <c r="AO237" i="13" s="1"/>
  <c r="F43" i="14"/>
  <c r="M32" i="11"/>
  <c r="E43" i="11"/>
  <c r="U43" i="11"/>
  <c r="U51" i="11"/>
  <c r="I63" i="11"/>
  <c r="Y79" i="11"/>
  <c r="N83" i="11"/>
  <c r="W93" i="11"/>
  <c r="L97" i="11"/>
  <c r="Q113" i="11"/>
  <c r="J143" i="11"/>
  <c r="Z143" i="11"/>
  <c r="M159" i="11"/>
  <c r="E171" i="11"/>
  <c r="U171" i="11"/>
  <c r="E185" i="11"/>
  <c r="U185" i="11"/>
  <c r="H199" i="11"/>
  <c r="X199" i="11"/>
  <c r="R199" i="11"/>
  <c r="E205" i="11"/>
  <c r="U205" i="11"/>
  <c r="Q209" i="11"/>
  <c r="O217" i="11"/>
  <c r="J222" i="11"/>
  <c r="Z222" i="11"/>
  <c r="U222" i="11"/>
  <c r="H226" i="11"/>
  <c r="P240" i="11"/>
  <c r="J240" i="11"/>
  <c r="T260" i="11"/>
  <c r="S268" i="11"/>
  <c r="F276" i="11"/>
  <c r="V276" i="11"/>
  <c r="Q280" i="11"/>
  <c r="K280" i="11"/>
  <c r="Q288" i="11"/>
  <c r="O300" i="11"/>
  <c r="M304" i="11"/>
  <c r="G304" i="11"/>
  <c r="T322" i="11"/>
  <c r="S330" i="11"/>
  <c r="AF36" i="13"/>
  <c r="AF313" i="13" s="1" a="1"/>
  <c r="AF313" i="13" s="1"/>
  <c r="AL225" i="13" a="1"/>
  <c r="AL225" i="13" s="1"/>
  <c r="AM233" i="13" a="1"/>
  <c r="AM233" i="13" s="1"/>
  <c r="I23" i="14"/>
  <c r="J43" i="14"/>
  <c r="M16" i="14"/>
  <c r="F45" i="14"/>
  <c r="H92" i="11"/>
  <c r="H93" i="11" s="1"/>
  <c r="H158" i="3"/>
  <c r="AI192" i="3"/>
  <c r="G33" i="6"/>
  <c r="G85" i="13"/>
  <c r="K344" i="3"/>
  <c r="W35" i="13"/>
  <c r="W309" i="13" s="1" a="1"/>
  <c r="W309" i="13" s="1"/>
  <c r="AD92" i="3"/>
  <c r="AF166" i="3"/>
  <c r="X169" i="3"/>
  <c r="V169" i="3"/>
  <c r="J92" i="11"/>
  <c r="J93" i="11" s="1"/>
  <c r="J158" i="3"/>
  <c r="AE155" i="3"/>
  <c r="AC91" i="3"/>
  <c r="V235" i="11"/>
  <c r="V236" i="11" s="1"/>
  <c r="X160" i="3"/>
  <c r="V160" i="3"/>
  <c r="W11" i="13"/>
  <c r="X35" i="13"/>
  <c r="X309" i="13" s="1" a="1"/>
  <c r="X309" i="13" s="1"/>
  <c r="AC84" i="3"/>
  <c r="Y12" i="13" s="1"/>
  <c r="AE154" i="3"/>
  <c r="AG193" i="3"/>
  <c r="AI193" i="3" s="1"/>
  <c r="AK193" i="3" s="1"/>
  <c r="AM193" i="3" s="1"/>
  <c r="AE213" i="3"/>
  <c r="AE156" i="3"/>
  <c r="AC98" i="3"/>
  <c r="Y36" i="13" s="1"/>
  <c r="Y313" i="13" s="1" a="1"/>
  <c r="Y313" i="13" s="1"/>
  <c r="AG214" i="3"/>
  <c r="AI202" i="3"/>
  <c r="V124" i="11"/>
  <c r="V125" i="11" s="1"/>
  <c r="V130" i="3"/>
  <c r="T170" i="3"/>
  <c r="X137" i="3"/>
  <c r="Z137" i="3" s="1"/>
  <c r="AB137" i="3" s="1"/>
  <c r="AD137" i="3" s="1"/>
  <c r="AF137" i="3" s="1"/>
  <c r="AH137" i="3" s="1"/>
  <c r="AJ137" i="3" s="1"/>
  <c r="AL137" i="3" s="1"/>
  <c r="AN137" i="3" s="1"/>
  <c r="T124" i="11"/>
  <c r="T125" i="11" s="1"/>
  <c r="T130" i="3"/>
  <c r="V92" i="11"/>
  <c r="V93" i="11" s="1"/>
  <c r="X158" i="3"/>
  <c r="AG176" i="3"/>
  <c r="AE212" i="3"/>
  <c r="AF156" i="3"/>
  <c r="AD98" i="3"/>
  <c r="Z36" i="13" s="1"/>
  <c r="Z313" i="13" s="1" a="1"/>
  <c r="Z313" i="13" s="1"/>
  <c r="H106" i="11"/>
  <c r="H107" i="11" s="1"/>
  <c r="H217" i="3"/>
  <c r="H138" i="11"/>
  <c r="H139" i="11" s="1"/>
  <c r="H159" i="3"/>
  <c r="L138" i="11"/>
  <c r="L139" i="11" s="1"/>
  <c r="L159" i="3"/>
  <c r="R171" i="3"/>
  <c r="AB99" i="3"/>
  <c r="AD167" i="3"/>
  <c r="J249" i="11"/>
  <c r="J250" i="11" s="1"/>
  <c r="J219" i="3"/>
  <c r="AD165" i="3"/>
  <c r="AB85" i="3"/>
  <c r="J138" i="11"/>
  <c r="J139" i="11" s="1"/>
  <c r="J159" i="3"/>
  <c r="AE165" i="3"/>
  <c r="AC85" i="3"/>
  <c r="F138" i="11"/>
  <c r="F146" i="3"/>
  <c r="F146" i="11" s="1"/>
  <c r="F147" i="11" s="1"/>
  <c r="V106" i="11"/>
  <c r="V107" i="11" s="1"/>
  <c r="X217" i="3"/>
  <c r="F92" i="11"/>
  <c r="F93" i="11" s="1"/>
  <c r="L154" i="3"/>
  <c r="N158" i="3" s="1"/>
  <c r="N138" i="11"/>
  <c r="N139" i="11" s="1"/>
  <c r="N159" i="3"/>
  <c r="K106" i="11"/>
  <c r="K107" i="11" s="1"/>
  <c r="K217" i="3"/>
  <c r="AC212" i="3"/>
  <c r="I506" i="3"/>
  <c r="H506" i="3"/>
  <c r="H358" i="3"/>
  <c r="H359" i="3" s="1"/>
  <c r="H338" i="3"/>
  <c r="J416" i="3"/>
  <c r="J417" i="3" s="1"/>
  <c r="J565" i="3" s="1"/>
  <c r="L12" i="13"/>
  <c r="AH12" i="13" s="1"/>
  <c r="AH226" i="13" s="1" a="1"/>
  <c r="AH226" i="13" s="1"/>
  <c r="G52" i="6"/>
  <c r="BJ52" i="6" s="1"/>
  <c r="P154" i="3"/>
  <c r="I330" i="3"/>
  <c r="I311" i="3"/>
  <c r="G4" i="3"/>
  <c r="N12" i="13"/>
  <c r="AI12" i="13" s="1"/>
  <c r="AI226" i="13" s="1" a="1"/>
  <c r="AI226" i="13" s="1"/>
  <c r="I52" i="6"/>
  <c r="BL52" i="6" s="1"/>
  <c r="N13" i="13"/>
  <c r="N230" i="13" s="1" a="1"/>
  <c r="N230" i="13" s="1"/>
  <c r="I57" i="6"/>
  <c r="BL57" i="6" s="1"/>
  <c r="P87" i="3"/>
  <c r="I48" i="6"/>
  <c r="BL48" i="6" s="1"/>
  <c r="R236" i="3"/>
  <c r="V95" i="3"/>
  <c r="R127" i="3"/>
  <c r="X129" i="3"/>
  <c r="AA147" i="3"/>
  <c r="AC147" i="3" s="1"/>
  <c r="AE147" i="3" s="1"/>
  <c r="AG147" i="3" s="1"/>
  <c r="AI147" i="3" s="1"/>
  <c r="AK147" i="3" s="1"/>
  <c r="AM147" i="3" s="1"/>
  <c r="L212" i="3"/>
  <c r="N152" i="11"/>
  <c r="N153" i="11" s="1"/>
  <c r="N218" i="3"/>
  <c r="Q217" i="3"/>
  <c r="P319" i="3"/>
  <c r="P324" i="3" s="1"/>
  <c r="J506" i="3"/>
  <c r="J324" i="3"/>
  <c r="J358" i="3"/>
  <c r="J359" i="3" s="1"/>
  <c r="J338" i="3"/>
  <c r="R51" i="13"/>
  <c r="AK51" i="13" s="1"/>
  <c r="AK367" i="13" s="1" a="1"/>
  <c r="AK367" i="13" s="1"/>
  <c r="X288" i="3"/>
  <c r="V309" i="3"/>
  <c r="L13" i="13"/>
  <c r="AH13" i="13" s="1"/>
  <c r="AH230" i="13" s="1" a="1"/>
  <c r="AH230" i="13" s="1"/>
  <c r="G57" i="6"/>
  <c r="BJ57" i="6" s="1"/>
  <c r="P212" i="3"/>
  <c r="K14" i="13"/>
  <c r="O306" i="3"/>
  <c r="P12" i="13"/>
  <c r="AJ12" i="13" s="1"/>
  <c r="AJ226" i="13" s="1" a="1"/>
  <c r="AJ226" i="13" s="1"/>
  <c r="K52" i="6"/>
  <c r="BN52" i="6" s="1"/>
  <c r="P13" i="13"/>
  <c r="AJ13" i="13" s="1"/>
  <c r="AJ230" i="13" s="1" a="1"/>
  <c r="AJ230" i="13" s="1"/>
  <c r="K57" i="6"/>
  <c r="BN57" i="6" s="1"/>
  <c r="M14" i="13"/>
  <c r="M234" i="13" s="1" a="1"/>
  <c r="M234" i="13" s="1"/>
  <c r="Q306" i="3"/>
  <c r="K48" i="6"/>
  <c r="BN48" i="6" s="1"/>
  <c r="T236" i="3"/>
  <c r="K330" i="3"/>
  <c r="L35" i="13"/>
  <c r="AH35" i="13" s="1"/>
  <c r="G49" i="6"/>
  <c r="BJ49" i="6" s="1"/>
  <c r="P237" i="3"/>
  <c r="Q109" i="3"/>
  <c r="Q225" i="11" s="1"/>
  <c r="Q226" i="11" s="1"/>
  <c r="F125" i="3"/>
  <c r="G129" i="3"/>
  <c r="N92" i="11"/>
  <c r="N93" i="11" s="1"/>
  <c r="I31" i="6"/>
  <c r="AE290" i="3"/>
  <c r="AE293" i="3" s="1"/>
  <c r="K31" i="6"/>
  <c r="I283" i="11"/>
  <c r="I284" i="11" s="1"/>
  <c r="I343" i="3"/>
  <c r="I344" i="3" s="1"/>
  <c r="Q401" i="3"/>
  <c r="Q355" i="3"/>
  <c r="M438" i="3"/>
  <c r="M529" i="3" s="1"/>
  <c r="M558" i="3" s="1"/>
  <c r="H125" i="3"/>
  <c r="I129" i="3"/>
  <c r="Z249" i="11"/>
  <c r="Z250" i="11" s="1"/>
  <c r="Z219" i="3"/>
  <c r="Q225" i="3"/>
  <c r="Q261" i="3" s="1"/>
  <c r="U402" i="3"/>
  <c r="U401" i="3"/>
  <c r="U387" i="3"/>
  <c r="U386" i="3"/>
  <c r="U355" i="3"/>
  <c r="M138" i="11"/>
  <c r="M139" i="11" s="1"/>
  <c r="M159" i="3"/>
  <c r="T12" i="13"/>
  <c r="T226" i="13" s="1" a="1"/>
  <c r="T226" i="13" s="1"/>
  <c r="O52" i="6"/>
  <c r="BR52" i="6" s="1"/>
  <c r="R14" i="13"/>
  <c r="R234" i="13" s="1" a="1"/>
  <c r="R234" i="13" s="1"/>
  <c r="V224" i="3"/>
  <c r="V260" i="3" s="1"/>
  <c r="V306" i="3"/>
  <c r="M24" i="6" s="1"/>
  <c r="BP24" i="6" s="1"/>
  <c r="N330" i="3"/>
  <c r="R35" i="13"/>
  <c r="AK35" i="13" s="1"/>
  <c r="AK309" i="13" s="1" a="1"/>
  <c r="AK309" i="13" s="1"/>
  <c r="M49" i="6"/>
  <c r="BP49" i="6" s="1"/>
  <c r="U107" i="3"/>
  <c r="U109" i="3"/>
  <c r="AB125" i="3"/>
  <c r="V127" i="3"/>
  <c r="I130" i="3"/>
  <c r="J131" i="3"/>
  <c r="AB145" i="3"/>
  <c r="AD145" i="3" s="1"/>
  <c r="AF145" i="3" s="1"/>
  <c r="AH145" i="3" s="1"/>
  <c r="AJ145" i="3" s="1"/>
  <c r="AL145" i="3" s="1"/>
  <c r="AN145" i="3" s="1"/>
  <c r="R154" i="3"/>
  <c r="T155" i="3"/>
  <c r="E235" i="11"/>
  <c r="E236" i="11" s="1"/>
  <c r="E147" i="3"/>
  <c r="E243" i="11" s="1"/>
  <c r="E244" i="11" s="1"/>
  <c r="U235" i="11"/>
  <c r="U236" i="11" s="1"/>
  <c r="AE167" i="3"/>
  <c r="R213" i="3"/>
  <c r="M308" i="3"/>
  <c r="M331" i="3" s="1"/>
  <c r="K33" i="6"/>
  <c r="H295" i="11"/>
  <c r="H296" i="11" s="1"/>
  <c r="H366" i="3"/>
  <c r="H367" i="3" s="1"/>
  <c r="P88" i="13"/>
  <c r="AJ88" i="13" s="1"/>
  <c r="AJ507" i="13" s="1" a="1"/>
  <c r="AJ507" i="13" s="1"/>
  <c r="T299" i="11"/>
  <c r="T300" i="11" s="1"/>
  <c r="K10" i="6"/>
  <c r="BN10" i="6" s="1"/>
  <c r="K92" i="11"/>
  <c r="K93" i="11" s="1"/>
  <c r="H84" i="13"/>
  <c r="AF84" i="13" s="1"/>
  <c r="AF491" i="13" s="1" a="1"/>
  <c r="AF491" i="13" s="1"/>
  <c r="L287" i="11"/>
  <c r="L288" i="11" s="1"/>
  <c r="L440" i="3"/>
  <c r="P14" i="13"/>
  <c r="P234" i="13" s="1" a="1"/>
  <c r="P234" i="13" s="1"/>
  <c r="T224" i="3"/>
  <c r="T260" i="3" s="1"/>
  <c r="O225" i="3"/>
  <c r="O261" i="3" s="1"/>
  <c r="O307" i="3"/>
  <c r="F25" i="6" s="1"/>
  <c r="BI25" i="6" s="1"/>
  <c r="S35" i="13"/>
  <c r="N49" i="6"/>
  <c r="BQ49" i="6" s="1"/>
  <c r="J125" i="3"/>
  <c r="AC125" i="3"/>
  <c r="G131" i="3"/>
  <c r="K129" i="3"/>
  <c r="V136" i="3"/>
  <c r="F235" i="11"/>
  <c r="F236" i="11" s="1"/>
  <c r="K158" i="3"/>
  <c r="R212" i="3"/>
  <c r="S152" i="11"/>
  <c r="S153" i="11" s="1"/>
  <c r="S218" i="3"/>
  <c r="T225" i="3"/>
  <c r="T261" i="3" s="1"/>
  <c r="T306" i="3"/>
  <c r="K24" i="6" s="1"/>
  <c r="BN24" i="6" s="1"/>
  <c r="R401" i="3"/>
  <c r="R386" i="3"/>
  <c r="R355" i="3"/>
  <c r="R402" i="3"/>
  <c r="L33" i="6"/>
  <c r="U331" i="3"/>
  <c r="I83" i="13"/>
  <c r="I487" i="13" s="1" a="1"/>
  <c r="I487" i="13" s="1"/>
  <c r="M283" i="11"/>
  <c r="M284" i="11" s="1"/>
  <c r="M343" i="3"/>
  <c r="G556" i="3"/>
  <c r="P94" i="3"/>
  <c r="T35" i="13"/>
  <c r="T309" i="13" s="1" a="1"/>
  <c r="T309" i="13" s="1"/>
  <c r="O49" i="6"/>
  <c r="BR49" i="6" s="1"/>
  <c r="X237" i="3"/>
  <c r="X252" i="3" s="1"/>
  <c r="J38" i="13"/>
  <c r="AG38" i="13" s="1"/>
  <c r="AG321" i="13" s="1" a="1"/>
  <c r="AG321" i="13" s="1"/>
  <c r="N308" i="3"/>
  <c r="N331" i="3" s="1"/>
  <c r="J124" i="11"/>
  <c r="J125" i="11" s="1"/>
  <c r="T154" i="3"/>
  <c r="V158" i="3" s="1"/>
  <c r="O159" i="3"/>
  <c r="AF176" i="3"/>
  <c r="AB178" i="3"/>
  <c r="T209" i="3"/>
  <c r="S106" i="11"/>
  <c r="S107" i="11" s="1"/>
  <c r="S217" i="3"/>
  <c r="T213" i="3"/>
  <c r="O242" i="3"/>
  <c r="I33" i="6"/>
  <c r="L24" i="6"/>
  <c r="L39" i="6" s="1"/>
  <c r="BO39" i="6" s="1"/>
  <c r="U310" i="3"/>
  <c r="T386" i="3"/>
  <c r="T355" i="3"/>
  <c r="I550" i="3"/>
  <c r="I388" i="3"/>
  <c r="I380" i="3"/>
  <c r="J378" i="3"/>
  <c r="L36" i="13"/>
  <c r="AH36" i="13" s="1"/>
  <c r="AH313" i="13" s="1" a="1"/>
  <c r="AH313" i="13" s="1"/>
  <c r="G54" i="6"/>
  <c r="BJ54" i="6" s="1"/>
  <c r="L37" i="13"/>
  <c r="AH37" i="13" s="1"/>
  <c r="AH317" i="13" s="1" a="1"/>
  <c r="AH317" i="13" s="1"/>
  <c r="G59" i="6"/>
  <c r="BJ59" i="6" s="1"/>
  <c r="P214" i="3"/>
  <c r="K38" i="13"/>
  <c r="K321" i="13" s="1" a="1"/>
  <c r="K321" i="13" s="1"/>
  <c r="F26" i="6"/>
  <c r="BI26" i="6" s="1"/>
  <c r="O308" i="3"/>
  <c r="O331" i="3" s="1"/>
  <c r="L125" i="3"/>
  <c r="N129" i="3" s="1"/>
  <c r="K124" i="11"/>
  <c r="K125" i="11" s="1"/>
  <c r="K130" i="3"/>
  <c r="H235" i="11"/>
  <c r="H160" i="3"/>
  <c r="M158" i="3"/>
  <c r="P160" i="3"/>
  <c r="R207" i="3"/>
  <c r="T212" i="3"/>
  <c r="V217" i="3" s="1"/>
  <c r="U152" i="11"/>
  <c r="U153" i="11" s="1"/>
  <c r="U218" i="3"/>
  <c r="AE214" i="3"/>
  <c r="J393" i="3"/>
  <c r="I551" i="3"/>
  <c r="I403" i="3"/>
  <c r="F6" i="3" a="1"/>
  <c r="F6" i="3" s="1"/>
  <c r="L11" i="13"/>
  <c r="L222" i="13" s="1" a="1"/>
  <c r="L222" i="13" s="1"/>
  <c r="G47" i="6"/>
  <c r="BJ47" i="6" s="1"/>
  <c r="P235" i="3"/>
  <c r="P11" i="13"/>
  <c r="AJ11" i="13" s="1"/>
  <c r="AJ222" i="13" s="1" a="1"/>
  <c r="AJ222" i="13" s="1"/>
  <c r="K47" i="6"/>
  <c r="BN47" i="6" s="1"/>
  <c r="T235" i="3"/>
  <c r="R11" i="13"/>
  <c r="AK11" i="13" s="1"/>
  <c r="AK222" i="13" s="1" a="1"/>
  <c r="AK222" i="13" s="1"/>
  <c r="M47" i="6"/>
  <c r="BP47" i="6" s="1"/>
  <c r="T88" i="3"/>
  <c r="M58" i="6"/>
  <c r="BP58" i="6" s="1"/>
  <c r="V213" i="3"/>
  <c r="R94" i="3"/>
  <c r="V35" i="13"/>
  <c r="AM35" i="13" s="1"/>
  <c r="AM309" i="13" s="1" a="1"/>
  <c r="AM309" i="13" s="1"/>
  <c r="N36" i="13"/>
  <c r="AI36" i="13" s="1"/>
  <c r="AI313" i="13" s="1" a="1"/>
  <c r="AI313" i="13" s="1"/>
  <c r="I54" i="6"/>
  <c r="BL54" i="6" s="1"/>
  <c r="N37" i="13"/>
  <c r="AI37" i="13" s="1"/>
  <c r="AI317" i="13" s="1" a="1"/>
  <c r="AI317" i="13" s="1"/>
  <c r="I59" i="6"/>
  <c r="BL59" i="6" s="1"/>
  <c r="R214" i="3"/>
  <c r="P101" i="3"/>
  <c r="E116" i="3"/>
  <c r="E86" i="11" s="1"/>
  <c r="E87" i="11" s="1"/>
  <c r="M78" i="11"/>
  <c r="M79" i="11" s="1"/>
  <c r="M129" i="3"/>
  <c r="L126" i="3"/>
  <c r="AD127" i="3"/>
  <c r="O130" i="3"/>
  <c r="O158" i="3"/>
  <c r="Q159" i="3"/>
  <c r="Q160" i="3"/>
  <c r="S171" i="3"/>
  <c r="T187" i="3"/>
  <c r="U106" i="11"/>
  <c r="U107" i="11" s="1"/>
  <c r="U217" i="3"/>
  <c r="O224" i="3"/>
  <c r="O260" i="3" s="1"/>
  <c r="F32" i="6"/>
  <c r="L87" i="13"/>
  <c r="AH87" i="13" s="1"/>
  <c r="AH503" i="13" s="1" a="1"/>
  <c r="AH503" i="13" s="1"/>
  <c r="P295" i="11"/>
  <c r="P296" i="11" s="1"/>
  <c r="G9" i="6"/>
  <c r="BJ9" i="6" s="1"/>
  <c r="P366" i="3"/>
  <c r="P367" i="3" s="1"/>
  <c r="S249" i="11"/>
  <c r="S250" i="11" s="1"/>
  <c r="S219" i="3"/>
  <c r="R12" i="13"/>
  <c r="AK12" i="13" s="1"/>
  <c r="AK226" i="13" s="1" a="1"/>
  <c r="AK226" i="13" s="1"/>
  <c r="M52" i="6"/>
  <c r="BP52" i="6" s="1"/>
  <c r="V170" i="3"/>
  <c r="N35" i="13"/>
  <c r="AI35" i="13" s="1"/>
  <c r="AI309" i="13" s="1" a="1"/>
  <c r="AI309" i="13" s="1"/>
  <c r="I49" i="6"/>
  <c r="BL49" i="6" s="1"/>
  <c r="S12" i="13"/>
  <c r="N52" i="6"/>
  <c r="BQ52" i="6" s="1"/>
  <c r="G38" i="13"/>
  <c r="K308" i="3"/>
  <c r="K331" i="3" s="1"/>
  <c r="S11" i="13"/>
  <c r="S222" i="13" s="1" a="1"/>
  <c r="S222" i="13" s="1"/>
  <c r="N47" i="6"/>
  <c r="BQ47" i="6" s="1"/>
  <c r="G53" i="6"/>
  <c r="BJ53" i="6" s="1"/>
  <c r="P155" i="3"/>
  <c r="P36" i="13"/>
  <c r="AJ36" i="13" s="1"/>
  <c r="AJ313" i="13" s="1" a="1"/>
  <c r="AJ313" i="13" s="1"/>
  <c r="K54" i="6"/>
  <c r="BN54" i="6" s="1"/>
  <c r="P37" i="13"/>
  <c r="AJ37" i="13" s="1"/>
  <c r="AJ317" i="13" s="1" a="1"/>
  <c r="AJ317" i="13" s="1"/>
  <c r="K59" i="6"/>
  <c r="BN59" i="6" s="1"/>
  <c r="T214" i="3"/>
  <c r="M38" i="13"/>
  <c r="M321" i="13" s="1" a="1"/>
  <c r="M321" i="13" s="1"/>
  <c r="H26" i="6"/>
  <c r="BK26" i="6" s="1"/>
  <c r="Q226" i="3"/>
  <c r="Q308" i="3"/>
  <c r="Q331" i="3" s="1"/>
  <c r="N78" i="11"/>
  <c r="N79" i="11" s="1"/>
  <c r="T239" i="11"/>
  <c r="T240" i="11" s="1"/>
  <c r="V138" i="3"/>
  <c r="AB155" i="3"/>
  <c r="J235" i="11"/>
  <c r="J236" i="11" s="1"/>
  <c r="J160" i="3"/>
  <c r="R160" i="3"/>
  <c r="AC214" i="3"/>
  <c r="L214" i="3"/>
  <c r="N219" i="3" s="1"/>
  <c r="G218" i="3"/>
  <c r="Q224" i="3"/>
  <c r="T417" i="3"/>
  <c r="T565" i="3" s="1"/>
  <c r="U416" i="3"/>
  <c r="U417" i="3" s="1"/>
  <c r="U437" i="3"/>
  <c r="T11" i="13"/>
  <c r="T222" i="13" s="1" a="1"/>
  <c r="T222" i="13" s="1"/>
  <c r="O47" i="6"/>
  <c r="BR47" i="6" s="1"/>
  <c r="X235" i="3"/>
  <c r="X250" i="3" s="1"/>
  <c r="V88" i="3"/>
  <c r="V307" i="3"/>
  <c r="M25" i="6" s="1"/>
  <c r="BP25" i="6" s="1"/>
  <c r="V225" i="3"/>
  <c r="V261" i="3" s="1"/>
  <c r="R36" i="13"/>
  <c r="M54" i="6"/>
  <c r="BP54" i="6" s="1"/>
  <c r="R37" i="13"/>
  <c r="AK37" i="13" s="1"/>
  <c r="M59" i="6"/>
  <c r="BP59" i="6" s="1"/>
  <c r="V214" i="3"/>
  <c r="R101" i="3"/>
  <c r="Q130" i="3"/>
  <c r="U239" i="11"/>
  <c r="U240" i="11" s="1"/>
  <c r="W138" i="3"/>
  <c r="I138" i="11"/>
  <c r="I139" i="11" s="1"/>
  <c r="K235" i="11"/>
  <c r="K236" i="11" s="1"/>
  <c r="K160" i="3"/>
  <c r="S158" i="3"/>
  <c r="S159" i="3"/>
  <c r="S160" i="3"/>
  <c r="W106" i="11"/>
  <c r="W107" i="11" s="1"/>
  <c r="W217" i="3"/>
  <c r="H219" i="3"/>
  <c r="N323" i="3"/>
  <c r="N316" i="3"/>
  <c r="P316" i="3"/>
  <c r="F324" i="3"/>
  <c r="G283" i="11"/>
  <c r="G284" i="11" s="1"/>
  <c r="G362" i="3"/>
  <c r="G363" i="3" s="1"/>
  <c r="G343" i="3"/>
  <c r="G344" i="3" s="1"/>
  <c r="Q386" i="3"/>
  <c r="T419" i="3"/>
  <c r="N11" i="13"/>
  <c r="AI11" i="13" s="1"/>
  <c r="AI222" i="13" s="1" a="1"/>
  <c r="AI222" i="13" s="1"/>
  <c r="I47" i="6"/>
  <c r="BL47" i="6" s="1"/>
  <c r="R235" i="3"/>
  <c r="F7" i="3"/>
  <c r="U11" i="13"/>
  <c r="U222" i="13" s="1" a="1"/>
  <c r="U222" i="13" s="1"/>
  <c r="Y235" i="3"/>
  <c r="Y250" i="3" s="1"/>
  <c r="E311" i="3"/>
  <c r="E330" i="3"/>
  <c r="S36" i="13"/>
  <c r="S313" i="13" s="1" a="1"/>
  <c r="S313" i="13" s="1"/>
  <c r="N54" i="6"/>
  <c r="BQ54" i="6" s="1"/>
  <c r="S37" i="13"/>
  <c r="S317" i="13" s="1" a="1"/>
  <c r="S317" i="13" s="1"/>
  <c r="N59" i="6"/>
  <c r="BQ59" i="6" s="1"/>
  <c r="P38" i="13"/>
  <c r="AJ38" i="13" s="1"/>
  <c r="AJ321" i="13" s="1" a="1"/>
  <c r="AJ321" i="13" s="1"/>
  <c r="K26" i="6"/>
  <c r="BN26" i="6" s="1"/>
  <c r="T226" i="3"/>
  <c r="T262" i="3" s="1"/>
  <c r="T308" i="3"/>
  <c r="T331" i="3" s="1"/>
  <c r="E117" i="3"/>
  <c r="E132" i="11" s="1"/>
  <c r="E133" i="11" s="1"/>
  <c r="P125" i="3"/>
  <c r="S129" i="3"/>
  <c r="T160" i="3"/>
  <c r="V171" i="3"/>
  <c r="G106" i="11"/>
  <c r="G107" i="11" s="1"/>
  <c r="G217" i="3"/>
  <c r="I152" i="11"/>
  <c r="I153" i="11" s="1"/>
  <c r="I218" i="3"/>
  <c r="N249" i="11"/>
  <c r="N250" i="11" s="1"/>
  <c r="I217" i="3"/>
  <c r="V237" i="3"/>
  <c r="R320" i="3"/>
  <c r="R324" i="3" s="1"/>
  <c r="H324" i="3"/>
  <c r="G83" i="13"/>
  <c r="G487" i="13" s="1" a="1"/>
  <c r="G487" i="13" s="1"/>
  <c r="K283" i="11"/>
  <c r="K284" i="11" s="1"/>
  <c r="K362" i="3"/>
  <c r="K363" i="3" s="1"/>
  <c r="I362" i="3"/>
  <c r="I363" i="3" s="1"/>
  <c r="K506" i="3"/>
  <c r="Z83" i="3"/>
  <c r="L87" i="3"/>
  <c r="H14" i="13" s="1"/>
  <c r="AF14" i="13" s="1"/>
  <c r="AF234" i="13" s="1" a="1"/>
  <c r="AF234" i="13" s="1"/>
  <c r="T36" i="13"/>
  <c r="T313" i="13" s="1" a="1"/>
  <c r="T313" i="13" s="1"/>
  <c r="O54" i="6"/>
  <c r="BR54" i="6" s="1"/>
  <c r="R38" i="13"/>
  <c r="AK38" i="13" s="1"/>
  <c r="AK321" i="13" s="1" a="1"/>
  <c r="AK321" i="13" s="1"/>
  <c r="M26" i="6"/>
  <c r="BP26" i="6" s="1"/>
  <c r="V308" i="3"/>
  <c r="F117" i="3"/>
  <c r="F132" i="11" s="1"/>
  <c r="F133" i="11" s="1"/>
  <c r="P126" i="3"/>
  <c r="R130" i="3" s="1"/>
  <c r="S130" i="3"/>
  <c r="K138" i="11"/>
  <c r="K139" i="11" s="1"/>
  <c r="K159" i="3"/>
  <c r="U158" i="3"/>
  <c r="U159" i="3"/>
  <c r="U160" i="3"/>
  <c r="AC213" i="3"/>
  <c r="AA213" i="3"/>
  <c r="O249" i="11"/>
  <c r="O250" i="11" s="1"/>
  <c r="O219" i="3"/>
  <c r="J217" i="3"/>
  <c r="K218" i="3"/>
  <c r="K219" i="3"/>
  <c r="P236" i="3"/>
  <c r="W237" i="3"/>
  <c r="W252" i="3" s="1"/>
  <c r="T320" i="3"/>
  <c r="T324" i="3" s="1"/>
  <c r="I324" i="3"/>
  <c r="M362" i="3"/>
  <c r="M363" i="3" s="1"/>
  <c r="K307" i="11"/>
  <c r="K308" i="11" s="1"/>
  <c r="K494" i="3"/>
  <c r="K495" i="3" s="1"/>
  <c r="K487" i="3"/>
  <c r="R13" i="13"/>
  <c r="AK13" i="13" s="1"/>
  <c r="AK230" i="13" s="1" a="1"/>
  <c r="AK230" i="13" s="1"/>
  <c r="M57" i="6"/>
  <c r="BP57" i="6" s="1"/>
  <c r="M48" i="6"/>
  <c r="BP48" i="6" s="1"/>
  <c r="V236" i="3"/>
  <c r="S13" i="13"/>
  <c r="S230" i="13" s="1" a="1"/>
  <c r="S230" i="13" s="1"/>
  <c r="N57" i="6"/>
  <c r="BQ57" i="6" s="1"/>
  <c r="P35" i="13"/>
  <c r="K49" i="6"/>
  <c r="BN49" i="6" s="1"/>
  <c r="T237" i="3"/>
  <c r="F9" i="3" a="1"/>
  <c r="F9" i="3" s="1"/>
  <c r="AG14" i="13"/>
  <c r="AG234" i="13" s="1" a="1"/>
  <c r="AG234" i="13" s="1"/>
  <c r="G311" i="3"/>
  <c r="AM36" i="13"/>
  <c r="W101" i="3"/>
  <c r="AA116" i="3"/>
  <c r="AC116" i="3" s="1"/>
  <c r="AE116" i="3" s="1"/>
  <c r="AG116" i="3" s="1"/>
  <c r="AI116" i="3" s="1"/>
  <c r="AK116" i="3" s="1"/>
  <c r="AM116" i="3" s="1"/>
  <c r="R125" i="3"/>
  <c r="T129" i="3" s="1"/>
  <c r="U129" i="3"/>
  <c r="R188" i="3"/>
  <c r="AA212" i="3"/>
  <c r="Q249" i="11"/>
  <c r="Q250" i="11" s="1"/>
  <c r="Q219" i="3"/>
  <c r="M219" i="3"/>
  <c r="Y237" i="3"/>
  <c r="Y252" i="3" s="1"/>
  <c r="M32" i="6"/>
  <c r="S53" i="13"/>
  <c r="S375" i="13" s="1" a="1"/>
  <c r="S375" i="13" s="1"/>
  <c r="N34" i="6"/>
  <c r="BQ34" i="6" s="1"/>
  <c r="W322" i="3"/>
  <c r="W332" i="3" s="1"/>
  <c r="P101" i="13"/>
  <c r="AJ101" i="13" s="1"/>
  <c r="T341" i="11"/>
  <c r="T342" i="11" s="1"/>
  <c r="K17" i="6"/>
  <c r="BN17" i="6" s="1"/>
  <c r="U494" i="3"/>
  <c r="U493" i="3" s="1"/>
  <c r="T367" i="3"/>
  <c r="H416" i="3"/>
  <c r="H417" i="3" s="1"/>
  <c r="H565" i="3" s="1"/>
  <c r="T53" i="13"/>
  <c r="T375" i="13" s="1" a="1"/>
  <c r="T375" i="13" s="1"/>
  <c r="O34" i="6"/>
  <c r="BR34" i="6" s="1"/>
  <c r="T27" i="6"/>
  <c r="U27" i="6" s="1"/>
  <c r="BO27" i="6"/>
  <c r="T31" i="6"/>
  <c r="BO31" i="6"/>
  <c r="BK33" i="6"/>
  <c r="U324" i="3"/>
  <c r="L343" i="3"/>
  <c r="H85" i="13" s="1"/>
  <c r="H495" i="13" s="1" a="1"/>
  <c r="H495" i="13" s="1"/>
  <c r="R88" i="13"/>
  <c r="AK88" i="13" s="1"/>
  <c r="AK507" i="13" s="1" a="1"/>
  <c r="AK507" i="13" s="1"/>
  <c r="V299" i="11"/>
  <c r="V300" i="11" s="1"/>
  <c r="M10" i="6"/>
  <c r="BP10" i="6" s="1"/>
  <c r="R101" i="13"/>
  <c r="AK101" i="13" s="1"/>
  <c r="AK552" i="13" s="1" a="1"/>
  <c r="AK552" i="13" s="1"/>
  <c r="V341" i="11"/>
  <c r="V342" i="11" s="1"/>
  <c r="M17" i="6"/>
  <c r="BP17" i="6" s="1"/>
  <c r="W494" i="3"/>
  <c r="S379" i="3"/>
  <c r="N388" i="3"/>
  <c r="W501" i="3"/>
  <c r="W416" i="3"/>
  <c r="O506" i="3"/>
  <c r="T585" i="3"/>
  <c r="BP31" i="6"/>
  <c r="N322" i="3"/>
  <c r="U330" i="3"/>
  <c r="H87" i="13"/>
  <c r="H503" i="13" s="1" a="1"/>
  <c r="H503" i="13" s="1"/>
  <c r="L295" i="11"/>
  <c r="L296" i="11" s="1"/>
  <c r="P403" i="3"/>
  <c r="Y603" i="3"/>
  <c r="S437" i="3"/>
  <c r="M307" i="11"/>
  <c r="M308" i="11" s="1"/>
  <c r="M487" i="3"/>
  <c r="M494" i="3"/>
  <c r="M495" i="3" s="1"/>
  <c r="Q506" i="3"/>
  <c r="S525" i="3"/>
  <c r="Y218" i="3"/>
  <c r="G219" i="3"/>
  <c r="W219" i="3"/>
  <c r="AD287" i="3"/>
  <c r="Q24" i="6"/>
  <c r="S24" i="6" s="1"/>
  <c r="BM24" i="6"/>
  <c r="BM33" i="6"/>
  <c r="J41" i="6"/>
  <c r="BM41" i="6" s="1"/>
  <c r="J87" i="13"/>
  <c r="AG87" i="13" s="1"/>
  <c r="AG503" i="13" s="1" a="1"/>
  <c r="AG503" i="13" s="1"/>
  <c r="N295" i="11"/>
  <c r="N296" i="11" s="1"/>
  <c r="H378" i="3"/>
  <c r="H380" i="3" s="1"/>
  <c r="Q82" i="13"/>
  <c r="U388" i="3"/>
  <c r="H551" i="3"/>
  <c r="H403" i="3"/>
  <c r="S402" i="3"/>
  <c r="Z410" i="3"/>
  <c r="W413" i="3"/>
  <c r="W418" i="3" s="1"/>
  <c r="V416" i="3"/>
  <c r="V419" i="3" s="1"/>
  <c r="H440" i="3"/>
  <c r="H439" i="3" s="1"/>
  <c r="H530" i="3" s="1"/>
  <c r="H559" i="3" s="1"/>
  <c r="J494" i="3"/>
  <c r="J495" i="3" s="1"/>
  <c r="U523" i="3"/>
  <c r="U524" i="3"/>
  <c r="J84" i="13"/>
  <c r="AG84" i="13" s="1"/>
  <c r="AG491" i="13" s="1" a="1"/>
  <c r="AG491" i="13" s="1"/>
  <c r="N287" i="11"/>
  <c r="N288" i="11" s="1"/>
  <c r="N440" i="3"/>
  <c r="N87" i="13"/>
  <c r="AI87" i="13" s="1"/>
  <c r="R295" i="11"/>
  <c r="R296" i="11" s="1"/>
  <c r="I9" i="6"/>
  <c r="BL9" i="6" s="1"/>
  <c r="L551" i="3"/>
  <c r="L403" i="3"/>
  <c r="I416" i="3"/>
  <c r="I417" i="3" s="1"/>
  <c r="I565" i="3" s="1"/>
  <c r="I566" i="3" s="1"/>
  <c r="P516" i="3"/>
  <c r="P520" i="3" s="1"/>
  <c r="R316" i="3"/>
  <c r="BJ32" i="6"/>
  <c r="V321" i="3"/>
  <c r="V324" i="3" s="1"/>
  <c r="M506" i="3"/>
  <c r="L506" i="3"/>
  <c r="L84" i="13"/>
  <c r="L491" i="13" s="1" a="1"/>
  <c r="L491" i="13" s="1"/>
  <c r="P287" i="11"/>
  <c r="P288" i="11" s="1"/>
  <c r="P440" i="3"/>
  <c r="P87" i="13"/>
  <c r="AJ87" i="13" s="1"/>
  <c r="AJ503" i="13" s="1" a="1"/>
  <c r="AJ503" i="13" s="1"/>
  <c r="T295" i="11"/>
  <c r="T296" i="11" s="1"/>
  <c r="K9" i="6"/>
  <c r="BN9" i="6" s="1"/>
  <c r="H102" i="13"/>
  <c r="AF102" i="13" s="1"/>
  <c r="AF556" i="13" s="1" a="1"/>
  <c r="AF556" i="13" s="1"/>
  <c r="L345" i="11"/>
  <c r="L346" i="11" s="1"/>
  <c r="O394" i="3"/>
  <c r="P503" i="3"/>
  <c r="Z608" i="3"/>
  <c r="BM25" i="6"/>
  <c r="Q25" i="6"/>
  <c r="S25" i="6" s="1"/>
  <c r="G28" i="6"/>
  <c r="BJ28" i="6" s="1"/>
  <c r="G6" i="6"/>
  <c r="BJ6" i="6" s="1"/>
  <c r="K80" i="13"/>
  <c r="K475" i="13" s="1" a="1"/>
  <c r="K475" i="13" s="1"/>
  <c r="O271" i="11"/>
  <c r="O272" i="11" s="1"/>
  <c r="O521" i="3"/>
  <c r="O523" i="3" s="1"/>
  <c r="H40" i="6"/>
  <c r="BK40" i="6" s="1"/>
  <c r="BK32" i="6"/>
  <c r="N506" i="3"/>
  <c r="N338" i="3"/>
  <c r="N84" i="13"/>
  <c r="AI84" i="13" s="1"/>
  <c r="AI491" i="13" s="1" a="1"/>
  <c r="AI491" i="13" s="1"/>
  <c r="R287" i="11"/>
  <c r="R288" i="11" s="1"/>
  <c r="R87" i="13"/>
  <c r="AK87" i="13" s="1"/>
  <c r="AK503" i="13" s="1" a="1"/>
  <c r="AK503" i="13" s="1"/>
  <c r="V295" i="11"/>
  <c r="V296" i="11" s="1"/>
  <c r="M9" i="6"/>
  <c r="BP9" i="6" s="1"/>
  <c r="L358" i="3"/>
  <c r="L359" i="3" s="1"/>
  <c r="J102" i="13"/>
  <c r="AG102" i="13" s="1"/>
  <c r="AG556" i="13" s="1" a="1"/>
  <c r="AG556" i="13" s="1"/>
  <c r="N345" i="11"/>
  <c r="N346" i="11" s="1"/>
  <c r="I395" i="3"/>
  <c r="L395" i="3"/>
  <c r="V551" i="3"/>
  <c r="V556" i="3" s="1"/>
  <c r="L309" i="3"/>
  <c r="AB309" i="3"/>
  <c r="I6" i="6"/>
  <c r="BL6" i="6" s="1"/>
  <c r="I28" i="6"/>
  <c r="BL28" i="6" s="1"/>
  <c r="R516" i="3"/>
  <c r="R520" i="3" s="1"/>
  <c r="P313" i="3"/>
  <c r="T316" i="3"/>
  <c r="G7" i="6"/>
  <c r="BJ7" i="6" s="1"/>
  <c r="G36" i="6"/>
  <c r="P506" i="3"/>
  <c r="P84" i="13"/>
  <c r="AJ84" i="13" s="1"/>
  <c r="AJ491" i="13" s="1" a="1"/>
  <c r="AJ491" i="13" s="1"/>
  <c r="T287" i="11"/>
  <c r="T288" i="11" s="1"/>
  <c r="L102" i="13"/>
  <c r="AH102" i="13" s="1"/>
  <c r="AH556" i="13" s="1" a="1"/>
  <c r="AH556" i="13" s="1"/>
  <c r="P345" i="11"/>
  <c r="P346" i="11" s="1"/>
  <c r="G18" i="6"/>
  <c r="BJ18" i="6" s="1"/>
  <c r="W388" i="3"/>
  <c r="R447" i="3"/>
  <c r="R103" i="13"/>
  <c r="R89" i="13"/>
  <c r="V303" i="11"/>
  <c r="V304" i="11" s="1"/>
  <c r="M11" i="6"/>
  <c r="BP11" i="6" s="1"/>
  <c r="I548" i="3"/>
  <c r="BO25" i="6"/>
  <c r="T25" i="6"/>
  <c r="U25" i="6" s="1"/>
  <c r="AC309" i="3"/>
  <c r="S310" i="3"/>
  <c r="K28" i="6"/>
  <c r="BN28" i="6" s="1"/>
  <c r="K6" i="6"/>
  <c r="BN6" i="6" s="1"/>
  <c r="T516" i="3"/>
  <c r="T520" i="3" s="1"/>
  <c r="T447" i="3"/>
  <c r="M80" i="13"/>
  <c r="M475" i="13" s="1" a="1"/>
  <c r="M475" i="13" s="1"/>
  <c r="Q271" i="11"/>
  <c r="Q272" i="11" s="1"/>
  <c r="Q521" i="3"/>
  <c r="Q523" i="3" s="1"/>
  <c r="BM32" i="6"/>
  <c r="Q32" i="6"/>
  <c r="J40" i="6"/>
  <c r="BM40" i="6" s="1"/>
  <c r="I36" i="6"/>
  <c r="I7" i="6"/>
  <c r="BL7" i="6" s="1"/>
  <c r="S506" i="3"/>
  <c r="R506" i="3"/>
  <c r="T333" i="3"/>
  <c r="R84" i="13"/>
  <c r="V287" i="11"/>
  <c r="V288" i="11" s="1"/>
  <c r="V440" i="3"/>
  <c r="N358" i="3"/>
  <c r="N359" i="3" s="1"/>
  <c r="J366" i="3"/>
  <c r="J367" i="3" s="1"/>
  <c r="N102" i="13"/>
  <c r="AI102" i="13" s="1"/>
  <c r="AI556" i="13" s="1" a="1"/>
  <c r="AI556" i="13" s="1"/>
  <c r="R345" i="11"/>
  <c r="R346" i="11" s="1"/>
  <c r="I18" i="6"/>
  <c r="BL18" i="6" s="1"/>
  <c r="T401" i="3"/>
  <c r="S400" i="3"/>
  <c r="S403" i="3"/>
  <c r="T395" i="3"/>
  <c r="F417" i="3"/>
  <c r="G416" i="3"/>
  <c r="G417" i="3" s="1"/>
  <c r="G565" i="3" s="1"/>
  <c r="K548" i="3"/>
  <c r="K567" i="3"/>
  <c r="AC290" i="3"/>
  <c r="L299" i="3"/>
  <c r="M6" i="6"/>
  <c r="BP6" i="6" s="1"/>
  <c r="M28" i="6"/>
  <c r="BP28" i="6" s="1"/>
  <c r="R313" i="3"/>
  <c r="V316" i="3"/>
  <c r="K36" i="6"/>
  <c r="K7" i="6"/>
  <c r="BN7" i="6" s="1"/>
  <c r="U506" i="3"/>
  <c r="T506" i="3"/>
  <c r="T452" i="3"/>
  <c r="H93" i="13"/>
  <c r="AF93" i="13" s="1"/>
  <c r="AF569" i="13" s="1" a="1"/>
  <c r="AF569" i="13" s="1"/>
  <c r="L313" i="11"/>
  <c r="L314" i="11" s="1"/>
  <c r="P102" i="13"/>
  <c r="P556" i="13" s="1" a="1"/>
  <c r="P556" i="13" s="1"/>
  <c r="T345" i="11"/>
  <c r="T346" i="11" s="1"/>
  <c r="K18" i="6"/>
  <c r="BN18" i="6" s="1"/>
  <c r="R556" i="3"/>
  <c r="G388" i="3"/>
  <c r="T402" i="3"/>
  <c r="T525" i="3"/>
  <c r="V395" i="3"/>
  <c r="X411" i="3"/>
  <c r="F419" i="3"/>
  <c r="G528" i="3"/>
  <c r="G560" i="3" s="1"/>
  <c r="G439" i="3"/>
  <c r="G530" i="3" s="1"/>
  <c r="G559" i="3" s="1"/>
  <c r="R440" i="3"/>
  <c r="E307" i="11"/>
  <c r="E308" i="11" s="1"/>
  <c r="E648" i="3"/>
  <c r="E649" i="3" s="1"/>
  <c r="E494" i="3"/>
  <c r="T503" i="3"/>
  <c r="Q218" i="3"/>
  <c r="O80" i="13"/>
  <c r="S271" i="11"/>
  <c r="S272" i="11" s="1"/>
  <c r="S521" i="3"/>
  <c r="S523" i="3" s="1"/>
  <c r="Y315" i="3"/>
  <c r="BI31" i="6"/>
  <c r="L40" i="6"/>
  <c r="BO40" i="6" s="1"/>
  <c r="T32" i="6"/>
  <c r="BO32" i="6"/>
  <c r="Q35" i="6"/>
  <c r="S35" i="6" s="1"/>
  <c r="BM35" i="6"/>
  <c r="O324" i="3"/>
  <c r="M36" i="6"/>
  <c r="M7" i="6"/>
  <c r="BP7" i="6" s="1"/>
  <c r="V506" i="3"/>
  <c r="V452" i="3"/>
  <c r="V333" i="3"/>
  <c r="J93" i="13"/>
  <c r="AG93" i="13" s="1"/>
  <c r="AG520" i="13" s="1" a="1"/>
  <c r="AG520" i="13" s="1"/>
  <c r="N313" i="11"/>
  <c r="N314" i="11" s="1"/>
  <c r="P358" i="3"/>
  <c r="P359" i="3" s="1"/>
  <c r="L366" i="3"/>
  <c r="L367" i="3" s="1"/>
  <c r="R102" i="13"/>
  <c r="AK102" i="13" s="1"/>
  <c r="AK556" i="13" s="1" a="1"/>
  <c r="AK556" i="13" s="1"/>
  <c r="V345" i="11"/>
  <c r="V346" i="11" s="1"/>
  <c r="M18" i="6"/>
  <c r="BP18" i="6" s="1"/>
  <c r="T556" i="3"/>
  <c r="T570" i="3" s="1"/>
  <c r="V525" i="3"/>
  <c r="V400" i="3"/>
  <c r="W400" i="3" s="1"/>
  <c r="V447" i="3"/>
  <c r="E487" i="3"/>
  <c r="L103" i="13"/>
  <c r="AH103" i="13" s="1"/>
  <c r="AH560" i="13" s="1" a="1"/>
  <c r="AH560" i="13" s="1"/>
  <c r="L89" i="13"/>
  <c r="AH89" i="13" s="1"/>
  <c r="AH511" i="13" s="1" a="1"/>
  <c r="AH511" i="13" s="1"/>
  <c r="P303" i="11"/>
  <c r="P304" i="11" s="1"/>
  <c r="G11" i="6"/>
  <c r="BJ11" i="6" s="1"/>
  <c r="P494" i="3"/>
  <c r="P495" i="3" s="1"/>
  <c r="L53" i="13"/>
  <c r="L375" i="13" s="1" a="1"/>
  <c r="L375" i="13" s="1"/>
  <c r="G34" i="6"/>
  <c r="BJ34" i="6" s="1"/>
  <c r="N299" i="3"/>
  <c r="J54" i="13" s="1"/>
  <c r="J379" i="13" s="1" a="1"/>
  <c r="J379" i="13" s="1"/>
  <c r="P309" i="3"/>
  <c r="G27" i="6" s="1"/>
  <c r="BJ27" i="6" s="1"/>
  <c r="T313" i="3"/>
  <c r="X322" i="3"/>
  <c r="X332" i="3" s="1"/>
  <c r="S329" i="3"/>
  <c r="H88" i="13"/>
  <c r="AF88" i="13" s="1"/>
  <c r="AF507" i="13" s="1" a="1"/>
  <c r="AF507" i="13" s="1"/>
  <c r="L299" i="11"/>
  <c r="L300" i="11" s="1"/>
  <c r="L93" i="13"/>
  <c r="L520" i="13" s="1" a="1"/>
  <c r="L520" i="13" s="1"/>
  <c r="P313" i="11"/>
  <c r="P314" i="11" s="1"/>
  <c r="G14" i="6"/>
  <c r="BJ14" i="6" s="1"/>
  <c r="H101" i="13"/>
  <c r="AF101" i="13" s="1"/>
  <c r="AF552" i="13" s="1" a="1"/>
  <c r="AF552" i="13" s="1"/>
  <c r="L341" i="11"/>
  <c r="L342" i="11" s="1"/>
  <c r="N395" i="3"/>
  <c r="K417" i="3"/>
  <c r="K565" i="3" s="1"/>
  <c r="J430" i="3"/>
  <c r="T440" i="3"/>
  <c r="G307" i="11"/>
  <c r="G308" i="11" s="1"/>
  <c r="G487" i="3"/>
  <c r="G494" i="3"/>
  <c r="G495" i="3" s="1"/>
  <c r="V503" i="3"/>
  <c r="U570" i="3"/>
  <c r="U575" i="3" s="1"/>
  <c r="V548" i="3"/>
  <c r="O606" i="3"/>
  <c r="N53" i="13"/>
  <c r="AI53" i="13" s="1"/>
  <c r="AI375" i="13" s="1" a="1"/>
  <c r="AI375" i="13" s="1"/>
  <c r="I34" i="6"/>
  <c r="BL34" i="6" s="1"/>
  <c r="Q80" i="13"/>
  <c r="Q475" i="13" s="1" a="1"/>
  <c r="Q475" i="13" s="1"/>
  <c r="U271" i="11"/>
  <c r="U272" i="11" s="1"/>
  <c r="BK31" i="6"/>
  <c r="Y322" i="3"/>
  <c r="Y332" i="3" s="1"/>
  <c r="BO35" i="6"/>
  <c r="T35" i="6"/>
  <c r="U35" i="6" s="1"/>
  <c r="Q324" i="3"/>
  <c r="J88" i="13"/>
  <c r="AG88" i="13" s="1"/>
  <c r="AG507" i="13" s="1" a="1"/>
  <c r="AG507" i="13" s="1"/>
  <c r="N299" i="11"/>
  <c r="N300" i="11" s="1"/>
  <c r="N93" i="13"/>
  <c r="AI93" i="13" s="1"/>
  <c r="R313" i="11"/>
  <c r="R314" i="11" s="1"/>
  <c r="I14" i="6"/>
  <c r="BL14" i="6" s="1"/>
  <c r="R358" i="3"/>
  <c r="R359" i="3" s="1"/>
  <c r="N366" i="3"/>
  <c r="N367" i="3" s="1"/>
  <c r="J101" i="13"/>
  <c r="AG101" i="13" s="1"/>
  <c r="N341" i="11"/>
  <c r="N342" i="11" s="1"/>
  <c r="V371" i="3"/>
  <c r="T400" i="3"/>
  <c r="R416" i="3"/>
  <c r="R417" i="3" s="1"/>
  <c r="R565" i="3" s="1"/>
  <c r="M416" i="3"/>
  <c r="M417" i="3" s="1"/>
  <c r="M565" i="3" s="1"/>
  <c r="K419" i="3"/>
  <c r="V428" i="3"/>
  <c r="V430" i="3" s="1"/>
  <c r="V595" i="3"/>
  <c r="P53" i="13"/>
  <c r="P375" i="13" s="1" a="1"/>
  <c r="P375" i="13" s="1"/>
  <c r="K34" i="6"/>
  <c r="BN34" i="6" s="1"/>
  <c r="R309" i="3"/>
  <c r="I27" i="6" s="1"/>
  <c r="BL27" i="6" s="1"/>
  <c r="V313" i="3"/>
  <c r="Z322" i="3"/>
  <c r="Z332" i="3" s="1"/>
  <c r="U329" i="3"/>
  <c r="Q330" i="3"/>
  <c r="L88" i="13"/>
  <c r="L507" i="13" s="1" a="1"/>
  <c r="L507" i="13" s="1"/>
  <c r="P299" i="11"/>
  <c r="P300" i="11" s="1"/>
  <c r="G10" i="6"/>
  <c r="BJ10" i="6" s="1"/>
  <c r="P93" i="13"/>
  <c r="T313" i="11"/>
  <c r="T314" i="11" s="1"/>
  <c r="K14" i="6"/>
  <c r="BN14" i="6" s="1"/>
  <c r="L101" i="13"/>
  <c r="AH101" i="13" s="1"/>
  <c r="AH581" i="13" s="1" a="1"/>
  <c r="AH581" i="13" s="1"/>
  <c r="P341" i="11"/>
  <c r="P342" i="11" s="1"/>
  <c r="G17" i="6"/>
  <c r="BJ17" i="6" s="1"/>
  <c r="K388" i="3"/>
  <c r="P395" i="3"/>
  <c r="N416" i="3"/>
  <c r="L419" i="3"/>
  <c r="L613" i="3"/>
  <c r="Q158" i="3"/>
  <c r="R53" i="13"/>
  <c r="AK53" i="13" s="1"/>
  <c r="M34" i="6"/>
  <c r="BP34" i="6" s="1"/>
  <c r="Q27" i="6"/>
  <c r="S27" i="6" s="1"/>
  <c r="BM27" i="6"/>
  <c r="J39" i="6"/>
  <c r="BM39" i="6" s="1"/>
  <c r="BM31" i="6"/>
  <c r="Q31" i="6"/>
  <c r="BI33" i="6"/>
  <c r="K322" i="3"/>
  <c r="S324" i="3"/>
  <c r="N88" i="13"/>
  <c r="AI88" i="13" s="1"/>
  <c r="AI507" i="13" s="1" a="1"/>
  <c r="AI507" i="13" s="1"/>
  <c r="R299" i="11"/>
  <c r="R300" i="11" s="1"/>
  <c r="I10" i="6"/>
  <c r="BL10" i="6" s="1"/>
  <c r="P354" i="3"/>
  <c r="P402" i="3" s="1"/>
  <c r="R93" i="13"/>
  <c r="AK93" i="13" s="1"/>
  <c r="AK520" i="13" s="1" a="1"/>
  <c r="AK520" i="13" s="1"/>
  <c r="V313" i="11"/>
  <c r="V314" i="11" s="1"/>
  <c r="M14" i="6"/>
  <c r="BP14" i="6" s="1"/>
  <c r="T358" i="3"/>
  <c r="T359" i="3" s="1"/>
  <c r="N101" i="13"/>
  <c r="AI101" i="13" s="1"/>
  <c r="R341" i="11"/>
  <c r="R342" i="11" s="1"/>
  <c r="I17" i="6"/>
  <c r="BL17" i="6" s="1"/>
  <c r="L388" i="3"/>
  <c r="O437" i="3"/>
  <c r="G567" i="3"/>
  <c r="G548" i="3"/>
  <c r="V466" i="3"/>
  <c r="V546" i="3" s="1"/>
  <c r="U466" i="3"/>
  <c r="W502" i="3"/>
  <c r="P609" i="3"/>
  <c r="P613" i="3" s="1"/>
  <c r="AB315" i="1"/>
  <c r="AB156" i="1"/>
  <c r="AB155" i="1"/>
  <c r="R403" i="3"/>
  <c r="H503" i="3"/>
  <c r="R595" i="3"/>
  <c r="S416" i="3"/>
  <c r="S417" i="3" s="1"/>
  <c r="K437" i="3"/>
  <c r="I439" i="3"/>
  <c r="I530" i="3" s="1"/>
  <c r="I559" i="3" s="1"/>
  <c r="I585" i="3"/>
  <c r="P487" i="3"/>
  <c r="P371" i="3" s="1"/>
  <c r="K585" i="3"/>
  <c r="V613" i="3"/>
  <c r="N18" i="1"/>
  <c r="Q433" i="3"/>
  <c r="L494" i="3"/>
  <c r="L495" i="3" s="1"/>
  <c r="N502" i="3"/>
  <c r="N503" i="3" s="1"/>
  <c r="G606" i="3"/>
  <c r="M585" i="3"/>
  <c r="Q394" i="3"/>
  <c r="Q395" i="3" s="1"/>
  <c r="X408" i="3"/>
  <c r="S433" i="3"/>
  <c r="N585" i="3"/>
  <c r="T606" i="3"/>
  <c r="T615" i="3" s="1"/>
  <c r="I606" i="3"/>
  <c r="N413" i="3"/>
  <c r="N418" i="3" s="1"/>
  <c r="K595" i="3"/>
  <c r="U606" i="3"/>
  <c r="Y617" i="3"/>
  <c r="P585" i="3"/>
  <c r="AC304" i="1"/>
  <c r="AB304" i="1"/>
  <c r="AA304" i="1"/>
  <c r="Z304" i="1"/>
  <c r="X304" i="1"/>
  <c r="W304" i="1"/>
  <c r="V304" i="1"/>
  <c r="U304" i="1"/>
  <c r="S304" i="1"/>
  <c r="AG304" i="1"/>
  <c r="AF304" i="1"/>
  <c r="AE304" i="1"/>
  <c r="AD304" i="1"/>
  <c r="AH304" i="1"/>
  <c r="Y304" i="1"/>
  <c r="T304" i="1"/>
  <c r="R304" i="1"/>
  <c r="M18" i="1"/>
  <c r="Q18" i="1"/>
  <c r="O18" i="1"/>
  <c r="L18" i="1"/>
  <c r="K18" i="1"/>
  <c r="F307" i="11"/>
  <c r="F308" i="11" s="1"/>
  <c r="F648" i="3"/>
  <c r="F649" i="3" s="1"/>
  <c r="H103" i="13"/>
  <c r="AF103" i="13" s="1"/>
  <c r="AF560" i="13" s="1" a="1"/>
  <c r="AF560" i="13" s="1"/>
  <c r="H89" i="13"/>
  <c r="AF89" i="13" s="1"/>
  <c r="AF511" i="13" s="1" a="1"/>
  <c r="AF511" i="13" s="1"/>
  <c r="L303" i="11"/>
  <c r="L304" i="11" s="1"/>
  <c r="Z315" i="1"/>
  <c r="Z156" i="1"/>
  <c r="Z155" i="1"/>
  <c r="G3" i="1"/>
  <c r="V309" i="1"/>
  <c r="V235" i="1"/>
  <c r="V234" i="1"/>
  <c r="V310" i="1" s="1"/>
  <c r="W238" i="1"/>
  <c r="W613" i="3"/>
  <c r="M3" i="1"/>
  <c r="O3" i="1"/>
  <c r="AB309" i="1"/>
  <c r="AB234" i="1"/>
  <c r="AB310" i="1" s="1"/>
  <c r="AC238" i="1"/>
  <c r="AB235" i="1"/>
  <c r="Q606" i="3"/>
  <c r="AD238" i="1"/>
  <c r="AC309" i="1"/>
  <c r="AC234" i="1"/>
  <c r="AC310" i="1" s="1"/>
  <c r="AC235" i="1"/>
  <c r="Q3" i="1"/>
  <c r="AE309" i="1"/>
  <c r="AE235" i="1"/>
  <c r="AE234" i="1"/>
  <c r="AE310" i="1" s="1"/>
  <c r="AF238" i="1"/>
  <c r="AG197" i="1"/>
  <c r="AF234" i="1"/>
  <c r="AF310" i="1" s="1"/>
  <c r="AG238" i="1"/>
  <c r="AF235" i="1"/>
  <c r="AF309" i="1"/>
  <c r="L339" i="1"/>
  <c r="L3" i="1"/>
  <c r="AB335" i="1"/>
  <c r="AH309" i="1"/>
  <c r="AH234" i="1"/>
  <c r="AH310" i="1" s="1"/>
  <c r="AH235" i="1"/>
  <c r="E3" i="1"/>
  <c r="AD335" i="1"/>
  <c r="Z335" i="1"/>
  <c r="AE327" i="1"/>
  <c r="AE326" i="1"/>
  <c r="W235" i="1"/>
  <c r="AA332" i="1"/>
  <c r="AA250" i="1"/>
  <c r="T333" i="1"/>
  <c r="T334" i="1"/>
  <c r="T263" i="1"/>
  <c r="AA335" i="1"/>
  <c r="AF327" i="1"/>
  <c r="AF326" i="1"/>
  <c r="AB332" i="1"/>
  <c r="AB250" i="1"/>
  <c r="U333" i="1"/>
  <c r="U334" i="1"/>
  <c r="U263" i="1"/>
  <c r="AG327" i="1"/>
  <c r="AG326" i="1"/>
  <c r="AA235" i="1"/>
  <c r="V333" i="1"/>
  <c r="V334" i="1"/>
  <c r="V263" i="1"/>
  <c r="AC335" i="1"/>
  <c r="AD234" i="1"/>
  <c r="AD310" i="1" s="1"/>
  <c r="AE238" i="1"/>
  <c r="AD309" i="1"/>
  <c r="AD235" i="1"/>
  <c r="AH327" i="1"/>
  <c r="AH326" i="1"/>
  <c r="V238" i="1"/>
  <c r="U309" i="1"/>
  <c r="AE335" i="1"/>
  <c r="T326" i="1"/>
  <c r="T328" i="1"/>
  <c r="T327" i="1"/>
  <c r="U234" i="1"/>
  <c r="U310" i="1" s="1"/>
  <c r="AF332" i="1"/>
  <c r="AF250" i="1"/>
  <c r="Y334" i="1"/>
  <c r="Y333" i="1"/>
  <c r="AF335" i="1"/>
  <c r="AG234" i="1"/>
  <c r="AG310" i="1" s="1"/>
  <c r="AG309" i="1"/>
  <c r="X238" i="1"/>
  <c r="W234" i="1"/>
  <c r="W310" i="1" s="1"/>
  <c r="U327" i="1"/>
  <c r="U326" i="1"/>
  <c r="AG235" i="1"/>
  <c r="AG250" i="1"/>
  <c r="AG332" i="1"/>
  <c r="Z334" i="1"/>
  <c r="AG335" i="1"/>
  <c r="Y238" i="1"/>
  <c r="X309" i="1"/>
  <c r="X235" i="1"/>
  <c r="V327" i="1"/>
  <c r="X234" i="1"/>
  <c r="X310" i="1" s="1"/>
  <c r="AA334" i="1"/>
  <c r="AA333" i="1"/>
  <c r="AA263" i="1"/>
  <c r="Y309" i="1"/>
  <c r="Y235" i="1"/>
  <c r="W327" i="1"/>
  <c r="W326" i="1"/>
  <c r="Y234" i="1"/>
  <c r="Y310" i="1" s="1"/>
  <c r="T250" i="1"/>
  <c r="AB333" i="1"/>
  <c r="Z234" i="1"/>
  <c r="Z310" i="1" s="1"/>
  <c r="AH238" i="1"/>
  <c r="AC333" i="1"/>
  <c r="T335" i="1"/>
  <c r="AA309" i="1"/>
  <c r="AA234" i="1"/>
  <c r="AA310" i="1" s="1"/>
  <c r="U332" i="1"/>
  <c r="U250" i="1"/>
  <c r="W250" i="1"/>
  <c r="AD333" i="1"/>
  <c r="U335" i="1"/>
  <c r="Z328" i="1"/>
  <c r="Z326" i="1"/>
  <c r="Z327" i="1"/>
  <c r="AE334" i="1"/>
  <c r="AE263" i="1"/>
  <c r="AE333" i="1"/>
  <c r="V335" i="1"/>
  <c r="AA327" i="1"/>
  <c r="AA326" i="1"/>
  <c r="AF334" i="1"/>
  <c r="AF263" i="1"/>
  <c r="AF333" i="1"/>
  <c r="W335" i="1"/>
  <c r="AB327" i="1"/>
  <c r="AB328" i="1"/>
  <c r="AB326" i="1"/>
  <c r="AC250" i="1"/>
  <c r="AG263" i="1"/>
  <c r="AG333" i="1"/>
  <c r="AG334" i="1"/>
  <c r="Y263" i="1"/>
  <c r="X335" i="1"/>
  <c r="AC327" i="1"/>
  <c r="AC326" i="1"/>
  <c r="T235" i="1"/>
  <c r="AH334" i="1"/>
  <c r="Y335" i="1"/>
  <c r="AD327" i="1"/>
  <c r="AD326" i="1"/>
  <c r="U235" i="1"/>
  <c r="Y326" i="1"/>
  <c r="AB334" i="1"/>
  <c r="V326" i="1"/>
  <c r="AC334" i="1"/>
  <c r="W333" i="1"/>
  <c r="Z263" i="1"/>
  <c r="X333" i="1"/>
  <c r="W334" i="1"/>
  <c r="AH335" i="1"/>
  <c r="Z250" i="1"/>
  <c r="Z333" i="1"/>
  <c r="X334" i="1"/>
  <c r="AD334" i="1"/>
  <c r="BO18" i="6"/>
  <c r="T18" i="6"/>
  <c r="U18" i="6" s="1"/>
  <c r="W31" i="6"/>
  <c r="V39" i="6"/>
  <c r="W39" i="6" s="1"/>
  <c r="CJ33" i="6"/>
  <c r="CI41" i="6"/>
  <c r="CJ41" i="6" s="1"/>
  <c r="BM9" i="6"/>
  <c r="Q9" i="6"/>
  <c r="S9" i="6" s="1"/>
  <c r="V36" i="6"/>
  <c r="AB42" i="6"/>
  <c r="BM14" i="6"/>
  <c r="Q14" i="6"/>
  <c r="S14" i="6" s="1"/>
  <c r="CI31" i="6"/>
  <c r="CM39" i="6"/>
  <c r="Q47" i="6"/>
  <c r="S47" i="6" s="1"/>
  <c r="BM47" i="6"/>
  <c r="AB41" i="6"/>
  <c r="BM6" i="6"/>
  <c r="BO7" i="6"/>
  <c r="T7" i="6"/>
  <c r="U7" i="6" s="1"/>
  <c r="Q15" i="6"/>
  <c r="S15" i="6" s="1"/>
  <c r="BM15" i="6"/>
  <c r="I79" i="11"/>
  <c r="CJ36" i="6"/>
  <c r="V12" i="11"/>
  <c r="Q107" i="11"/>
  <c r="I125" i="11"/>
  <c r="CF41" i="6"/>
  <c r="F16" i="11"/>
  <c r="T236" i="11"/>
  <c r="V41" i="6"/>
  <c r="W41" i="6" s="1"/>
  <c r="G16" i="11"/>
  <c r="AB40" i="6"/>
  <c r="V32" i="6"/>
  <c r="L153" i="11"/>
  <c r="Q26" i="6"/>
  <c r="L28" i="11"/>
  <c r="H63" i="11"/>
  <c r="X63" i="11"/>
  <c r="CM41" i="6"/>
  <c r="BO28" i="6"/>
  <c r="BM48" i="6"/>
  <c r="J71" i="11"/>
  <c r="Z71" i="11"/>
  <c r="R125" i="11"/>
  <c r="L236" i="11"/>
  <c r="L36" i="11"/>
  <c r="K51" i="11"/>
  <c r="K71" i="11"/>
  <c r="U97" i="11"/>
  <c r="Z101" i="11"/>
  <c r="BO14" i="6"/>
  <c r="CE42" i="6"/>
  <c r="V79" i="11"/>
  <c r="O36" i="11"/>
  <c r="S43" i="11"/>
  <c r="G79" i="11"/>
  <c r="E28" i="11"/>
  <c r="U28" i="11"/>
  <c r="H32" i="11"/>
  <c r="F55" i="11"/>
  <c r="K16" i="11"/>
  <c r="Q125" i="11"/>
  <c r="Q139" i="11"/>
  <c r="K153" i="11"/>
  <c r="G32" i="11"/>
  <c r="W32" i="11"/>
  <c r="Q79" i="11"/>
  <c r="I83" i="11"/>
  <c r="J107" i="11"/>
  <c r="Z107" i="11"/>
  <c r="G129" i="11"/>
  <c r="O93" i="11"/>
  <c r="N36" i="11"/>
  <c r="R43" i="11"/>
  <c r="E63" i="11"/>
  <c r="U63" i="11"/>
  <c r="O67" i="11"/>
  <c r="Y101" i="11"/>
  <c r="E125" i="11"/>
  <c r="U125" i="11"/>
  <c r="I129" i="11"/>
  <c r="E139" i="11"/>
  <c r="U139" i="11"/>
  <c r="O153" i="11"/>
  <c r="R226" i="11"/>
  <c r="O236" i="11"/>
  <c r="F139" i="11"/>
  <c r="P236" i="11"/>
  <c r="G139" i="11"/>
  <c r="Y244" i="11"/>
  <c r="E250" i="11"/>
  <c r="U250" i="11"/>
  <c r="L24" i="11"/>
  <c r="E93" i="11"/>
  <c r="U93" i="11"/>
  <c r="Z139" i="11"/>
  <c r="Q159" i="11"/>
  <c r="O240" i="11"/>
  <c r="O171" i="11"/>
  <c r="T256" i="11"/>
  <c r="H308" i="11"/>
  <c r="N24" i="11"/>
  <c r="L63" i="11"/>
  <c r="Z79" i="11"/>
  <c r="G93" i="11"/>
  <c r="F153" i="11"/>
  <c r="L217" i="11"/>
  <c r="I308" i="11"/>
  <c r="R20" i="11"/>
  <c r="P28" i="11"/>
  <c r="J43" i="11"/>
  <c r="Z43" i="11"/>
  <c r="I97" i="11"/>
  <c r="I117" i="11"/>
  <c r="Y117" i="11"/>
  <c r="H163" i="11"/>
  <c r="X163" i="11"/>
  <c r="M179" i="11"/>
  <c r="I189" i="11"/>
  <c r="Y189" i="11"/>
  <c r="P193" i="11"/>
  <c r="N205" i="11"/>
  <c r="J226" i="11"/>
  <c r="O260" i="11"/>
  <c r="J300" i="11"/>
  <c r="J308" i="11"/>
  <c r="Q47" i="11"/>
  <c r="T83" i="11"/>
  <c r="F175" i="11"/>
  <c r="V175" i="11"/>
  <c r="S222" i="11"/>
  <c r="H236" i="11"/>
  <c r="X236" i="11"/>
  <c r="K250" i="11"/>
  <c r="E59" i="11"/>
  <c r="U59" i="11"/>
  <c r="O125" i="11"/>
  <c r="S129" i="11"/>
  <c r="Y153" i="11"/>
  <c r="T185" i="11"/>
  <c r="K189" i="11"/>
  <c r="G199" i="11"/>
  <c r="W199" i="11"/>
  <c r="E209" i="11"/>
  <c r="U209" i="11"/>
  <c r="I236" i="11"/>
  <c r="Q260" i="11"/>
  <c r="F59" i="11"/>
  <c r="V59" i="11"/>
  <c r="J153" i="11"/>
  <c r="Z153" i="11"/>
  <c r="M226" i="11"/>
  <c r="M250" i="11"/>
  <c r="N280" i="11"/>
  <c r="S276" i="11"/>
  <c r="AF11" i="13"/>
  <c r="AF222" i="13" s="1" a="1"/>
  <c r="AF222" i="13" s="1"/>
  <c r="H288" i="11"/>
  <c r="F314" i="11"/>
  <c r="Q318" i="11"/>
  <c r="M300" i="11"/>
  <c r="E304" i="11"/>
  <c r="H326" i="11"/>
  <c r="X326" i="11"/>
  <c r="L308" i="11"/>
  <c r="O330" i="11"/>
  <c r="AH52" i="13"/>
  <c r="AH371" i="13" s="1" a="1"/>
  <c r="AH371" i="13" s="1"/>
  <c r="J314" i="11"/>
  <c r="M260" i="11"/>
  <c r="J296" i="11"/>
  <c r="H304" i="11"/>
  <c r="K326" i="11"/>
  <c r="J346" i="11"/>
  <c r="AI50" i="13"/>
  <c r="AI363" i="13" s="1" a="1"/>
  <c r="AI363" i="13" s="1"/>
  <c r="AG51" i="13"/>
  <c r="AG367" i="13" s="1" a="1"/>
  <c r="AG367" i="13" s="1"/>
  <c r="N260" i="11"/>
  <c r="K276" i="11"/>
  <c r="Q300" i="11"/>
  <c r="O308" i="11"/>
  <c r="R330" i="11"/>
  <c r="M338" i="11"/>
  <c r="G342" i="11"/>
  <c r="K346" i="11"/>
  <c r="AF13" i="13"/>
  <c r="AF230" i="13" s="1" a="1"/>
  <c r="AF230" i="13" s="1"/>
  <c r="AJ52" i="13"/>
  <c r="AJ371" i="13" s="1" a="1"/>
  <c r="AJ371" i="13" s="1"/>
  <c r="L276" i="11"/>
  <c r="P308" i="11"/>
  <c r="H342" i="11"/>
  <c r="AJ35" i="13"/>
  <c r="AJ309" i="13" s="1" a="1"/>
  <c r="AJ309" i="13" s="1"/>
  <c r="AI51" i="13"/>
  <c r="M268" i="11"/>
  <c r="AJ51" i="13"/>
  <c r="AJ367" i="13" s="1" a="1"/>
  <c r="AJ367" i="13" s="1"/>
  <c r="AI54" i="13"/>
  <c r="AI379" i="13" s="1" a="1"/>
  <c r="AI379" i="13" s="1"/>
  <c r="E284" i="11"/>
  <c r="P338" i="11"/>
  <c r="J342" i="11"/>
  <c r="AJ54" i="13"/>
  <c r="AJ379" i="13" s="1" a="1"/>
  <c r="AJ379" i="13" s="1"/>
  <c r="AF12" i="13"/>
  <c r="AF226" i="13" s="1" a="1"/>
  <c r="AF226" i="13" s="1"/>
  <c r="I567" i="13"/>
  <c r="I518" i="13"/>
  <c r="I469" i="13"/>
  <c r="I423" i="13"/>
  <c r="I386" i="13"/>
  <c r="I336" i="13"/>
  <c r="I361" i="13"/>
  <c r="I307" i="13"/>
  <c r="I278" i="13"/>
  <c r="I249" i="13"/>
  <c r="I220" i="13"/>
  <c r="J6" i="13"/>
  <c r="P300" i="13" a="1"/>
  <c r="P300" i="13" s="1"/>
  <c r="AG567" i="13"/>
  <c r="AG518" i="13"/>
  <c r="AG469" i="13"/>
  <c r="AG423" i="13"/>
  <c r="AG386" i="13"/>
  <c r="AG336" i="13"/>
  <c r="AG361" i="13"/>
  <c r="AG307" i="13"/>
  <c r="AG278" i="13"/>
  <c r="AG249" i="13"/>
  <c r="AG220" i="13"/>
  <c r="AH6" i="13"/>
  <c r="R255" i="13" a="1"/>
  <c r="R255" i="13" s="1"/>
  <c r="AN242" i="13" a="1"/>
  <c r="AN242" i="13" s="1"/>
  <c r="G226" i="13" a="1"/>
  <c r="G226" i="13" s="1"/>
  <c r="D569" i="13" a="1"/>
  <c r="D569" i="13" s="1"/>
  <c r="AC569" i="13" s="1"/>
  <c r="D548" i="13" a="1"/>
  <c r="D548" i="13" s="1"/>
  <c r="AC548" i="13" s="1"/>
  <c r="D552" i="13" a="1"/>
  <c r="D552" i="13" s="1"/>
  <c r="AC552" i="13" s="1"/>
  <c r="D556" i="13" a="1"/>
  <c r="D556" i="13" s="1"/>
  <c r="AC556" i="13" s="1"/>
  <c r="D536" i="13" a="1"/>
  <c r="D536" i="13" s="1"/>
  <c r="AC536" i="13" s="1"/>
  <c r="D544" i="13" a="1"/>
  <c r="D544" i="13" s="1"/>
  <c r="AC544" i="13" s="1"/>
  <c r="D511" i="13" a="1"/>
  <c r="D511" i="13" s="1"/>
  <c r="AC511" i="13" s="1"/>
  <c r="D540" i="13" a="1"/>
  <c r="D540" i="13" s="1"/>
  <c r="AC540" i="13" s="1"/>
  <c r="D520" i="13" a="1"/>
  <c r="D520" i="13" s="1"/>
  <c r="AC520" i="13" s="1"/>
  <c r="D524" i="13" a="1"/>
  <c r="D524" i="13" s="1"/>
  <c r="AC524" i="13" s="1"/>
  <c r="D560" i="13" a="1"/>
  <c r="D560" i="13" s="1"/>
  <c r="AC560" i="13" s="1"/>
  <c r="D528" i="13" a="1"/>
  <c r="D528" i="13" s="1"/>
  <c r="AC528" i="13" s="1"/>
  <c r="D532" i="13" a="1"/>
  <c r="D532" i="13" s="1"/>
  <c r="AC532" i="13" s="1"/>
  <c r="D495" i="13" a="1"/>
  <c r="D495" i="13" s="1"/>
  <c r="AC495" i="13" s="1"/>
  <c r="D499" i="13" a="1"/>
  <c r="D499" i="13" s="1"/>
  <c r="AC499" i="13" s="1"/>
  <c r="D503" i="13" a="1"/>
  <c r="D503" i="13" s="1"/>
  <c r="AC503" i="13" s="1"/>
  <c r="D507" i="13" a="1"/>
  <c r="D507" i="13" s="1"/>
  <c r="AC507" i="13" s="1"/>
  <c r="D475" i="13" a="1"/>
  <c r="D475" i="13" s="1"/>
  <c r="AC475" i="13" s="1"/>
  <c r="D479" i="13" a="1"/>
  <c r="D479" i="13" s="1"/>
  <c r="AC479" i="13" s="1"/>
  <c r="D483" i="13" a="1"/>
  <c r="D483" i="13" s="1"/>
  <c r="AC483" i="13" s="1"/>
  <c r="D487" i="13" a="1"/>
  <c r="D487" i="13" s="1"/>
  <c r="AC487" i="13" s="1"/>
  <c r="D491" i="13" a="1"/>
  <c r="D491" i="13" s="1"/>
  <c r="AC491" i="13" s="1"/>
  <c r="D453" i="13" a="1"/>
  <c r="D453" i="13" s="1"/>
  <c r="AC453" i="13" s="1"/>
  <c r="D457" i="13" a="1"/>
  <c r="D457" i="13" s="1"/>
  <c r="AC457" i="13" s="1"/>
  <c r="D471" i="13" a="1"/>
  <c r="D471" i="13" s="1"/>
  <c r="AC471" i="13" s="1"/>
  <c r="D461" i="13" a="1"/>
  <c r="D461" i="13" s="1"/>
  <c r="AC461" i="13" s="1"/>
  <c r="D445" i="13" a="1"/>
  <c r="D445" i="13" s="1"/>
  <c r="AC445" i="13" s="1"/>
  <c r="D429" i="13" a="1"/>
  <c r="D429" i="13" s="1"/>
  <c r="AC429" i="13" s="1"/>
  <c r="D449" i="13" a="1"/>
  <c r="D449" i="13" s="1"/>
  <c r="AC449" i="13" s="1"/>
  <c r="D437" i="13" a="1"/>
  <c r="D437" i="13" s="1"/>
  <c r="AC437" i="13" s="1"/>
  <c r="D412" i="13" a="1"/>
  <c r="D412" i="13" s="1"/>
  <c r="AC412" i="13" s="1"/>
  <c r="D396" i="13" a="1"/>
  <c r="D396" i="13" s="1"/>
  <c r="AC396" i="13" s="1"/>
  <c r="D441" i="13" a="1"/>
  <c r="D441" i="13" s="1"/>
  <c r="AC441" i="13" s="1"/>
  <c r="D400" i="13" a="1"/>
  <c r="D400" i="13" s="1"/>
  <c r="AC400" i="13" s="1"/>
  <c r="D425" i="13" a="1"/>
  <c r="D425" i="13" s="1"/>
  <c r="AC425" i="13" s="1"/>
  <c r="D375" i="13" a="1"/>
  <c r="D375" i="13" s="1"/>
  <c r="AC375" i="13" s="1"/>
  <c r="D416" i="13" a="1"/>
  <c r="D416" i="13" s="1"/>
  <c r="AC416" i="13" s="1"/>
  <c r="D404" i="13" a="1"/>
  <c r="D404" i="13" s="1"/>
  <c r="AC404" i="13" s="1"/>
  <c r="D379" i="13" a="1"/>
  <c r="D379" i="13" s="1"/>
  <c r="AC379" i="13" s="1"/>
  <c r="D408" i="13" a="1"/>
  <c r="D408" i="13" s="1"/>
  <c r="AC408" i="13" s="1"/>
  <c r="D388" i="13" a="1"/>
  <c r="D388" i="13" s="1"/>
  <c r="AC388" i="13" s="1"/>
  <c r="D433" i="13" a="1"/>
  <c r="D433" i="13" s="1"/>
  <c r="AC433" i="13" s="1"/>
  <c r="D392" i="13" a="1"/>
  <c r="D392" i="13" s="1"/>
  <c r="AC392" i="13" s="1"/>
  <c r="D346" i="13" a="1"/>
  <c r="D346" i="13" s="1"/>
  <c r="AC346" i="13" s="1"/>
  <c r="D367" i="13" a="1"/>
  <c r="D367" i="13" s="1"/>
  <c r="AC367" i="13" s="1"/>
  <c r="D325" i="13" a="1"/>
  <c r="D325" i="13" s="1"/>
  <c r="AC325" i="13" s="1"/>
  <c r="D363" i="13" a="1"/>
  <c r="D363" i="13" s="1"/>
  <c r="AC363" i="13" s="1"/>
  <c r="D350" i="13" a="1"/>
  <c r="D350" i="13" s="1"/>
  <c r="AC350" i="13" s="1"/>
  <c r="D329" i="13" a="1"/>
  <c r="D329" i="13" s="1"/>
  <c r="AC329" i="13" s="1"/>
  <c r="D354" i="13" a="1"/>
  <c r="D354" i="13" s="1"/>
  <c r="AC354" i="13" s="1"/>
  <c r="D371" i="13" a="1"/>
  <c r="D371" i="13" s="1"/>
  <c r="AC371" i="13" s="1"/>
  <c r="D342" i="13" a="1"/>
  <c r="D342" i="13" s="1"/>
  <c r="AC342" i="13" s="1"/>
  <c r="D280" i="13" a="1"/>
  <c r="D280" i="13" s="1"/>
  <c r="AC280" i="13" s="1"/>
  <c r="D338" i="13" a="1"/>
  <c r="D338" i="13" s="1"/>
  <c r="AC338" i="13" s="1"/>
  <c r="D284" i="13" a="1"/>
  <c r="D284" i="13" s="1"/>
  <c r="AC284" i="13" s="1"/>
  <c r="D317" i="13" a="1"/>
  <c r="D317" i="13" s="1"/>
  <c r="AC317" i="13" s="1"/>
  <c r="D309" i="13" a="1"/>
  <c r="D309" i="13" s="1"/>
  <c r="AC309" i="13" s="1"/>
  <c r="D321" i="13" a="1"/>
  <c r="D321" i="13" s="1"/>
  <c r="AC321" i="13" s="1"/>
  <c r="D288" i="13" a="1"/>
  <c r="D288" i="13" s="1"/>
  <c r="AC288" i="13" s="1"/>
  <c r="D313" i="13" a="1"/>
  <c r="D313" i="13" s="1"/>
  <c r="AC313" i="13" s="1"/>
  <c r="D292" i="13" a="1"/>
  <c r="D292" i="13" s="1"/>
  <c r="AC292" i="13" s="1"/>
  <c r="D296" i="13" a="1"/>
  <c r="D296" i="13" s="1"/>
  <c r="AC296" i="13" s="1"/>
  <c r="D300" i="13" a="1"/>
  <c r="D300" i="13" s="1"/>
  <c r="AC300" i="13" s="1"/>
  <c r="D251" i="13" a="1"/>
  <c r="D251" i="13" s="1"/>
  <c r="AC251" i="13" s="1"/>
  <c r="D271" i="13" a="1"/>
  <c r="D271" i="13" s="1"/>
  <c r="AC271" i="13" s="1"/>
  <c r="D267" i="13" a="1"/>
  <c r="D267" i="13" s="1"/>
  <c r="AC267" i="13" s="1"/>
  <c r="D255" i="13" a="1"/>
  <c r="D255" i="13" s="1"/>
  <c r="AC255" i="13" s="1"/>
  <c r="D234" i="13" a="1"/>
  <c r="D234" i="13" s="1"/>
  <c r="AC234" i="13" s="1"/>
  <c r="D238" i="13" a="1"/>
  <c r="D238" i="13" s="1"/>
  <c r="AC238" i="13" s="1"/>
  <c r="D263" i="13" a="1"/>
  <c r="D263" i="13" s="1"/>
  <c r="AC263" i="13" s="1"/>
  <c r="D222" i="13" a="1"/>
  <c r="D222" i="13" s="1"/>
  <c r="AC222" i="13" s="1"/>
  <c r="D226" i="13" a="1"/>
  <c r="D226" i="13" s="1"/>
  <c r="AC226" i="13" s="1"/>
  <c r="D259" i="13" a="1"/>
  <c r="D259" i="13" s="1"/>
  <c r="AC259" i="13" s="1"/>
  <c r="G234" i="13" a="1"/>
  <c r="G234" i="13" s="1"/>
  <c r="AN238" i="13" a="1"/>
  <c r="AN238" i="13" s="1"/>
  <c r="T238" i="13" a="1"/>
  <c r="T238" i="13" s="1"/>
  <c r="Q230" i="13" a="1"/>
  <c r="Q230" i="13" s="1"/>
  <c r="G230" i="13" a="1"/>
  <c r="G230" i="13" s="1"/>
  <c r="G232" i="13" s="1"/>
  <c r="J222" i="13" a="1"/>
  <c r="J222" i="13" s="1"/>
  <c r="D242" i="13" a="1"/>
  <c r="D242" i="13" s="1"/>
  <c r="AC242" i="13" s="1"/>
  <c r="D230" i="13" a="1"/>
  <c r="D230" i="13" s="1"/>
  <c r="AC230" i="13" s="1"/>
  <c r="Q222" i="13" a="1"/>
  <c r="Q222" i="13" s="1"/>
  <c r="AL238" i="13" a="1"/>
  <c r="AL238" i="13" s="1"/>
  <c r="R238" i="13" a="1"/>
  <c r="R238" i="13" s="1"/>
  <c r="H222" i="13" a="1"/>
  <c r="H222" i="13" s="1"/>
  <c r="H224" i="13" s="1"/>
  <c r="V242" i="13" a="1"/>
  <c r="V242" i="13" s="1"/>
  <c r="L267" i="13" a="1"/>
  <c r="L267" i="13" s="1"/>
  <c r="AG238" i="13" a="1"/>
  <c r="AG238" i="13" s="1"/>
  <c r="H567" i="13"/>
  <c r="H518" i="13"/>
  <c r="H469" i="13"/>
  <c r="H423" i="13"/>
  <c r="H386" i="13"/>
  <c r="H336" i="13"/>
  <c r="H361" i="13"/>
  <c r="H307" i="13"/>
  <c r="H278" i="13"/>
  <c r="H249" i="13"/>
  <c r="H220" i="13"/>
  <c r="AH242" i="13" a="1"/>
  <c r="AH242" i="13" s="1"/>
  <c r="H580" i="13" a="1"/>
  <c r="H580" i="13" s="1"/>
  <c r="H572" i="13" a="1"/>
  <c r="H572" i="13" s="1"/>
  <c r="H573" i="13" a="1"/>
  <c r="H573" i="13" s="1"/>
  <c r="H559" i="13" a="1"/>
  <c r="H559" i="13" s="1"/>
  <c r="H577" i="13" a="1"/>
  <c r="H577" i="13" s="1"/>
  <c r="H576" i="13" a="1"/>
  <c r="H576" i="13" s="1"/>
  <c r="H551" i="13" a="1"/>
  <c r="H551" i="13" s="1"/>
  <c r="H555" i="13" a="1"/>
  <c r="H555" i="13" s="1"/>
  <c r="H547" i="13" a="1"/>
  <c r="H547" i="13" s="1"/>
  <c r="H536" i="13" a="1"/>
  <c r="H536" i="13" s="1"/>
  <c r="H524" i="13" a="1"/>
  <c r="H524" i="13" s="1"/>
  <c r="H523" i="13" a="1"/>
  <c r="H523" i="13" s="1"/>
  <c r="H540" i="13" a="1"/>
  <c r="H540" i="13" s="1"/>
  <c r="H539" i="13" a="1"/>
  <c r="H539" i="13" s="1"/>
  <c r="H568" i="13" a="1"/>
  <c r="H568" i="13" s="1"/>
  <c r="H544" i="13" a="1"/>
  <c r="H544" i="13" s="1"/>
  <c r="H543" i="13" a="1"/>
  <c r="H543" i="13" s="1"/>
  <c r="H548" i="13" a="1"/>
  <c r="H548" i="13" s="1"/>
  <c r="H519" i="13" a="1"/>
  <c r="H519" i="13" s="1"/>
  <c r="H527" i="13" a="1"/>
  <c r="H527" i="13" s="1"/>
  <c r="H535" i="13" a="1"/>
  <c r="H535" i="13" s="1"/>
  <c r="H532" i="13" a="1"/>
  <c r="H532" i="13" s="1"/>
  <c r="H528" i="13" a="1"/>
  <c r="H528" i="13" s="1"/>
  <c r="H531" i="13" a="1"/>
  <c r="H531" i="13" s="1"/>
  <c r="H510" i="13" a="1"/>
  <c r="H510" i="13" s="1"/>
  <c r="H498" i="13" a="1"/>
  <c r="H498" i="13" s="1"/>
  <c r="H506" i="13" a="1"/>
  <c r="H506" i="13" s="1"/>
  <c r="H502" i="13" a="1"/>
  <c r="H502" i="13" s="1"/>
  <c r="H490" i="13" a="1"/>
  <c r="H490" i="13" s="1"/>
  <c r="H483" i="13" a="1"/>
  <c r="H483" i="13" s="1"/>
  <c r="H482" i="13" a="1"/>
  <c r="H482" i="13" s="1"/>
  <c r="H457" i="13" a="1"/>
  <c r="H457" i="13" s="1"/>
  <c r="H456" i="13" a="1"/>
  <c r="H456" i="13" s="1"/>
  <c r="H486" i="13" a="1"/>
  <c r="H486" i="13" s="1"/>
  <c r="H471" i="13" a="1"/>
  <c r="H471" i="13" s="1"/>
  <c r="H461" i="13" a="1"/>
  <c r="H461" i="13" s="1"/>
  <c r="H460" i="13" a="1"/>
  <c r="H460" i="13" s="1"/>
  <c r="H470" i="13" a="1"/>
  <c r="H470" i="13" s="1"/>
  <c r="H479" i="13" a="1"/>
  <c r="H479" i="13" s="1"/>
  <c r="H494" i="13" a="1"/>
  <c r="H494" i="13" s="1"/>
  <c r="H478" i="13" a="1"/>
  <c r="H478" i="13" s="1"/>
  <c r="H474" i="13" a="1"/>
  <c r="H474" i="13" s="1"/>
  <c r="H453" i="13" a="1"/>
  <c r="H453" i="13" s="1"/>
  <c r="H452" i="13" a="1"/>
  <c r="H452" i="13" s="1"/>
  <c r="H444" i="13" a="1"/>
  <c r="H444" i="13" s="1"/>
  <c r="H445" i="13" a="1"/>
  <c r="H445" i="13" s="1"/>
  <c r="H429" i="13" a="1"/>
  <c r="H429" i="13" s="1"/>
  <c r="H428" i="13" a="1"/>
  <c r="H428" i="13" s="1"/>
  <c r="H449" i="13" a="1"/>
  <c r="H449" i="13" s="1"/>
  <c r="H448" i="13" a="1"/>
  <c r="H448" i="13" s="1"/>
  <c r="H433" i="13" a="1"/>
  <c r="H433" i="13" s="1"/>
  <c r="H432" i="13" a="1"/>
  <c r="H432" i="13" s="1"/>
  <c r="H437" i="13" a="1"/>
  <c r="H437" i="13" s="1"/>
  <c r="H436" i="13" a="1"/>
  <c r="H436" i="13" s="1"/>
  <c r="H396" i="13" a="1"/>
  <c r="H396" i="13" s="1"/>
  <c r="H424" i="13" a="1"/>
  <c r="H424" i="13" s="1"/>
  <c r="H415" i="13" a="1"/>
  <c r="H415" i="13" s="1"/>
  <c r="H441" i="13" a="1"/>
  <c r="H441" i="13" s="1"/>
  <c r="H404" i="13" a="1"/>
  <c r="H404" i="13" s="1"/>
  <c r="H403" i="13" a="1"/>
  <c r="H403" i="13" s="1"/>
  <c r="H416" i="13" a="1"/>
  <c r="H416" i="13" s="1"/>
  <c r="H408" i="13" a="1"/>
  <c r="H408" i="13" s="1"/>
  <c r="H407" i="13" a="1"/>
  <c r="H407" i="13" s="1"/>
  <c r="H412" i="13" a="1"/>
  <c r="H412" i="13" s="1"/>
  <c r="H411" i="13" a="1"/>
  <c r="H411" i="13" s="1"/>
  <c r="H399" i="13" a="1"/>
  <c r="H399" i="13" s="1"/>
  <c r="H378" i="13" a="1"/>
  <c r="H378" i="13" s="1"/>
  <c r="H400" i="13" a="1"/>
  <c r="H400" i="13" s="1"/>
  <c r="H395" i="13" a="1"/>
  <c r="H395" i="13" s="1"/>
  <c r="H363" i="13" a="1"/>
  <c r="H363" i="13" s="1"/>
  <c r="H425" i="13" a="1"/>
  <c r="H425" i="13" s="1"/>
  <c r="H388" i="13" a="1"/>
  <c r="H388" i="13" s="1"/>
  <c r="H387" i="13" a="1"/>
  <c r="H387" i="13" s="1"/>
  <c r="H392" i="13" a="1"/>
  <c r="H392" i="13" s="1"/>
  <c r="H391" i="13" a="1"/>
  <c r="H391" i="13" s="1"/>
  <c r="H440" i="13" a="1"/>
  <c r="H440" i="13" s="1"/>
  <c r="H329" i="13" a="1"/>
  <c r="H329" i="13" s="1"/>
  <c r="H328" i="13" a="1"/>
  <c r="H328" i="13" s="1"/>
  <c r="H354" i="13" a="1"/>
  <c r="H354" i="13" s="1"/>
  <c r="H353" i="13" a="1"/>
  <c r="H353" i="13" s="1"/>
  <c r="H371" i="13" a="1"/>
  <c r="H371" i="13" s="1"/>
  <c r="H338" i="13" a="1"/>
  <c r="H338" i="13" s="1"/>
  <c r="H337" i="13" a="1"/>
  <c r="H337" i="13" s="1"/>
  <c r="H362" i="13" a="1"/>
  <c r="H362" i="13" s="1"/>
  <c r="H342" i="13" a="1"/>
  <c r="H342" i="13" s="1"/>
  <c r="H341" i="13" a="1"/>
  <c r="H341" i="13" s="1"/>
  <c r="H366" i="13" a="1"/>
  <c r="H366" i="13" s="1"/>
  <c r="H346" i="13" a="1"/>
  <c r="H346" i="13" s="1"/>
  <c r="H345" i="13" a="1"/>
  <c r="H345" i="13" s="1"/>
  <c r="H375" i="13" a="1"/>
  <c r="H375" i="13" s="1"/>
  <c r="H367" i="13" a="1"/>
  <c r="H367" i="13" s="1"/>
  <c r="H374" i="13" a="1"/>
  <c r="H374" i="13" s="1"/>
  <c r="H350" i="13" a="1"/>
  <c r="H350" i="13" s="1"/>
  <c r="H349" i="13" a="1"/>
  <c r="H349" i="13" s="1"/>
  <c r="H309" i="13" a="1"/>
  <c r="H309" i="13" s="1"/>
  <c r="H308" i="13" a="1"/>
  <c r="H308" i="13" s="1"/>
  <c r="H317" i="13" a="1"/>
  <c r="H317" i="13" s="1"/>
  <c r="H263" i="13" a="1"/>
  <c r="H263" i="13" s="1"/>
  <c r="H262" i="13" a="1"/>
  <c r="H262" i="13" s="1"/>
  <c r="H288" i="13" a="1"/>
  <c r="H288" i="13" s="1"/>
  <c r="H287" i="13" a="1"/>
  <c r="H287" i="13" s="1"/>
  <c r="H324" i="13" a="1"/>
  <c r="H324" i="13" s="1"/>
  <c r="H313" i="13" a="1"/>
  <c r="H313" i="13" s="1"/>
  <c r="H312" i="13" a="1"/>
  <c r="H312" i="13" s="1"/>
  <c r="H267" i="13" a="1"/>
  <c r="H267" i="13" s="1"/>
  <c r="H266" i="13" a="1"/>
  <c r="H266" i="13" s="1"/>
  <c r="H292" i="13" a="1"/>
  <c r="H292" i="13" s="1"/>
  <c r="H291" i="13" a="1"/>
  <c r="H291" i="13" s="1"/>
  <c r="H271" i="13" a="1"/>
  <c r="H271" i="13" s="1"/>
  <c r="H270" i="13" a="1"/>
  <c r="H270" i="13" s="1"/>
  <c r="H296" i="13" a="1"/>
  <c r="H296" i="13" s="1"/>
  <c r="H295" i="13" a="1"/>
  <c r="H295" i="13" s="1"/>
  <c r="H370" i="13" a="1"/>
  <c r="H370" i="13" s="1"/>
  <c r="H325" i="13" a="1"/>
  <c r="H325" i="13" s="1"/>
  <c r="H316" i="13" a="1"/>
  <c r="H316" i="13" s="1"/>
  <c r="H300" i="13" a="1"/>
  <c r="H300" i="13" s="1"/>
  <c r="H280" i="13" a="1"/>
  <c r="H280" i="13" s="1"/>
  <c r="H279" i="13" a="1"/>
  <c r="H279" i="13" s="1"/>
  <c r="H233" i="13" a="1"/>
  <c r="H233" i="13" s="1"/>
  <c r="H258" i="13" a="1"/>
  <c r="H258" i="13" s="1"/>
  <c r="H238" i="13" a="1"/>
  <c r="H238" i="13" s="1"/>
  <c r="H237" i="13" a="1"/>
  <c r="H237" i="13" s="1"/>
  <c r="H299" i="13" a="1"/>
  <c r="H299" i="13" s="1"/>
  <c r="H283" i="13" a="1"/>
  <c r="H283" i="13" s="1"/>
  <c r="H259" i="13" a="1"/>
  <c r="H259" i="13" s="1"/>
  <c r="H320" i="13" a="1"/>
  <c r="H320" i="13" s="1"/>
  <c r="H251" i="13" a="1"/>
  <c r="H251" i="13" s="1"/>
  <c r="H250" i="13" a="1"/>
  <c r="H250" i="13" s="1"/>
  <c r="H284" i="13" a="1"/>
  <c r="H284" i="13" s="1"/>
  <c r="X580" i="13" a="1"/>
  <c r="X580" i="13" s="1"/>
  <c r="X572" i="13" a="1"/>
  <c r="X572" i="13" s="1"/>
  <c r="X573" i="13" a="1"/>
  <c r="X573" i="13" s="1"/>
  <c r="X559" i="13" a="1"/>
  <c r="X559" i="13" s="1"/>
  <c r="X551" i="13" a="1"/>
  <c r="X551" i="13" s="1"/>
  <c r="X555" i="13" a="1"/>
  <c r="X555" i="13" s="1"/>
  <c r="X577" i="13" a="1"/>
  <c r="X577" i="13" s="1"/>
  <c r="X576" i="13" a="1"/>
  <c r="X576" i="13" s="1"/>
  <c r="X544" i="13" a="1"/>
  <c r="X544" i="13" s="1"/>
  <c r="X543" i="13" a="1"/>
  <c r="X543" i="13" s="1"/>
  <c r="X568" i="13" a="1"/>
  <c r="X568" i="13" s="1"/>
  <c r="X524" i="13" a="1"/>
  <c r="X524" i="13" s="1"/>
  <c r="X523" i="13" a="1"/>
  <c r="X523" i="13" s="1"/>
  <c r="X536" i="13" a="1"/>
  <c r="X536" i="13" s="1"/>
  <c r="X547" i="13" a="1"/>
  <c r="X547" i="13" s="1"/>
  <c r="X519" i="13" a="1"/>
  <c r="X519" i="13" s="1"/>
  <c r="X548" i="13" a="1"/>
  <c r="X548" i="13" s="1"/>
  <c r="X532" i="13" a="1"/>
  <c r="X532" i="13" s="1"/>
  <c r="X528" i="13" a="1"/>
  <c r="X528" i="13" s="1"/>
  <c r="X535" i="13" a="1"/>
  <c r="X535" i="13" s="1"/>
  <c r="X531" i="13" a="1"/>
  <c r="X531" i="13" s="1"/>
  <c r="X540" i="13" a="1"/>
  <c r="X540" i="13" s="1"/>
  <c r="X539" i="13" a="1"/>
  <c r="X539" i="13" s="1"/>
  <c r="X527" i="13" a="1"/>
  <c r="X527" i="13" s="1"/>
  <c r="X498" i="13" a="1"/>
  <c r="X498" i="13" s="1"/>
  <c r="X502" i="13" a="1"/>
  <c r="X502" i="13" s="1"/>
  <c r="X490" i="13" a="1"/>
  <c r="X490" i="13" s="1"/>
  <c r="X510" i="13" a="1"/>
  <c r="X510" i="13" s="1"/>
  <c r="X506" i="13" a="1"/>
  <c r="X506" i="13" s="1"/>
  <c r="X494" i="13" a="1"/>
  <c r="X494" i="13" s="1"/>
  <c r="X486" i="13" a="1"/>
  <c r="X486" i="13" s="1"/>
  <c r="X482" i="13" a="1"/>
  <c r="X482" i="13" s="1"/>
  <c r="X457" i="13" a="1"/>
  <c r="X457" i="13" s="1"/>
  <c r="X456" i="13" a="1"/>
  <c r="X456" i="13" s="1"/>
  <c r="X474" i="13" a="1"/>
  <c r="X474" i="13" s="1"/>
  <c r="X461" i="13" a="1"/>
  <c r="X461" i="13" s="1"/>
  <c r="X460" i="13" a="1"/>
  <c r="X460" i="13" s="1"/>
  <c r="X479" i="13" a="1"/>
  <c r="X479" i="13" s="1"/>
  <c r="X471" i="13" a="1"/>
  <c r="X471" i="13" s="1"/>
  <c r="X470" i="13" a="1"/>
  <c r="X470" i="13" s="1"/>
  <c r="X453" i="13" a="1"/>
  <c r="X453" i="13" s="1"/>
  <c r="X452" i="13" a="1"/>
  <c r="X452" i="13" s="1"/>
  <c r="X429" i="13" a="1"/>
  <c r="X429" i="13" s="1"/>
  <c r="X428" i="13" a="1"/>
  <c r="X428" i="13" s="1"/>
  <c r="X449" i="13" a="1"/>
  <c r="X449" i="13" s="1"/>
  <c r="X448" i="13" a="1"/>
  <c r="X448" i="13" s="1"/>
  <c r="X433" i="13" a="1"/>
  <c r="X433" i="13" s="1"/>
  <c r="X432" i="13" a="1"/>
  <c r="X432" i="13" s="1"/>
  <c r="X478" i="13" a="1"/>
  <c r="X478" i="13" s="1"/>
  <c r="X437" i="13" a="1"/>
  <c r="X437" i="13" s="1"/>
  <c r="X436" i="13" a="1"/>
  <c r="X436" i="13" s="1"/>
  <c r="X444" i="13" a="1"/>
  <c r="X444" i="13" s="1"/>
  <c r="X445" i="13" a="1"/>
  <c r="X445" i="13" s="1"/>
  <c r="X441" i="13" a="1"/>
  <c r="X441" i="13" s="1"/>
  <c r="X396" i="13" a="1"/>
  <c r="X396" i="13" s="1"/>
  <c r="X395" i="13" a="1"/>
  <c r="X395" i="13" s="1"/>
  <c r="X416" i="13" a="1"/>
  <c r="X416" i="13" s="1"/>
  <c r="X404" i="13" a="1"/>
  <c r="X404" i="13" s="1"/>
  <c r="X403" i="13" a="1"/>
  <c r="X403" i="13" s="1"/>
  <c r="X425" i="13" a="1"/>
  <c r="X425" i="13" s="1"/>
  <c r="X408" i="13" a="1"/>
  <c r="X408" i="13" s="1"/>
  <c r="X407" i="13" a="1"/>
  <c r="X407" i="13" s="1"/>
  <c r="X412" i="13" a="1"/>
  <c r="X412" i="13" s="1"/>
  <c r="X411" i="13" a="1"/>
  <c r="X411" i="13" s="1"/>
  <c r="X399" i="13" a="1"/>
  <c r="X399" i="13" s="1"/>
  <c r="X379" i="13" a="1"/>
  <c r="X379" i="13" s="1"/>
  <c r="X378" i="13" a="1"/>
  <c r="X378" i="13" s="1"/>
  <c r="X400" i="13" a="1"/>
  <c r="X400" i="13" s="1"/>
  <c r="X363" i="13" a="1"/>
  <c r="X363" i="13" s="1"/>
  <c r="X388" i="13" a="1"/>
  <c r="X388" i="13" s="1"/>
  <c r="X387" i="13" a="1"/>
  <c r="X387" i="13" s="1"/>
  <c r="X415" i="13" a="1"/>
  <c r="X415" i="13" s="1"/>
  <c r="X392" i="13" a="1"/>
  <c r="X392" i="13" s="1"/>
  <c r="X391" i="13" a="1"/>
  <c r="X391" i="13" s="1"/>
  <c r="X440" i="13" a="1"/>
  <c r="X440" i="13" s="1"/>
  <c r="X424" i="13" a="1"/>
  <c r="X424" i="13" s="1"/>
  <c r="X329" i="13" a="1"/>
  <c r="X329" i="13" s="1"/>
  <c r="X328" i="13" a="1"/>
  <c r="X328" i="13" s="1"/>
  <c r="X354" i="13" a="1"/>
  <c r="X354" i="13" s="1"/>
  <c r="X353" i="13" a="1"/>
  <c r="X353" i="13" s="1"/>
  <c r="X366" i="13" a="1"/>
  <c r="X366" i="13" s="1"/>
  <c r="X338" i="13" a="1"/>
  <c r="X338" i="13" s="1"/>
  <c r="X337" i="13" a="1"/>
  <c r="X337" i="13" s="1"/>
  <c r="X374" i="13" a="1"/>
  <c r="X374" i="13" s="1"/>
  <c r="X370" i="13" a="1"/>
  <c r="X370" i="13" s="1"/>
  <c r="X367" i="13" a="1"/>
  <c r="X367" i="13" s="1"/>
  <c r="X362" i="13" a="1"/>
  <c r="X362" i="13" s="1"/>
  <c r="X342" i="13" a="1"/>
  <c r="X342" i="13" s="1"/>
  <c r="X341" i="13" a="1"/>
  <c r="X341" i="13" s="1"/>
  <c r="X346" i="13" a="1"/>
  <c r="X346" i="13" s="1"/>
  <c r="X345" i="13" a="1"/>
  <c r="X345" i="13" s="1"/>
  <c r="X350" i="13" a="1"/>
  <c r="X350" i="13" s="1"/>
  <c r="X349" i="13" a="1"/>
  <c r="X349" i="13" s="1"/>
  <c r="X308" i="13" a="1"/>
  <c r="X308" i="13" s="1"/>
  <c r="X263" i="13" a="1"/>
  <c r="X263" i="13" s="1"/>
  <c r="X262" i="13" a="1"/>
  <c r="X262" i="13" s="1"/>
  <c r="X288" i="13" a="1"/>
  <c r="X288" i="13" s="1"/>
  <c r="X287" i="13" a="1"/>
  <c r="X287" i="13" s="1"/>
  <c r="X312" i="13" a="1"/>
  <c r="X312" i="13" s="1"/>
  <c r="X267" i="13" a="1"/>
  <c r="X267" i="13" s="1"/>
  <c r="X266" i="13" a="1"/>
  <c r="X266" i="13" s="1"/>
  <c r="X292" i="13" a="1"/>
  <c r="X292" i="13" s="1"/>
  <c r="X291" i="13" a="1"/>
  <c r="X291" i="13" s="1"/>
  <c r="X324" i="13" a="1"/>
  <c r="X324" i="13" s="1"/>
  <c r="X316" i="13" a="1"/>
  <c r="X316" i="13" s="1"/>
  <c r="X271" i="13" a="1"/>
  <c r="X271" i="13" s="1"/>
  <c r="X270" i="13" a="1"/>
  <c r="X270" i="13" s="1"/>
  <c r="X296" i="13" a="1"/>
  <c r="X296" i="13" s="1"/>
  <c r="X295" i="13" a="1"/>
  <c r="X295" i="13" s="1"/>
  <c r="X325" i="13" a="1"/>
  <c r="X325" i="13" s="1"/>
  <c r="X320" i="13" a="1"/>
  <c r="X320" i="13" s="1"/>
  <c r="X280" i="13" a="1"/>
  <c r="X280" i="13" s="1"/>
  <c r="X279" i="13" a="1"/>
  <c r="X279" i="13" s="1"/>
  <c r="X233" i="13" a="1"/>
  <c r="X233" i="13" s="1"/>
  <c r="X284" i="13" a="1"/>
  <c r="X284" i="13" s="1"/>
  <c r="X299" i="13" a="1"/>
  <c r="X299" i="13" s="1"/>
  <c r="X258" i="13" a="1"/>
  <c r="X258" i="13" s="1"/>
  <c r="X238" i="13" a="1"/>
  <c r="X238" i="13" s="1"/>
  <c r="X237" i="13" a="1"/>
  <c r="X237" i="13" s="1"/>
  <c r="X242" i="13" a="1"/>
  <c r="X242" i="13" s="1"/>
  <c r="X251" i="13" a="1"/>
  <c r="X251" i="13" s="1"/>
  <c r="X250" i="13" a="1"/>
  <c r="X250" i="13" s="1"/>
  <c r="X300" i="13" a="1"/>
  <c r="X300" i="13" s="1"/>
  <c r="Q238" i="13" a="1"/>
  <c r="Q238" i="13" s="1"/>
  <c r="Q263" i="13" a="1"/>
  <c r="Q263" i="13" s="1"/>
  <c r="L270" i="13" a="1"/>
  <c r="L270" i="13" s="1"/>
  <c r="I580" i="13" a="1"/>
  <c r="I580" i="13" s="1"/>
  <c r="I581" i="13" a="1"/>
  <c r="I581" i="13" s="1"/>
  <c r="I572" i="13" a="1"/>
  <c r="I572" i="13" s="1"/>
  <c r="I573" i="13" a="1"/>
  <c r="I573" i="13" s="1"/>
  <c r="I576" i="13" a="1"/>
  <c r="I576" i="13" s="1"/>
  <c r="I556" i="13" a="1"/>
  <c r="I556" i="13" s="1"/>
  <c r="I555" i="13" a="1"/>
  <c r="I555" i="13" s="1"/>
  <c r="I536" i="13" a="1"/>
  <c r="I536" i="13" s="1"/>
  <c r="I524" i="13" a="1"/>
  <c r="I524" i="13" s="1"/>
  <c r="I552" i="13" a="1"/>
  <c r="I552" i="13" s="1"/>
  <c r="I551" i="13" a="1"/>
  <c r="I551" i="13" s="1"/>
  <c r="I540" i="13" a="1"/>
  <c r="I540" i="13" s="1"/>
  <c r="I528" i="13" a="1"/>
  <c r="I528" i="13" s="1"/>
  <c r="I527" i="13" a="1"/>
  <c r="I527" i="13" s="1"/>
  <c r="I544" i="13" a="1"/>
  <c r="I544" i="13" s="1"/>
  <c r="I543" i="13" a="1"/>
  <c r="I543" i="13" s="1"/>
  <c r="I539" i="13" a="1"/>
  <c r="I539" i="13" s="1"/>
  <c r="I568" i="13" a="1"/>
  <c r="I568" i="13" s="1"/>
  <c r="I560" i="13" a="1"/>
  <c r="I560" i="13" s="1"/>
  <c r="I559" i="13" a="1"/>
  <c r="I559" i="13" s="1"/>
  <c r="I577" i="13" a="1"/>
  <c r="I577" i="13" s="1"/>
  <c r="I547" i="13" a="1"/>
  <c r="I547" i="13" s="1"/>
  <c r="I535" i="13" a="1"/>
  <c r="I535" i="13" s="1"/>
  <c r="I523" i="13" a="1"/>
  <c r="I523" i="13" s="1"/>
  <c r="I503" i="13" a="1"/>
  <c r="I503" i="13" s="1"/>
  <c r="I532" i="13" a="1"/>
  <c r="I532" i="13" s="1"/>
  <c r="I569" i="13" a="1"/>
  <c r="I569" i="13" s="1"/>
  <c r="I548" i="13" a="1"/>
  <c r="I548" i="13" s="1"/>
  <c r="I531" i="13" a="1"/>
  <c r="I531" i="13" s="1"/>
  <c r="I506" i="13" a="1"/>
  <c r="I506" i="13" s="1"/>
  <c r="I502" i="13" a="1"/>
  <c r="I502" i="13" s="1"/>
  <c r="I507" i="13" a="1"/>
  <c r="I507" i="13" s="1"/>
  <c r="I519" i="13" a="1"/>
  <c r="I519" i="13" s="1"/>
  <c r="I511" i="13" a="1"/>
  <c r="I511" i="13" s="1"/>
  <c r="I520" i="13" a="1"/>
  <c r="I520" i="13" s="1"/>
  <c r="I510" i="13" a="1"/>
  <c r="I510" i="13" s="1"/>
  <c r="I483" i="13" a="1"/>
  <c r="I483" i="13" s="1"/>
  <c r="I482" i="13" a="1"/>
  <c r="I482" i="13" s="1"/>
  <c r="I491" i="13" a="1"/>
  <c r="I491" i="13" s="1"/>
  <c r="I494" i="13" a="1"/>
  <c r="I494" i="13" s="1"/>
  <c r="I498" i="13" a="1"/>
  <c r="I498" i="13" s="1"/>
  <c r="I486" i="13" a="1"/>
  <c r="I486" i="13" s="1"/>
  <c r="I471" i="13" a="1"/>
  <c r="I471" i="13" s="1"/>
  <c r="I461" i="13" a="1"/>
  <c r="I461" i="13" s="1"/>
  <c r="I460" i="13" a="1"/>
  <c r="I460" i="13" s="1"/>
  <c r="I490" i="13" a="1"/>
  <c r="I490" i="13" s="1"/>
  <c r="I470" i="13" a="1"/>
  <c r="I470" i="13" s="1"/>
  <c r="I479" i="13" a="1"/>
  <c r="I479" i="13" s="1"/>
  <c r="I474" i="13" a="1"/>
  <c r="I474" i="13" s="1"/>
  <c r="I445" i="13" a="1"/>
  <c r="I445" i="13" s="1"/>
  <c r="I429" i="13" a="1"/>
  <c r="I429" i="13" s="1"/>
  <c r="I428" i="13" a="1"/>
  <c r="I428" i="13" s="1"/>
  <c r="I449" i="13" a="1"/>
  <c r="I449" i="13" s="1"/>
  <c r="I448" i="13" a="1"/>
  <c r="I448" i="13" s="1"/>
  <c r="I433" i="13" a="1"/>
  <c r="I433" i="13" s="1"/>
  <c r="I432" i="13" a="1"/>
  <c r="I432" i="13" s="1"/>
  <c r="I437" i="13" a="1"/>
  <c r="I437" i="13" s="1"/>
  <c r="I436" i="13" a="1"/>
  <c r="I436" i="13" s="1"/>
  <c r="I452" i="13" a="1"/>
  <c r="I452" i="13" s="1"/>
  <c r="I478" i="13" a="1"/>
  <c r="I478" i="13" s="1"/>
  <c r="I457" i="13" a="1"/>
  <c r="I457" i="13" s="1"/>
  <c r="I456" i="13" a="1"/>
  <c r="I456" i="13" s="1"/>
  <c r="I441" i="13" a="1"/>
  <c r="I441" i="13" s="1"/>
  <c r="I440" i="13" a="1"/>
  <c r="I440" i="13" s="1"/>
  <c r="I453" i="13" a="1"/>
  <c r="I453" i="13" s="1"/>
  <c r="I444" i="13" a="1"/>
  <c r="I444" i="13" s="1"/>
  <c r="I424" i="13" a="1"/>
  <c r="I424" i="13" s="1"/>
  <c r="I400" i="13" a="1"/>
  <c r="I400" i="13" s="1"/>
  <c r="I399" i="13" a="1"/>
  <c r="I399" i="13" s="1"/>
  <c r="I415" i="13" a="1"/>
  <c r="I415" i="13" s="1"/>
  <c r="I404" i="13" a="1"/>
  <c r="I404" i="13" s="1"/>
  <c r="I403" i="13" a="1"/>
  <c r="I403" i="13" s="1"/>
  <c r="I416" i="13" a="1"/>
  <c r="I416" i="13" s="1"/>
  <c r="I408" i="13" a="1"/>
  <c r="I408" i="13" s="1"/>
  <c r="I407" i="13" a="1"/>
  <c r="I407" i="13" s="1"/>
  <c r="I425" i="13" a="1"/>
  <c r="I425" i="13" s="1"/>
  <c r="I388" i="13" a="1"/>
  <c r="I388" i="13" s="1"/>
  <c r="I387" i="13" a="1"/>
  <c r="I387" i="13" s="1"/>
  <c r="I367" i="13" a="1"/>
  <c r="I367" i="13" s="1"/>
  <c r="I366" i="13" a="1"/>
  <c r="I366" i="13" s="1"/>
  <c r="I392" i="13" a="1"/>
  <c r="I392" i="13" s="1"/>
  <c r="I391" i="13" a="1"/>
  <c r="I391" i="13" s="1"/>
  <c r="I396" i="13" a="1"/>
  <c r="I396" i="13" s="1"/>
  <c r="I371" i="13" a="1"/>
  <c r="I371" i="13" s="1"/>
  <c r="I412" i="13" a="1"/>
  <c r="I412" i="13" s="1"/>
  <c r="I379" i="13" a="1"/>
  <c r="I379" i="13" s="1"/>
  <c r="I378" i="13" a="1"/>
  <c r="I378" i="13" s="1"/>
  <c r="I411" i="13" a="1"/>
  <c r="I411" i="13" s="1"/>
  <c r="I395" i="13" a="1"/>
  <c r="I395" i="13" s="1"/>
  <c r="I363" i="13" a="1"/>
  <c r="I363" i="13" s="1"/>
  <c r="I354" i="13" a="1"/>
  <c r="I354" i="13" s="1"/>
  <c r="I353" i="13" a="1"/>
  <c r="I353" i="13" s="1"/>
  <c r="I338" i="13" a="1"/>
  <c r="I338" i="13" s="1"/>
  <c r="I337" i="13" a="1"/>
  <c r="I337" i="13" s="1"/>
  <c r="I362" i="13" a="1"/>
  <c r="I362" i="13" s="1"/>
  <c r="I342" i="13" a="1"/>
  <c r="I342" i="13" s="1"/>
  <c r="I341" i="13" a="1"/>
  <c r="I341" i="13" s="1"/>
  <c r="I370" i="13" a="1"/>
  <c r="I370" i="13" s="1"/>
  <c r="I321" i="13" a="1"/>
  <c r="I321" i="13" s="1"/>
  <c r="I320" i="13" a="1"/>
  <c r="I320" i="13" s="1"/>
  <c r="I346" i="13" a="1"/>
  <c r="I346" i="13" s="1"/>
  <c r="I375" i="13" a="1"/>
  <c r="I375" i="13" s="1"/>
  <c r="I374" i="13" a="1"/>
  <c r="I374" i="13" s="1"/>
  <c r="I350" i="13" a="1"/>
  <c r="I350" i="13" s="1"/>
  <c r="I349" i="13" a="1"/>
  <c r="I349" i="13" s="1"/>
  <c r="I288" i="13" a="1"/>
  <c r="I288" i="13" s="1"/>
  <c r="I287" i="13" a="1"/>
  <c r="I287" i="13" s="1"/>
  <c r="I324" i="13" a="1"/>
  <c r="I324" i="13" s="1"/>
  <c r="I313" i="13" a="1"/>
  <c r="I313" i="13" s="1"/>
  <c r="I312" i="13" a="1"/>
  <c r="I312" i="13" s="1"/>
  <c r="I267" i="13" a="1"/>
  <c r="I267" i="13" s="1"/>
  <c r="I266" i="13" a="1"/>
  <c r="I266" i="13" s="1"/>
  <c r="I292" i="13" a="1"/>
  <c r="I292" i="13" s="1"/>
  <c r="I291" i="13" a="1"/>
  <c r="I291" i="13" s="1"/>
  <c r="I328" i="13" a="1"/>
  <c r="I328" i="13" s="1"/>
  <c r="I271" i="13" a="1"/>
  <c r="I271" i="13" s="1"/>
  <c r="I270" i="13" a="1"/>
  <c r="I270" i="13" s="1"/>
  <c r="I345" i="13" a="1"/>
  <c r="I345" i="13" s="1"/>
  <c r="I296" i="13" a="1"/>
  <c r="I296" i="13" s="1"/>
  <c r="I295" i="13" a="1"/>
  <c r="I295" i="13" s="1"/>
  <c r="I325" i="13" a="1"/>
  <c r="I325" i="13" s="1"/>
  <c r="I300" i="13" a="1"/>
  <c r="I300" i="13" s="1"/>
  <c r="I299" i="13" a="1"/>
  <c r="I299" i="13" s="1"/>
  <c r="I329" i="13" a="1"/>
  <c r="I329" i="13" s="1"/>
  <c r="I309" i="13" a="1"/>
  <c r="I309" i="13" s="1"/>
  <c r="I308" i="13" a="1"/>
  <c r="I308" i="13" s="1"/>
  <c r="I317" i="13" a="1"/>
  <c r="I317" i="13" s="1"/>
  <c r="I258" i="13" a="1"/>
  <c r="I258" i="13" s="1"/>
  <c r="I283" i="13" a="1"/>
  <c r="I283" i="13" s="1"/>
  <c r="I242" i="13" a="1"/>
  <c r="I242" i="13" s="1"/>
  <c r="I241" i="13" a="1"/>
  <c r="I241" i="13" s="1"/>
  <c r="I262" i="13" a="1"/>
  <c r="I262" i="13" s="1"/>
  <c r="I259" i="13" a="1"/>
  <c r="I259" i="13" s="1"/>
  <c r="I316" i="13" a="1"/>
  <c r="I316" i="13" s="1"/>
  <c r="I263" i="13" a="1"/>
  <c r="I263" i="13" s="1"/>
  <c r="I284" i="13" a="1"/>
  <c r="I284" i="13" s="1"/>
  <c r="I255" i="13" a="1"/>
  <c r="I255" i="13" s="1"/>
  <c r="I254" i="13" a="1"/>
  <c r="I254" i="13" s="1"/>
  <c r="I280" i="13" a="1"/>
  <c r="I280" i="13" s="1"/>
  <c r="Y580" i="13" a="1"/>
  <c r="Y580" i="13" s="1"/>
  <c r="Y572" i="13" a="1"/>
  <c r="Y572" i="13" s="1"/>
  <c r="Y573" i="13" a="1"/>
  <c r="Y573" i="13" s="1"/>
  <c r="Y576" i="13" a="1"/>
  <c r="Y576" i="13" s="1"/>
  <c r="Y555" i="13" a="1"/>
  <c r="Y555" i="13" s="1"/>
  <c r="Y559" i="13" a="1"/>
  <c r="Y559" i="13" s="1"/>
  <c r="Y536" i="13" a="1"/>
  <c r="Y536" i="13" s="1"/>
  <c r="Y577" i="13" a="1"/>
  <c r="Y577" i="13" s="1"/>
  <c r="Y524" i="13" a="1"/>
  <c r="Y524" i="13" s="1"/>
  <c r="Y568" i="13" a="1"/>
  <c r="Y568" i="13" s="1"/>
  <c r="Y551" i="13" a="1"/>
  <c r="Y551" i="13" s="1"/>
  <c r="Y528" i="13" a="1"/>
  <c r="Y528" i="13" s="1"/>
  <c r="Y527" i="13" a="1"/>
  <c r="Y527" i="13" s="1"/>
  <c r="Y548" i="13" a="1"/>
  <c r="Y548" i="13" s="1"/>
  <c r="Y547" i="13" a="1"/>
  <c r="Y547" i="13" s="1"/>
  <c r="Y540" i="13" a="1"/>
  <c r="Y540" i="13" s="1"/>
  <c r="Y544" i="13" a="1"/>
  <c r="Y544" i="13" s="1"/>
  <c r="Y532" i="13" a="1"/>
  <c r="Y532" i="13" s="1"/>
  <c r="Y535" i="13" a="1"/>
  <c r="Y535" i="13" s="1"/>
  <c r="Y543" i="13" a="1"/>
  <c r="Y543" i="13" s="1"/>
  <c r="Y531" i="13" a="1"/>
  <c r="Y531" i="13" s="1"/>
  <c r="Y523" i="13" a="1"/>
  <c r="Y523" i="13" s="1"/>
  <c r="Y539" i="13" a="1"/>
  <c r="Y539" i="13" s="1"/>
  <c r="Y502" i="13" a="1"/>
  <c r="Y502" i="13" s="1"/>
  <c r="Y519" i="13" a="1"/>
  <c r="Y519" i="13" s="1"/>
  <c r="Y510" i="13" a="1"/>
  <c r="Y510" i="13" s="1"/>
  <c r="Y506" i="13" a="1"/>
  <c r="Y506" i="13" s="1"/>
  <c r="Y498" i="13" a="1"/>
  <c r="Y498" i="13" s="1"/>
  <c r="Y482" i="13" a="1"/>
  <c r="Y482" i="13" s="1"/>
  <c r="Y490" i="13" a="1"/>
  <c r="Y490" i="13" s="1"/>
  <c r="Y494" i="13" a="1"/>
  <c r="Y494" i="13" s="1"/>
  <c r="Y474" i="13" a="1"/>
  <c r="Y474" i="13" s="1"/>
  <c r="Y461" i="13" a="1"/>
  <c r="Y461" i="13" s="1"/>
  <c r="Y460" i="13" a="1"/>
  <c r="Y460" i="13" s="1"/>
  <c r="Y479" i="13" a="1"/>
  <c r="Y479" i="13" s="1"/>
  <c r="Y471" i="13" a="1"/>
  <c r="Y471" i="13" s="1"/>
  <c r="Y486" i="13" a="1"/>
  <c r="Y486" i="13" s="1"/>
  <c r="Y478" i="13" a="1"/>
  <c r="Y478" i="13" s="1"/>
  <c r="Y470" i="13" a="1"/>
  <c r="Y470" i="13" s="1"/>
  <c r="Y457" i="13" a="1"/>
  <c r="Y457" i="13" s="1"/>
  <c r="Y456" i="13" a="1"/>
  <c r="Y456" i="13" s="1"/>
  <c r="Y429" i="13" a="1"/>
  <c r="Y429" i="13" s="1"/>
  <c r="Y428" i="13" a="1"/>
  <c r="Y428" i="13" s="1"/>
  <c r="Y449" i="13" a="1"/>
  <c r="Y449" i="13" s="1"/>
  <c r="Y448" i="13" a="1"/>
  <c r="Y448" i="13" s="1"/>
  <c r="Y433" i="13" a="1"/>
  <c r="Y433" i="13" s="1"/>
  <c r="Y432" i="13" a="1"/>
  <c r="Y432" i="13" s="1"/>
  <c r="Y453" i="13" a="1"/>
  <c r="Y453" i="13" s="1"/>
  <c r="Y437" i="13" a="1"/>
  <c r="Y437" i="13" s="1"/>
  <c r="Y436" i="13" a="1"/>
  <c r="Y436" i="13" s="1"/>
  <c r="Y444" i="13" a="1"/>
  <c r="Y444" i="13" s="1"/>
  <c r="Y452" i="13" a="1"/>
  <c r="Y452" i="13" s="1"/>
  <c r="Y440" i="13" a="1"/>
  <c r="Y440" i="13" s="1"/>
  <c r="Y445" i="13" a="1"/>
  <c r="Y445" i="13" s="1"/>
  <c r="Y441" i="13" a="1"/>
  <c r="Y441" i="13" s="1"/>
  <c r="Y400" i="13" a="1"/>
  <c r="Y400" i="13" s="1"/>
  <c r="Y399" i="13" a="1"/>
  <c r="Y399" i="13" s="1"/>
  <c r="Y404" i="13" a="1"/>
  <c r="Y404" i="13" s="1"/>
  <c r="Y403" i="13" a="1"/>
  <c r="Y403" i="13" s="1"/>
  <c r="Y425" i="13" a="1"/>
  <c r="Y425" i="13" s="1"/>
  <c r="Y408" i="13" a="1"/>
  <c r="Y408" i="13" s="1"/>
  <c r="Y407" i="13" a="1"/>
  <c r="Y407" i="13" s="1"/>
  <c r="Y415" i="13" a="1"/>
  <c r="Y415" i="13" s="1"/>
  <c r="Y424" i="13" a="1"/>
  <c r="Y424" i="13" s="1"/>
  <c r="Y396" i="13" a="1"/>
  <c r="Y396" i="13" s="1"/>
  <c r="Y388" i="13" a="1"/>
  <c r="Y388" i="13" s="1"/>
  <c r="Y387" i="13" a="1"/>
  <c r="Y387" i="13" s="1"/>
  <c r="Y367" i="13" a="1"/>
  <c r="Y367" i="13" s="1"/>
  <c r="Y366" i="13" a="1"/>
  <c r="Y366" i="13" s="1"/>
  <c r="Y412" i="13" a="1"/>
  <c r="Y412" i="13" s="1"/>
  <c r="Y392" i="13" a="1"/>
  <c r="Y392" i="13" s="1"/>
  <c r="Y391" i="13" a="1"/>
  <c r="Y391" i="13" s="1"/>
  <c r="Y411" i="13" a="1"/>
  <c r="Y411" i="13" s="1"/>
  <c r="Y370" i="13" a="1"/>
  <c r="Y370" i="13" s="1"/>
  <c r="Y416" i="13" a="1"/>
  <c r="Y416" i="13" s="1"/>
  <c r="Y379" i="13" a="1"/>
  <c r="Y379" i="13" s="1"/>
  <c r="Y378" i="13" a="1"/>
  <c r="Y378" i="13" s="1"/>
  <c r="Y354" i="13" a="1"/>
  <c r="Y354" i="13" s="1"/>
  <c r="Y353" i="13" a="1"/>
  <c r="Y353" i="13" s="1"/>
  <c r="Y338" i="13" a="1"/>
  <c r="Y338" i="13" s="1"/>
  <c r="Y337" i="13" a="1"/>
  <c r="Y337" i="13" s="1"/>
  <c r="Y374" i="13" a="1"/>
  <c r="Y374" i="13" s="1"/>
  <c r="Y362" i="13" a="1"/>
  <c r="Y362" i="13" s="1"/>
  <c r="Y342" i="13" a="1"/>
  <c r="Y342" i="13" s="1"/>
  <c r="Y341" i="13" a="1"/>
  <c r="Y341" i="13" s="1"/>
  <c r="Y320" i="13" a="1"/>
  <c r="Y320" i="13" s="1"/>
  <c r="Y363" i="13" a="1"/>
  <c r="Y363" i="13" s="1"/>
  <c r="Y346" i="13" a="1"/>
  <c r="Y346" i="13" s="1"/>
  <c r="Y395" i="13" a="1"/>
  <c r="Y395" i="13" s="1"/>
  <c r="Y350" i="13" a="1"/>
  <c r="Y350" i="13" s="1"/>
  <c r="Y349" i="13" a="1"/>
  <c r="Y349" i="13" s="1"/>
  <c r="Y288" i="13" a="1"/>
  <c r="Y288" i="13" s="1"/>
  <c r="Y287" i="13" a="1"/>
  <c r="Y287" i="13" s="1"/>
  <c r="Y329" i="13" a="1"/>
  <c r="Y329" i="13" s="1"/>
  <c r="Y312" i="13" a="1"/>
  <c r="Y312" i="13" s="1"/>
  <c r="Y345" i="13" a="1"/>
  <c r="Y345" i="13" s="1"/>
  <c r="Y267" i="13" a="1"/>
  <c r="Y267" i="13" s="1"/>
  <c r="Y266" i="13" a="1"/>
  <c r="Y266" i="13" s="1"/>
  <c r="Y292" i="13" a="1"/>
  <c r="Y292" i="13" s="1"/>
  <c r="Y291" i="13" a="1"/>
  <c r="Y291" i="13" s="1"/>
  <c r="Y324" i="13" a="1"/>
  <c r="Y324" i="13" s="1"/>
  <c r="Y316" i="13" a="1"/>
  <c r="Y316" i="13" s="1"/>
  <c r="Y271" i="13" a="1"/>
  <c r="Y271" i="13" s="1"/>
  <c r="Y270" i="13" a="1"/>
  <c r="Y270" i="13" s="1"/>
  <c r="Y296" i="13" a="1"/>
  <c r="Y296" i="13" s="1"/>
  <c r="Y295" i="13" a="1"/>
  <c r="Y295" i="13" s="1"/>
  <c r="Y328" i="13" a="1"/>
  <c r="Y328" i="13" s="1"/>
  <c r="Y300" i="13" a="1"/>
  <c r="Y300" i="13" s="1"/>
  <c r="Y299" i="13" a="1"/>
  <c r="Y299" i="13" s="1"/>
  <c r="Y325" i="13" a="1"/>
  <c r="Y325" i="13" s="1"/>
  <c r="Y308" i="13" a="1"/>
  <c r="Y308" i="13" s="1"/>
  <c r="Y284" i="13" a="1"/>
  <c r="Y284" i="13" s="1"/>
  <c r="Y262" i="13" a="1"/>
  <c r="Y262" i="13" s="1"/>
  <c r="Y258" i="13" a="1"/>
  <c r="Y258" i="13" s="1"/>
  <c r="Y242" i="13" a="1"/>
  <c r="Y242" i="13" s="1"/>
  <c r="Y241" i="13" a="1"/>
  <c r="Y241" i="13" s="1"/>
  <c r="Y263" i="13" a="1"/>
  <c r="Y263" i="13" s="1"/>
  <c r="Y283" i="13" a="1"/>
  <c r="Y283" i="13" s="1"/>
  <c r="Y259" i="13" a="1"/>
  <c r="Y259" i="13" s="1"/>
  <c r="Y255" i="13" a="1"/>
  <c r="Y255" i="13" s="1"/>
  <c r="Y254" i="13" a="1"/>
  <c r="Y254" i="13" s="1"/>
  <c r="Y280" i="13" a="1"/>
  <c r="Y280" i="13" s="1"/>
  <c r="I226" i="13" a="1"/>
  <c r="I226" i="13" s="1"/>
  <c r="O230" i="13" a="1"/>
  <c r="O230" i="13" s="1"/>
  <c r="M233" i="13" a="1"/>
  <c r="M233" i="13" s="1"/>
  <c r="S263" i="13" a="1"/>
  <c r="S263" i="13" s="1"/>
  <c r="AH266" i="13" a="1"/>
  <c r="AH266" i="13" s="1"/>
  <c r="N270" i="13" a="1"/>
  <c r="N270" i="13" s="1"/>
  <c r="J581" i="13" a="1"/>
  <c r="J581" i="13" s="1"/>
  <c r="J572" i="13" a="1"/>
  <c r="J572" i="13" s="1"/>
  <c r="J573" i="13" a="1"/>
  <c r="J573" i="13" s="1"/>
  <c r="J576" i="13" a="1"/>
  <c r="J576" i="13" s="1"/>
  <c r="J577" i="13" a="1"/>
  <c r="J577" i="13" s="1"/>
  <c r="J580" i="13" a="1"/>
  <c r="J580" i="13" s="1"/>
  <c r="J536" i="13" a="1"/>
  <c r="J536" i="13" s="1"/>
  <c r="J535" i="13" a="1"/>
  <c r="J535" i="13" s="1"/>
  <c r="J544" i="13" a="1"/>
  <c r="J544" i="13" s="1"/>
  <c r="J543" i="13" a="1"/>
  <c r="J543" i="13" s="1"/>
  <c r="J559" i="13" a="1"/>
  <c r="J559" i="13" s="1"/>
  <c r="J568" i="13" a="1"/>
  <c r="J568" i="13" s="1"/>
  <c r="J524" i="13" a="1"/>
  <c r="J524" i="13" s="1"/>
  <c r="J552" i="13" a="1"/>
  <c r="J552" i="13" s="1"/>
  <c r="J551" i="13" a="1"/>
  <c r="J551" i="13" s="1"/>
  <c r="J540" i="13" a="1"/>
  <c r="J540" i="13" s="1"/>
  <c r="J528" i="13" a="1"/>
  <c r="J528" i="13" s="1"/>
  <c r="J527" i="13" a="1"/>
  <c r="J527" i="13" s="1"/>
  <c r="J539" i="13" a="1"/>
  <c r="J539" i="13" s="1"/>
  <c r="J555" i="13" a="1"/>
  <c r="J555" i="13" s="1"/>
  <c r="J548" i="13" a="1"/>
  <c r="J548" i="13" s="1"/>
  <c r="J560" i="13" a="1"/>
  <c r="J560" i="13" s="1"/>
  <c r="J547" i="13" a="1"/>
  <c r="J547" i="13" s="1"/>
  <c r="J523" i="13" a="1"/>
  <c r="J523" i="13" s="1"/>
  <c r="J532" i="13" a="1"/>
  <c r="J532" i="13" s="1"/>
  <c r="J506" i="13" a="1"/>
  <c r="J506" i="13" s="1"/>
  <c r="J519" i="13" a="1"/>
  <c r="J519" i="13" s="1"/>
  <c r="J486" i="13" a="1"/>
  <c r="J486" i="13" s="1"/>
  <c r="J531" i="13" a="1"/>
  <c r="J531" i="13" s="1"/>
  <c r="J511" i="13" a="1"/>
  <c r="J511" i="13" s="1"/>
  <c r="J510" i="13" a="1"/>
  <c r="J510" i="13" s="1"/>
  <c r="J498" i="13" a="1"/>
  <c r="J498" i="13" s="1"/>
  <c r="J502" i="13" a="1"/>
  <c r="J502" i="13" s="1"/>
  <c r="J494" i="13" a="1"/>
  <c r="J494" i="13" s="1"/>
  <c r="J490" i="13" a="1"/>
  <c r="J490" i="13" s="1"/>
  <c r="J471" i="13" a="1"/>
  <c r="J471" i="13" s="1"/>
  <c r="J461" i="13" a="1"/>
  <c r="J461" i="13" s="1"/>
  <c r="J460" i="13" a="1"/>
  <c r="J460" i="13" s="1"/>
  <c r="J483" i="13" a="1"/>
  <c r="J483" i="13" s="1"/>
  <c r="J470" i="13" a="1"/>
  <c r="J470" i="13" s="1"/>
  <c r="J445" i="13" a="1"/>
  <c r="J445" i="13" s="1"/>
  <c r="J444" i="13" a="1"/>
  <c r="J444" i="13" s="1"/>
  <c r="J479" i="13" a="1"/>
  <c r="J479" i="13" s="1"/>
  <c r="J449" i="13" a="1"/>
  <c r="J449" i="13" s="1"/>
  <c r="J448" i="13" a="1"/>
  <c r="J448" i="13" s="1"/>
  <c r="J478" i="13" a="1"/>
  <c r="J478" i="13" s="1"/>
  <c r="J474" i="13" a="1"/>
  <c r="J474" i="13" s="1"/>
  <c r="J453" i="13" a="1"/>
  <c r="J453" i="13" s="1"/>
  <c r="J457" i="13" a="1"/>
  <c r="J457" i="13" s="1"/>
  <c r="J456" i="13" a="1"/>
  <c r="J456" i="13" s="1"/>
  <c r="J482" i="13" a="1"/>
  <c r="J482" i="13" s="1"/>
  <c r="J433" i="13" a="1"/>
  <c r="J433" i="13" s="1"/>
  <c r="J432" i="13" a="1"/>
  <c r="J432" i="13" s="1"/>
  <c r="J437" i="13" a="1"/>
  <c r="J437" i="13" s="1"/>
  <c r="J436" i="13" a="1"/>
  <c r="J436" i="13" s="1"/>
  <c r="J452" i="13" a="1"/>
  <c r="J452" i="13" s="1"/>
  <c r="J441" i="13" a="1"/>
  <c r="J441" i="13" s="1"/>
  <c r="J440" i="13" a="1"/>
  <c r="J440" i="13" s="1"/>
  <c r="J415" i="13" a="1"/>
  <c r="J415" i="13" s="1"/>
  <c r="J404" i="13" a="1"/>
  <c r="J404" i="13" s="1"/>
  <c r="J403" i="13" a="1"/>
  <c r="J403" i="13" s="1"/>
  <c r="J428" i="13" a="1"/>
  <c r="J428" i="13" s="1"/>
  <c r="J416" i="13" a="1"/>
  <c r="J416" i="13" s="1"/>
  <c r="J429" i="13" a="1"/>
  <c r="J429" i="13" s="1"/>
  <c r="J408" i="13" a="1"/>
  <c r="J408" i="13" s="1"/>
  <c r="J407" i="13" a="1"/>
  <c r="J407" i="13" s="1"/>
  <c r="J425" i="13" a="1"/>
  <c r="J425" i="13" s="1"/>
  <c r="J412" i="13" a="1"/>
  <c r="J412" i="13" s="1"/>
  <c r="J411" i="13" a="1"/>
  <c r="J411" i="13" s="1"/>
  <c r="J424" i="13" a="1"/>
  <c r="J424" i="13" s="1"/>
  <c r="J400" i="13" a="1"/>
  <c r="J400" i="13" s="1"/>
  <c r="J363" i="13" a="1"/>
  <c r="J363" i="13" s="1"/>
  <c r="J388" i="13" a="1"/>
  <c r="J388" i="13" s="1"/>
  <c r="J387" i="13" a="1"/>
  <c r="J387" i="13" s="1"/>
  <c r="J367" i="13" a="1"/>
  <c r="J367" i="13" s="1"/>
  <c r="J366" i="13" a="1"/>
  <c r="J366" i="13" s="1"/>
  <c r="J392" i="13" a="1"/>
  <c r="J392" i="13" s="1"/>
  <c r="J391" i="13" a="1"/>
  <c r="J391" i="13" s="1"/>
  <c r="J396" i="13" a="1"/>
  <c r="J396" i="13" s="1"/>
  <c r="J375" i="13" a="1"/>
  <c r="J375" i="13" s="1"/>
  <c r="J374" i="13" a="1"/>
  <c r="J374" i="13" s="1"/>
  <c r="J378" i="13" a="1"/>
  <c r="J378" i="13" s="1"/>
  <c r="J395" i="13" a="1"/>
  <c r="J395" i="13" s="1"/>
  <c r="J399" i="13" a="1"/>
  <c r="J399" i="13" s="1"/>
  <c r="J338" i="13" a="1"/>
  <c r="J338" i="13" s="1"/>
  <c r="J337" i="13" a="1"/>
  <c r="J337" i="13" s="1"/>
  <c r="J362" i="13" a="1"/>
  <c r="J362" i="13" s="1"/>
  <c r="J317" i="13" a="1"/>
  <c r="J317" i="13" s="1"/>
  <c r="J316" i="13" a="1"/>
  <c r="J316" i="13" s="1"/>
  <c r="J371" i="13" a="1"/>
  <c r="J371" i="13" s="1"/>
  <c r="J342" i="13" a="1"/>
  <c r="J342" i="13" s="1"/>
  <c r="J341" i="13" a="1"/>
  <c r="J341" i="13" s="1"/>
  <c r="J320" i="13" a="1"/>
  <c r="J320" i="13" s="1"/>
  <c r="J370" i="13" a="1"/>
  <c r="J370" i="13" s="1"/>
  <c r="J346" i="13" a="1"/>
  <c r="J346" i="13" s="1"/>
  <c r="J345" i="13" a="1"/>
  <c r="J345" i="13" s="1"/>
  <c r="J354" i="13" a="1"/>
  <c r="J354" i="13" s="1"/>
  <c r="J353" i="13" a="1"/>
  <c r="J353" i="13" s="1"/>
  <c r="J349" i="13" a="1"/>
  <c r="J349" i="13" s="1"/>
  <c r="J267" i="13" a="1"/>
  <c r="J267" i="13" s="1"/>
  <c r="J266" i="13" a="1"/>
  <c r="J266" i="13" s="1"/>
  <c r="J292" i="13" a="1"/>
  <c r="J292" i="13" s="1"/>
  <c r="J291" i="13" a="1"/>
  <c r="J291" i="13" s="1"/>
  <c r="J328" i="13" a="1"/>
  <c r="J328" i="13" s="1"/>
  <c r="J271" i="13" a="1"/>
  <c r="J271" i="13" s="1"/>
  <c r="J270" i="13" a="1"/>
  <c r="J270" i="13" s="1"/>
  <c r="J296" i="13" a="1"/>
  <c r="J296" i="13" s="1"/>
  <c r="J295" i="13" a="1"/>
  <c r="J295" i="13" s="1"/>
  <c r="J325" i="13" a="1"/>
  <c r="J325" i="13" s="1"/>
  <c r="J300" i="13" a="1"/>
  <c r="J300" i="13" s="1"/>
  <c r="J299" i="13" a="1"/>
  <c r="J299" i="13" s="1"/>
  <c r="J309" i="13" a="1"/>
  <c r="J309" i="13" s="1"/>
  <c r="J308" i="13" a="1"/>
  <c r="J308" i="13" s="1"/>
  <c r="J324" i="13" a="1"/>
  <c r="J324" i="13" s="1"/>
  <c r="J313" i="13" a="1"/>
  <c r="J313" i="13" s="1"/>
  <c r="J312" i="13" a="1"/>
  <c r="J312" i="13" s="1"/>
  <c r="J288" i="13" a="1"/>
  <c r="J288" i="13" s="1"/>
  <c r="J283" i="13" a="1"/>
  <c r="J283" i="13" s="1"/>
  <c r="J242" i="13" a="1"/>
  <c r="J242" i="13" s="1"/>
  <c r="J241" i="13" a="1"/>
  <c r="J241" i="13" s="1"/>
  <c r="J329" i="13" a="1"/>
  <c r="J329" i="13" s="1"/>
  <c r="J262" i="13" a="1"/>
  <c r="J262" i="13" s="1"/>
  <c r="J259" i="13" a="1"/>
  <c r="J259" i="13" s="1"/>
  <c r="J287" i="13" a="1"/>
  <c r="J287" i="13" s="1"/>
  <c r="J263" i="13" a="1"/>
  <c r="J263" i="13" s="1"/>
  <c r="J251" i="13" a="1"/>
  <c r="J251" i="13" s="1"/>
  <c r="J250" i="13" a="1"/>
  <c r="J250" i="13" s="1"/>
  <c r="J284" i="13" a="1"/>
  <c r="J284" i="13" s="1"/>
  <c r="J350" i="13" a="1"/>
  <c r="J350" i="13" s="1"/>
  <c r="J280" i="13" a="1"/>
  <c r="J280" i="13" s="1"/>
  <c r="J279" i="13" a="1"/>
  <c r="J279" i="13" s="1"/>
  <c r="J258" i="13" a="1"/>
  <c r="J258" i="13" s="1"/>
  <c r="Z572" i="13" a="1"/>
  <c r="Z572" i="13" s="1"/>
  <c r="Z573" i="13" a="1"/>
  <c r="Z573" i="13" s="1"/>
  <c r="Z576" i="13" a="1"/>
  <c r="Z576" i="13" s="1"/>
  <c r="Z577" i="13" a="1"/>
  <c r="Z577" i="13" s="1"/>
  <c r="Z580" i="13" a="1"/>
  <c r="Z580" i="13" s="1"/>
  <c r="Z559" i="13" a="1"/>
  <c r="Z559" i="13" s="1"/>
  <c r="Z536" i="13" a="1"/>
  <c r="Z536" i="13" s="1"/>
  <c r="Z535" i="13" a="1"/>
  <c r="Z535" i="13" s="1"/>
  <c r="Z544" i="13" a="1"/>
  <c r="Z544" i="13" s="1"/>
  <c r="Z543" i="13" a="1"/>
  <c r="Z543" i="13" s="1"/>
  <c r="Z524" i="13" a="1"/>
  <c r="Z524" i="13" s="1"/>
  <c r="Z523" i="13" a="1"/>
  <c r="Z523" i="13" s="1"/>
  <c r="Z551" i="13" a="1"/>
  <c r="Z551" i="13" s="1"/>
  <c r="Z568" i="13" a="1"/>
  <c r="Z568" i="13" s="1"/>
  <c r="Z528" i="13" a="1"/>
  <c r="Z528" i="13" s="1"/>
  <c r="Z527" i="13" a="1"/>
  <c r="Z527" i="13" s="1"/>
  <c r="Z548" i="13" a="1"/>
  <c r="Z548" i="13" s="1"/>
  <c r="Z532" i="13" a="1"/>
  <c r="Z532" i="13" s="1"/>
  <c r="Z555" i="13" a="1"/>
  <c r="Z555" i="13" s="1"/>
  <c r="Z506" i="13" a="1"/>
  <c r="Z506" i="13" s="1"/>
  <c r="Z531" i="13" a="1"/>
  <c r="Z531" i="13" s="1"/>
  <c r="Z540" i="13" a="1"/>
  <c r="Z540" i="13" s="1"/>
  <c r="Z547" i="13" a="1"/>
  <c r="Z547" i="13" s="1"/>
  <c r="Z539" i="13" a="1"/>
  <c r="Z539" i="13" s="1"/>
  <c r="Z519" i="13" a="1"/>
  <c r="Z519" i="13" s="1"/>
  <c r="Z502" i="13" a="1"/>
  <c r="Z502" i="13" s="1"/>
  <c r="Z486" i="13" a="1"/>
  <c r="Z486" i="13" s="1"/>
  <c r="Z510" i="13" a="1"/>
  <c r="Z510" i="13" s="1"/>
  <c r="Z498" i="13" a="1"/>
  <c r="Z498" i="13" s="1"/>
  <c r="Z494" i="13" a="1"/>
  <c r="Z494" i="13" s="1"/>
  <c r="Z474" i="13" a="1"/>
  <c r="Z474" i="13" s="1"/>
  <c r="Z461" i="13" a="1"/>
  <c r="Z461" i="13" s="1"/>
  <c r="Z460" i="13" a="1"/>
  <c r="Z460" i="13" s="1"/>
  <c r="Z482" i="13" a="1"/>
  <c r="Z482" i="13" s="1"/>
  <c r="Z441" i="13" a="1"/>
  <c r="Z441" i="13" s="1"/>
  <c r="Z479" i="13" a="1"/>
  <c r="Z479" i="13" s="1"/>
  <c r="Z445" i="13" a="1"/>
  <c r="Z445" i="13" s="1"/>
  <c r="Z444" i="13" a="1"/>
  <c r="Z444" i="13" s="1"/>
  <c r="Z471" i="13" a="1"/>
  <c r="Z471" i="13" s="1"/>
  <c r="Z478" i="13" a="1"/>
  <c r="Z478" i="13" s="1"/>
  <c r="Z449" i="13" a="1"/>
  <c r="Z449" i="13" s="1"/>
  <c r="Z448" i="13" a="1"/>
  <c r="Z448" i="13" s="1"/>
  <c r="Z470" i="13" a="1"/>
  <c r="Z470" i="13" s="1"/>
  <c r="Z453" i="13" a="1"/>
  <c r="Z453" i="13" s="1"/>
  <c r="Z457" i="13" a="1"/>
  <c r="Z457" i="13" s="1"/>
  <c r="Z456" i="13" a="1"/>
  <c r="Z456" i="13" s="1"/>
  <c r="Z490" i="13" a="1"/>
  <c r="Z490" i="13" s="1"/>
  <c r="Z433" i="13" a="1"/>
  <c r="Z433" i="13" s="1"/>
  <c r="Z432" i="13" a="1"/>
  <c r="Z432" i="13" s="1"/>
  <c r="Z437" i="13" a="1"/>
  <c r="Z437" i="13" s="1"/>
  <c r="Z436" i="13" a="1"/>
  <c r="Z436" i="13" s="1"/>
  <c r="Z452" i="13" a="1"/>
  <c r="Z452" i="13" s="1"/>
  <c r="Z440" i="13" a="1"/>
  <c r="Z440" i="13" s="1"/>
  <c r="Z429" i="13" a="1"/>
  <c r="Z429" i="13" s="1"/>
  <c r="Z404" i="13" a="1"/>
  <c r="Z404" i="13" s="1"/>
  <c r="Z403" i="13" a="1"/>
  <c r="Z403" i="13" s="1"/>
  <c r="Z428" i="13" a="1"/>
  <c r="Z428" i="13" s="1"/>
  <c r="Z425" i="13" a="1"/>
  <c r="Z425" i="13" s="1"/>
  <c r="Z408" i="13" a="1"/>
  <c r="Z408" i="13" s="1"/>
  <c r="Z407" i="13" a="1"/>
  <c r="Z407" i="13" s="1"/>
  <c r="Z412" i="13" a="1"/>
  <c r="Z412" i="13" s="1"/>
  <c r="Z411" i="13" a="1"/>
  <c r="Z411" i="13" s="1"/>
  <c r="Z416" i="13" a="1"/>
  <c r="Z416" i="13" s="1"/>
  <c r="Z363" i="13" a="1"/>
  <c r="Z363" i="13" s="1"/>
  <c r="Z396" i="13" a="1"/>
  <c r="Z396" i="13" s="1"/>
  <c r="Z388" i="13" a="1"/>
  <c r="Z388" i="13" s="1"/>
  <c r="Z387" i="13" a="1"/>
  <c r="Z387" i="13" s="1"/>
  <c r="Z400" i="13" a="1"/>
  <c r="Z400" i="13" s="1"/>
  <c r="Z366" i="13" a="1"/>
  <c r="Z366" i="13" s="1"/>
  <c r="Z392" i="13" a="1"/>
  <c r="Z392" i="13" s="1"/>
  <c r="Z391" i="13" a="1"/>
  <c r="Z391" i="13" s="1"/>
  <c r="Z415" i="13" a="1"/>
  <c r="Z415" i="13" s="1"/>
  <c r="Z395" i="13" a="1"/>
  <c r="Z395" i="13" s="1"/>
  <c r="Z374" i="13" a="1"/>
  <c r="Z374" i="13" s="1"/>
  <c r="Z424" i="13" a="1"/>
  <c r="Z424" i="13" s="1"/>
  <c r="Z379" i="13" a="1"/>
  <c r="Z379" i="13" s="1"/>
  <c r="Z378" i="13" a="1"/>
  <c r="Z378" i="13" s="1"/>
  <c r="Z399" i="13" a="1"/>
  <c r="Z399" i="13" s="1"/>
  <c r="Z338" i="13" a="1"/>
  <c r="Z338" i="13" s="1"/>
  <c r="Z337" i="13" a="1"/>
  <c r="Z337" i="13" s="1"/>
  <c r="Z316" i="13" a="1"/>
  <c r="Z316" i="13" s="1"/>
  <c r="Z342" i="13" a="1"/>
  <c r="Z342" i="13" s="1"/>
  <c r="Z341" i="13" a="1"/>
  <c r="Z341" i="13" s="1"/>
  <c r="Z370" i="13" a="1"/>
  <c r="Z370" i="13" s="1"/>
  <c r="Z362" i="13" a="1"/>
  <c r="Z362" i="13" s="1"/>
  <c r="Z320" i="13" a="1"/>
  <c r="Z320" i="13" s="1"/>
  <c r="Z346" i="13" a="1"/>
  <c r="Z346" i="13" s="1"/>
  <c r="Z345" i="13" a="1"/>
  <c r="Z345" i="13" s="1"/>
  <c r="Z354" i="13" a="1"/>
  <c r="Z354" i="13" s="1"/>
  <c r="Z353" i="13" a="1"/>
  <c r="Z353" i="13" s="1"/>
  <c r="Z267" i="13" a="1"/>
  <c r="Z267" i="13" s="1"/>
  <c r="Z266" i="13" a="1"/>
  <c r="Z266" i="13" s="1"/>
  <c r="Z292" i="13" a="1"/>
  <c r="Z292" i="13" s="1"/>
  <c r="Z291" i="13" a="1"/>
  <c r="Z291" i="13" s="1"/>
  <c r="Z324" i="13" a="1"/>
  <c r="Z324" i="13" s="1"/>
  <c r="Z271" i="13" a="1"/>
  <c r="Z271" i="13" s="1"/>
  <c r="Z270" i="13" a="1"/>
  <c r="Z270" i="13" s="1"/>
  <c r="Z296" i="13" a="1"/>
  <c r="Z296" i="13" s="1"/>
  <c r="Z295" i="13" a="1"/>
  <c r="Z295" i="13" s="1"/>
  <c r="Z328" i="13" a="1"/>
  <c r="Z328" i="13" s="1"/>
  <c r="Z300" i="13" a="1"/>
  <c r="Z300" i="13" s="1"/>
  <c r="Z299" i="13" a="1"/>
  <c r="Z299" i="13" s="1"/>
  <c r="Z350" i="13" a="1"/>
  <c r="Z350" i="13" s="1"/>
  <c r="Z325" i="13" a="1"/>
  <c r="Z325" i="13" s="1"/>
  <c r="Z308" i="13" a="1"/>
  <c r="Z308" i="13" s="1"/>
  <c r="Z349" i="13" a="1"/>
  <c r="Z349" i="13" s="1"/>
  <c r="Z329" i="13" a="1"/>
  <c r="Z329" i="13" s="1"/>
  <c r="Z312" i="13" a="1"/>
  <c r="Z312" i="13" s="1"/>
  <c r="Z242" i="13" a="1"/>
  <c r="Z242" i="13" s="1"/>
  <c r="Z241" i="13" a="1"/>
  <c r="Z241" i="13" s="1"/>
  <c r="Z288" i="13" a="1"/>
  <c r="Z288" i="13" s="1"/>
  <c r="Z263" i="13" a="1"/>
  <c r="Z263" i="13" s="1"/>
  <c r="Z283" i="13" a="1"/>
  <c r="Z283" i="13" s="1"/>
  <c r="Z251" i="13" a="1"/>
  <c r="Z251" i="13" s="1"/>
  <c r="Z250" i="13" a="1"/>
  <c r="Z250" i="13" s="1"/>
  <c r="Z287" i="13" a="1"/>
  <c r="Z287" i="13" s="1"/>
  <c r="Z280" i="13" a="1"/>
  <c r="Z280" i="13" s="1"/>
  <c r="Z279" i="13" a="1"/>
  <c r="Z279" i="13" s="1"/>
  <c r="Z284" i="13" a="1"/>
  <c r="Z284" i="13" s="1"/>
  <c r="Z262" i="13" a="1"/>
  <c r="Z262" i="13" s="1"/>
  <c r="Z229" i="13" a="1"/>
  <c r="Z229" i="13" s="1"/>
  <c r="Y233" i="13" a="1"/>
  <c r="Y233" i="13" s="1"/>
  <c r="I250" i="13" a="1"/>
  <c r="I250" i="13" s="1"/>
  <c r="Q251" i="13" a="1"/>
  <c r="Q251" i="13" s="1"/>
  <c r="Z258" i="13" a="1"/>
  <c r="Z258" i="13" s="1"/>
  <c r="K573" i="13" a="1"/>
  <c r="K573" i="13" s="1"/>
  <c r="K560" i="13" a="1"/>
  <c r="K560" i="13" s="1"/>
  <c r="K577" i="13" a="1"/>
  <c r="K577" i="13" s="1"/>
  <c r="K569" i="13" a="1"/>
  <c r="K569" i="13" s="1"/>
  <c r="K568" i="13" a="1"/>
  <c r="K568" i="13" s="1"/>
  <c r="K580" i="13" a="1"/>
  <c r="K580" i="13" s="1"/>
  <c r="K581" i="13" a="1"/>
  <c r="K581" i="13" s="1"/>
  <c r="K572" i="13" a="1"/>
  <c r="K572" i="13" s="1"/>
  <c r="K540" i="13" a="1"/>
  <c r="K540" i="13" s="1"/>
  <c r="K539" i="13" a="1"/>
  <c r="K539" i="13" s="1"/>
  <c r="K559" i="13" a="1"/>
  <c r="K559" i="13" s="1"/>
  <c r="K528" i="13" a="1"/>
  <c r="K528" i="13" s="1"/>
  <c r="K527" i="13" a="1"/>
  <c r="K527" i="13" s="1"/>
  <c r="K544" i="13" a="1"/>
  <c r="K544" i="13" s="1"/>
  <c r="K543" i="13" a="1"/>
  <c r="K543" i="13" s="1"/>
  <c r="K532" i="13" a="1"/>
  <c r="K532" i="13" s="1"/>
  <c r="K531" i="13" a="1"/>
  <c r="K531" i="13" s="1"/>
  <c r="K555" i="13" a="1"/>
  <c r="K555" i="13" s="1"/>
  <c r="K548" i="13" a="1"/>
  <c r="K548" i="13" s="1"/>
  <c r="K576" i="13" a="1"/>
  <c r="K576" i="13" s="1"/>
  <c r="K556" i="13" a="1"/>
  <c r="K556" i="13" s="1"/>
  <c r="K535" i="13" a="1"/>
  <c r="K535" i="13" s="1"/>
  <c r="K523" i="13" a="1"/>
  <c r="K523" i="13" s="1"/>
  <c r="K551" i="13" a="1"/>
  <c r="K551" i="13" s="1"/>
  <c r="K524" i="13" a="1"/>
  <c r="K524" i="13" s="1"/>
  <c r="K547" i="13" a="1"/>
  <c r="K547" i="13" s="1"/>
  <c r="K507" i="13" a="1"/>
  <c r="K507" i="13" s="1"/>
  <c r="K506" i="13" a="1"/>
  <c r="K506" i="13" s="1"/>
  <c r="K536" i="13" a="1"/>
  <c r="K536" i="13" s="1"/>
  <c r="K511" i="13" a="1"/>
  <c r="K511" i="13" s="1"/>
  <c r="K510" i="13" a="1"/>
  <c r="K510" i="13" s="1"/>
  <c r="K552" i="13" a="1"/>
  <c r="K552" i="13" s="1"/>
  <c r="K519" i="13" a="1"/>
  <c r="K519" i="13" s="1"/>
  <c r="K520" i="13" a="1"/>
  <c r="K520" i="13" s="1"/>
  <c r="K503" i="13" a="1"/>
  <c r="K503" i="13" s="1"/>
  <c r="K498" i="13" a="1"/>
  <c r="K498" i="13" s="1"/>
  <c r="K502" i="13" a="1"/>
  <c r="K502" i="13" s="1"/>
  <c r="K491" i="13" a="1"/>
  <c r="K491" i="13" s="1"/>
  <c r="K494" i="13" a="1"/>
  <c r="K494" i="13" s="1"/>
  <c r="K490" i="13" a="1"/>
  <c r="K490" i="13" s="1"/>
  <c r="K486" i="13" a="1"/>
  <c r="K486" i="13" s="1"/>
  <c r="K470" i="13" a="1"/>
  <c r="K470" i="13" s="1"/>
  <c r="K445" i="13" a="1"/>
  <c r="K445" i="13" s="1"/>
  <c r="K479" i="13" a="1"/>
  <c r="K479" i="13" s="1"/>
  <c r="K449" i="13" a="1"/>
  <c r="K449" i="13" s="1"/>
  <c r="K448" i="13" a="1"/>
  <c r="K448" i="13" s="1"/>
  <c r="K478" i="13" a="1"/>
  <c r="K478" i="13" s="1"/>
  <c r="K474" i="13" a="1"/>
  <c r="K474" i="13" s="1"/>
  <c r="K453" i="13" a="1"/>
  <c r="K453" i="13" s="1"/>
  <c r="K482" i="13" a="1"/>
  <c r="K482" i="13" s="1"/>
  <c r="K471" i="13" a="1"/>
  <c r="K471" i="13" s="1"/>
  <c r="K461" i="13" a="1"/>
  <c r="K461" i="13" s="1"/>
  <c r="K460" i="13" a="1"/>
  <c r="K460" i="13" s="1"/>
  <c r="K437" i="13" a="1"/>
  <c r="K437" i="13" s="1"/>
  <c r="K436" i="13" a="1"/>
  <c r="K436" i="13" s="1"/>
  <c r="K452" i="13" a="1"/>
  <c r="K452" i="13" s="1"/>
  <c r="K416" i="13" a="1"/>
  <c r="K416" i="13" s="1"/>
  <c r="K415" i="13" a="1"/>
  <c r="K415" i="13" s="1"/>
  <c r="K441" i="13" a="1"/>
  <c r="K441" i="13" s="1"/>
  <c r="K440" i="13" a="1"/>
  <c r="K440" i="13" s="1"/>
  <c r="K457" i="13" a="1"/>
  <c r="K457" i="13" s="1"/>
  <c r="K456" i="13" a="1"/>
  <c r="K456" i="13" s="1"/>
  <c r="K444" i="13" a="1"/>
  <c r="K444" i="13" s="1"/>
  <c r="K432" i="13" a="1"/>
  <c r="K432" i="13" s="1"/>
  <c r="K404" i="13" a="1"/>
  <c r="K404" i="13" s="1"/>
  <c r="K403" i="13" a="1"/>
  <c r="K403" i="13" s="1"/>
  <c r="K428" i="13" a="1"/>
  <c r="K428" i="13" s="1"/>
  <c r="K429" i="13" a="1"/>
  <c r="K429" i="13" s="1"/>
  <c r="K408" i="13" a="1"/>
  <c r="K408" i="13" s="1"/>
  <c r="K407" i="13" a="1"/>
  <c r="K407" i="13" s="1"/>
  <c r="K425" i="13" a="1"/>
  <c r="K425" i="13" s="1"/>
  <c r="K412" i="13" a="1"/>
  <c r="K412" i="13" s="1"/>
  <c r="K411" i="13" a="1"/>
  <c r="K411" i="13" s="1"/>
  <c r="K424" i="13" a="1"/>
  <c r="K424" i="13" s="1"/>
  <c r="K367" i="13" a="1"/>
  <c r="K367" i="13" s="1"/>
  <c r="K366" i="13" a="1"/>
  <c r="K366" i="13" s="1"/>
  <c r="K392" i="13" a="1"/>
  <c r="K392" i="13" s="1"/>
  <c r="K391" i="13" a="1"/>
  <c r="K391" i="13" s="1"/>
  <c r="K396" i="13" a="1"/>
  <c r="K396" i="13" s="1"/>
  <c r="K371" i="13" a="1"/>
  <c r="K371" i="13" s="1"/>
  <c r="K370" i="13" a="1"/>
  <c r="K370" i="13" s="1"/>
  <c r="K375" i="13" a="1"/>
  <c r="K375" i="13" s="1"/>
  <c r="K374" i="13" a="1"/>
  <c r="K374" i="13" s="1"/>
  <c r="K379" i="13" a="1"/>
  <c r="K379" i="13" s="1"/>
  <c r="K378" i="13" a="1"/>
  <c r="K378" i="13" s="1"/>
  <c r="K399" i="13" a="1"/>
  <c r="K399" i="13" s="1"/>
  <c r="K400" i="13" a="1"/>
  <c r="K400" i="13" s="1"/>
  <c r="K338" i="13" a="1"/>
  <c r="K338" i="13" s="1"/>
  <c r="K337" i="13" a="1"/>
  <c r="K337" i="13" s="1"/>
  <c r="K362" i="13" a="1"/>
  <c r="K362" i="13" s="1"/>
  <c r="K317" i="13" a="1"/>
  <c r="K317" i="13" s="1"/>
  <c r="K316" i="13" a="1"/>
  <c r="K316" i="13" s="1"/>
  <c r="K342" i="13" a="1"/>
  <c r="K342" i="13" s="1"/>
  <c r="K341" i="13" a="1"/>
  <c r="K341" i="13" s="1"/>
  <c r="K433" i="13" a="1"/>
  <c r="K433" i="13" s="1"/>
  <c r="K320" i="13" a="1"/>
  <c r="K320" i="13" s="1"/>
  <c r="K346" i="13" a="1"/>
  <c r="K346" i="13" s="1"/>
  <c r="K345" i="13" a="1"/>
  <c r="K345" i="13" s="1"/>
  <c r="K387" i="13" a="1"/>
  <c r="K387" i="13" s="1"/>
  <c r="K325" i="13" a="1"/>
  <c r="K325" i="13" s="1"/>
  <c r="K324" i="13" a="1"/>
  <c r="K324" i="13" s="1"/>
  <c r="K350" i="13" a="1"/>
  <c r="K350" i="13" s="1"/>
  <c r="K349" i="13" a="1"/>
  <c r="K349" i="13" s="1"/>
  <c r="K354" i="13" a="1"/>
  <c r="K354" i="13" s="1"/>
  <c r="K353" i="13" a="1"/>
  <c r="K353" i="13" s="1"/>
  <c r="K395" i="13" a="1"/>
  <c r="K395" i="13" s="1"/>
  <c r="K363" i="13" a="1"/>
  <c r="K363" i="13" s="1"/>
  <c r="K388" i="13" a="1"/>
  <c r="K388" i="13" s="1"/>
  <c r="K328" i="13" a="1"/>
  <c r="K328" i="13" s="1"/>
  <c r="K271" i="13" a="1"/>
  <c r="K271" i="13" s="1"/>
  <c r="K270" i="13" a="1"/>
  <c r="K270" i="13" s="1"/>
  <c r="K296" i="13" a="1"/>
  <c r="K296" i="13" s="1"/>
  <c r="K295" i="13" a="1"/>
  <c r="K295" i="13" s="1"/>
  <c r="K300" i="13" a="1"/>
  <c r="K300" i="13" s="1"/>
  <c r="K299" i="13" a="1"/>
  <c r="K299" i="13" s="1"/>
  <c r="K280" i="13" a="1"/>
  <c r="K280" i="13" s="1"/>
  <c r="K279" i="13" a="1"/>
  <c r="K279" i="13" s="1"/>
  <c r="K329" i="13" a="1"/>
  <c r="K329" i="13" s="1"/>
  <c r="K284" i="13" a="1"/>
  <c r="K284" i="13" s="1"/>
  <c r="K283" i="13" a="1"/>
  <c r="K283" i="13" s="1"/>
  <c r="K309" i="13" a="1"/>
  <c r="K309" i="13" s="1"/>
  <c r="K308" i="13" a="1"/>
  <c r="K308" i="13" s="1"/>
  <c r="K313" i="13" a="1"/>
  <c r="K313" i="13" s="1"/>
  <c r="K312" i="13" a="1"/>
  <c r="K312" i="13" s="1"/>
  <c r="K267" i="13" a="1"/>
  <c r="K267" i="13" s="1"/>
  <c r="K266" i="13" a="1"/>
  <c r="K266" i="13" s="1"/>
  <c r="K242" i="13" a="1"/>
  <c r="K242" i="13" s="1"/>
  <c r="K241" i="13" a="1"/>
  <c r="K241" i="13" s="1"/>
  <c r="K262" i="13" a="1"/>
  <c r="K262" i="13" s="1"/>
  <c r="K292" i="13" a="1"/>
  <c r="K292" i="13" s="1"/>
  <c r="K259" i="13" a="1"/>
  <c r="K259" i="13" s="1"/>
  <c r="K226" i="13" a="1"/>
  <c r="K226" i="13" s="1"/>
  <c r="K225" i="13" a="1"/>
  <c r="K225" i="13" s="1"/>
  <c r="K287" i="13" a="1"/>
  <c r="K287" i="13" s="1"/>
  <c r="K263" i="13" a="1"/>
  <c r="K263" i="13" s="1"/>
  <c r="K251" i="13" a="1"/>
  <c r="K251" i="13" s="1"/>
  <c r="K250" i="13" a="1"/>
  <c r="K250" i="13" s="1"/>
  <c r="K255" i="13" a="1"/>
  <c r="K255" i="13" s="1"/>
  <c r="K254" i="13" a="1"/>
  <c r="K254" i="13" s="1"/>
  <c r="K291" i="13" a="1"/>
  <c r="K291" i="13" s="1"/>
  <c r="K258" i="13" a="1"/>
  <c r="K258" i="13" s="1"/>
  <c r="K288" i="13" a="1"/>
  <c r="K288" i="13" s="1"/>
  <c r="AE584" i="13" a="1"/>
  <c r="AE584" i="13" s="1"/>
  <c r="I221" i="13" a="1"/>
  <c r="I221" i="13" s="1"/>
  <c r="Y221" i="13" a="1"/>
  <c r="Y221" i="13" s="1"/>
  <c r="I222" i="13" a="1"/>
  <c r="I222" i="13" s="1"/>
  <c r="J226" i="13" a="1"/>
  <c r="J226" i="13" s="1"/>
  <c r="O233" i="13" a="1"/>
  <c r="O233" i="13" s="1"/>
  <c r="O234" i="13" a="1"/>
  <c r="O234" i="13" s="1"/>
  <c r="I237" i="13" a="1"/>
  <c r="I237" i="13" s="1"/>
  <c r="S238" i="13" a="1"/>
  <c r="S238" i="13" s="1"/>
  <c r="AO241" i="13" a="1"/>
  <c r="AO241" i="13" s="1"/>
  <c r="N267" i="13" a="1"/>
  <c r="N267" i="13" s="1"/>
  <c r="L576" i="13" a="1"/>
  <c r="L576" i="13" s="1"/>
  <c r="L580" i="13" a="1"/>
  <c r="L580" i="13" s="1"/>
  <c r="L572" i="13" a="1"/>
  <c r="L572" i="13" s="1"/>
  <c r="L573" i="13" a="1"/>
  <c r="L573" i="13" s="1"/>
  <c r="L544" i="13" a="1"/>
  <c r="L544" i="13" s="1"/>
  <c r="L543" i="13" a="1"/>
  <c r="L543" i="13" s="1"/>
  <c r="L559" i="13" a="1"/>
  <c r="L559" i="13" s="1"/>
  <c r="L548" i="13" a="1"/>
  <c r="L548" i="13" s="1"/>
  <c r="L547" i="13" a="1"/>
  <c r="L547" i="13" s="1"/>
  <c r="L560" i="13" a="1"/>
  <c r="L560" i="13" s="1"/>
  <c r="L568" i="13" a="1"/>
  <c r="L568" i="13" s="1"/>
  <c r="L540" i="13" a="1"/>
  <c r="L540" i="13" s="1"/>
  <c r="L532" i="13" a="1"/>
  <c r="L532" i="13" s="1"/>
  <c r="L531" i="13" a="1"/>
  <c r="L531" i="13" s="1"/>
  <c r="L555" i="13" a="1"/>
  <c r="L555" i="13" s="1"/>
  <c r="L539" i="13" a="1"/>
  <c r="L539" i="13" s="1"/>
  <c r="L535" i="13" a="1"/>
  <c r="L535" i="13" s="1"/>
  <c r="L577" i="13" a="1"/>
  <c r="L577" i="13" s="1"/>
  <c r="L552" i="13" a="1"/>
  <c r="L552" i="13" s="1"/>
  <c r="L551" i="13" a="1"/>
  <c r="L551" i="13" s="1"/>
  <c r="L527" i="13" a="1"/>
  <c r="L527" i="13" s="1"/>
  <c r="L506" i="13" a="1"/>
  <c r="L506" i="13" s="1"/>
  <c r="L536" i="13" a="1"/>
  <c r="L536" i="13" s="1"/>
  <c r="L510" i="13" a="1"/>
  <c r="L510" i="13" s="1"/>
  <c r="L528" i="13" a="1"/>
  <c r="L528" i="13" s="1"/>
  <c r="L524" i="13" a="1"/>
  <c r="L524" i="13" s="1"/>
  <c r="L523" i="13" a="1"/>
  <c r="L523" i="13" s="1"/>
  <c r="L519" i="13" a="1"/>
  <c r="L519" i="13" s="1"/>
  <c r="L494" i="13" a="1"/>
  <c r="L494" i="13" s="1"/>
  <c r="L498" i="13" a="1"/>
  <c r="L498" i="13" s="1"/>
  <c r="L502" i="13" a="1"/>
  <c r="L502" i="13" s="1"/>
  <c r="L471" i="13" a="1"/>
  <c r="L471" i="13" s="1"/>
  <c r="L470" i="13" a="1"/>
  <c r="L470" i="13" s="1"/>
  <c r="L490" i="13" a="1"/>
  <c r="L490" i="13" s="1"/>
  <c r="L486" i="13" a="1"/>
  <c r="L486" i="13" s="1"/>
  <c r="L479" i="13" a="1"/>
  <c r="L479" i="13" s="1"/>
  <c r="L478" i="13" a="1"/>
  <c r="L478" i="13" s="1"/>
  <c r="L445" i="13" a="1"/>
  <c r="L445" i="13" s="1"/>
  <c r="L444" i="13" a="1"/>
  <c r="L444" i="13" s="1"/>
  <c r="L449" i="13" a="1"/>
  <c r="L449" i="13" s="1"/>
  <c r="L448" i="13" a="1"/>
  <c r="L448" i="13" s="1"/>
  <c r="L474" i="13" a="1"/>
  <c r="L474" i="13" s="1"/>
  <c r="L453" i="13" a="1"/>
  <c r="L453" i="13" s="1"/>
  <c r="L452" i="13" a="1"/>
  <c r="L452" i="13" s="1"/>
  <c r="L461" i="13" a="1"/>
  <c r="L461" i="13" s="1"/>
  <c r="L460" i="13" a="1"/>
  <c r="L460" i="13" s="1"/>
  <c r="L437" i="13" a="1"/>
  <c r="L437" i="13" s="1"/>
  <c r="L436" i="13" a="1"/>
  <c r="L436" i="13" s="1"/>
  <c r="L416" i="13" a="1"/>
  <c r="L416" i="13" s="1"/>
  <c r="L415" i="13" a="1"/>
  <c r="L415" i="13" s="1"/>
  <c r="L441" i="13" a="1"/>
  <c r="L441" i="13" s="1"/>
  <c r="L440" i="13" a="1"/>
  <c r="L440" i="13" s="1"/>
  <c r="L457" i="13" a="1"/>
  <c r="L457" i="13" s="1"/>
  <c r="L456" i="13" a="1"/>
  <c r="L456" i="13" s="1"/>
  <c r="L425" i="13" a="1"/>
  <c r="L425" i="13" s="1"/>
  <c r="L433" i="13" a="1"/>
  <c r="L433" i="13" s="1"/>
  <c r="L429" i="13" a="1"/>
  <c r="L429" i="13" s="1"/>
  <c r="L482" i="13" a="1"/>
  <c r="L482" i="13" s="1"/>
  <c r="L408" i="13" a="1"/>
  <c r="L408" i="13" s="1"/>
  <c r="L407" i="13" a="1"/>
  <c r="L407" i="13" s="1"/>
  <c r="L412" i="13" a="1"/>
  <c r="L412" i="13" s="1"/>
  <c r="L411" i="13" a="1"/>
  <c r="L411" i="13" s="1"/>
  <c r="L396" i="13" a="1"/>
  <c r="L396" i="13" s="1"/>
  <c r="L395" i="13" a="1"/>
  <c r="L395" i="13" s="1"/>
  <c r="L424" i="13" a="1"/>
  <c r="L424" i="13" s="1"/>
  <c r="L404" i="13" a="1"/>
  <c r="L404" i="13" s="1"/>
  <c r="L392" i="13" a="1"/>
  <c r="L392" i="13" s="1"/>
  <c r="L391" i="13" a="1"/>
  <c r="L391" i="13" s="1"/>
  <c r="L371" i="13" a="1"/>
  <c r="L371" i="13" s="1"/>
  <c r="L432" i="13" a="1"/>
  <c r="L432" i="13" s="1"/>
  <c r="L374" i="13" a="1"/>
  <c r="L374" i="13" s="1"/>
  <c r="L379" i="13" a="1"/>
  <c r="L379" i="13" s="1"/>
  <c r="L378" i="13" a="1"/>
  <c r="L378" i="13" s="1"/>
  <c r="L403" i="13" a="1"/>
  <c r="L403" i="13" s="1"/>
  <c r="L400" i="13" a="1"/>
  <c r="L400" i="13" s="1"/>
  <c r="L388" i="13" a="1"/>
  <c r="L388" i="13" s="1"/>
  <c r="L387" i="13" a="1"/>
  <c r="L387" i="13" s="1"/>
  <c r="L428" i="13" a="1"/>
  <c r="L428" i="13" s="1"/>
  <c r="L316" i="13" a="1"/>
  <c r="L316" i="13" s="1"/>
  <c r="L342" i="13" a="1"/>
  <c r="L342" i="13" s="1"/>
  <c r="L341" i="13" a="1"/>
  <c r="L341" i="13" s="1"/>
  <c r="L320" i="13" a="1"/>
  <c r="L320" i="13" s="1"/>
  <c r="L346" i="13" a="1"/>
  <c r="L346" i="13" s="1"/>
  <c r="L345" i="13" a="1"/>
  <c r="L345" i="13" s="1"/>
  <c r="L325" i="13" a="1"/>
  <c r="L325" i="13" s="1"/>
  <c r="L324" i="13" a="1"/>
  <c r="L324" i="13" s="1"/>
  <c r="L370" i="13" a="1"/>
  <c r="L370" i="13" s="1"/>
  <c r="L366" i="13" a="1"/>
  <c r="L366" i="13" s="1"/>
  <c r="L350" i="13" a="1"/>
  <c r="L350" i="13" s="1"/>
  <c r="L349" i="13" a="1"/>
  <c r="L349" i="13" s="1"/>
  <c r="L329" i="13" a="1"/>
  <c r="L329" i="13" s="1"/>
  <c r="L328" i="13" a="1"/>
  <c r="L328" i="13" s="1"/>
  <c r="L354" i="13" a="1"/>
  <c r="L354" i="13" s="1"/>
  <c r="L353" i="13" a="1"/>
  <c r="L353" i="13" s="1"/>
  <c r="L363" i="13" a="1"/>
  <c r="L363" i="13" s="1"/>
  <c r="L399" i="13" a="1"/>
  <c r="L399" i="13" s="1"/>
  <c r="L362" i="13" a="1"/>
  <c r="L362" i="13" s="1"/>
  <c r="L296" i="13" a="1"/>
  <c r="L296" i="13" s="1"/>
  <c r="L295" i="13" a="1"/>
  <c r="L295" i="13" s="1"/>
  <c r="L338" i="13" a="1"/>
  <c r="L338" i="13" s="1"/>
  <c r="L300" i="13" a="1"/>
  <c r="L300" i="13" s="1"/>
  <c r="L299" i="13" a="1"/>
  <c r="L299" i="13" s="1"/>
  <c r="L367" i="13" a="1"/>
  <c r="L367" i="13" s="1"/>
  <c r="L280" i="13" a="1"/>
  <c r="L280" i="13" s="1"/>
  <c r="L279" i="13" a="1"/>
  <c r="L279" i="13" s="1"/>
  <c r="L284" i="13" a="1"/>
  <c r="L284" i="13" s="1"/>
  <c r="L283" i="13" a="1"/>
  <c r="L283" i="13" s="1"/>
  <c r="L309" i="13" a="1"/>
  <c r="L309" i="13" s="1"/>
  <c r="L308" i="13" a="1"/>
  <c r="L308" i="13" s="1"/>
  <c r="L337" i="13" a="1"/>
  <c r="L337" i="13" s="1"/>
  <c r="L262" i="13" a="1"/>
  <c r="L262" i="13" s="1"/>
  <c r="L292" i="13" a="1"/>
  <c r="L292" i="13" s="1"/>
  <c r="L259" i="13" a="1"/>
  <c r="L259" i="13" s="1"/>
  <c r="L287" i="13" a="1"/>
  <c r="L287" i="13" s="1"/>
  <c r="L263" i="13" a="1"/>
  <c r="L263" i="13" s="1"/>
  <c r="L251" i="13" a="1"/>
  <c r="L251" i="13" s="1"/>
  <c r="L250" i="13" a="1"/>
  <c r="L250" i="13" s="1"/>
  <c r="L255" i="13" a="1"/>
  <c r="L255" i="13" s="1"/>
  <c r="L254" i="13" a="1"/>
  <c r="L254" i="13" s="1"/>
  <c r="L233" i="13" a="1"/>
  <c r="L233" i="13" s="1"/>
  <c r="L291" i="13" a="1"/>
  <c r="L291" i="13" s="1"/>
  <c r="L258" i="13" a="1"/>
  <c r="L258" i="13" s="1"/>
  <c r="L312" i="13" a="1"/>
  <c r="L312" i="13" s="1"/>
  <c r="L288" i="13" a="1"/>
  <c r="L288" i="13" s="1"/>
  <c r="L271" i="13" a="1"/>
  <c r="L271" i="13" s="1"/>
  <c r="AF576" i="13" a="1"/>
  <c r="AF576" i="13" s="1"/>
  <c r="AF580" i="13" a="1"/>
  <c r="AF580" i="13" s="1"/>
  <c r="AF572" i="13" a="1"/>
  <c r="AF572" i="13" s="1"/>
  <c r="AF573" i="13" a="1"/>
  <c r="AF573" i="13" s="1"/>
  <c r="AF544" i="13" a="1"/>
  <c r="AF544" i="13" s="1"/>
  <c r="AF543" i="13" a="1"/>
  <c r="AF543" i="13" s="1"/>
  <c r="AF577" i="13" a="1"/>
  <c r="AF577" i="13" s="1"/>
  <c r="AF548" i="13" a="1"/>
  <c r="AF548" i="13" s="1"/>
  <c r="AF547" i="13" a="1"/>
  <c r="AF547" i="13" s="1"/>
  <c r="AF568" i="13" a="1"/>
  <c r="AF568" i="13" s="1"/>
  <c r="AF532" i="13" a="1"/>
  <c r="AF532" i="13" s="1"/>
  <c r="AF531" i="13" a="1"/>
  <c r="AF531" i="13" s="1"/>
  <c r="AF559" i="13" a="1"/>
  <c r="AF559" i="13" s="1"/>
  <c r="AF555" i="13" a="1"/>
  <c r="AF555" i="13" s="1"/>
  <c r="AF551" i="13" a="1"/>
  <c r="AF551" i="13" s="1"/>
  <c r="AF535" i="13" a="1"/>
  <c r="AF535" i="13" s="1"/>
  <c r="AF506" i="13" a="1"/>
  <c r="AF506" i="13" s="1"/>
  <c r="AF528" i="13" a="1"/>
  <c r="AF528" i="13" s="1"/>
  <c r="AF510" i="13" a="1"/>
  <c r="AF510" i="13" s="1"/>
  <c r="AF536" i="13" a="1"/>
  <c r="AF536" i="13" s="1"/>
  <c r="AF523" i="13" a="1"/>
  <c r="AF523" i="13" s="1"/>
  <c r="AF540" i="13" a="1"/>
  <c r="AF540" i="13" s="1"/>
  <c r="AF524" i="13" a="1"/>
  <c r="AF524" i="13" s="1"/>
  <c r="AF527" i="13" a="1"/>
  <c r="AF527" i="13" s="1"/>
  <c r="AF519" i="13" a="1"/>
  <c r="AF519" i="13" s="1"/>
  <c r="AF494" i="13" a="1"/>
  <c r="AF494" i="13" s="1"/>
  <c r="AF498" i="13" a="1"/>
  <c r="AF498" i="13" s="1"/>
  <c r="AF539" i="13" a="1"/>
  <c r="AF539" i="13" s="1"/>
  <c r="AF471" i="13" a="1"/>
  <c r="AF471" i="13" s="1"/>
  <c r="AF470" i="13" a="1"/>
  <c r="AF470" i="13" s="1"/>
  <c r="AF474" i="13" a="1"/>
  <c r="AF474" i="13" s="1"/>
  <c r="AF479" i="13" a="1"/>
  <c r="AF479" i="13" s="1"/>
  <c r="AF478" i="13" a="1"/>
  <c r="AF478" i="13" s="1"/>
  <c r="AF490" i="13" a="1"/>
  <c r="AF490" i="13" s="1"/>
  <c r="AF445" i="13" a="1"/>
  <c r="AF445" i="13" s="1"/>
  <c r="AF444" i="13" a="1"/>
  <c r="AF444" i="13" s="1"/>
  <c r="AF449" i="13" a="1"/>
  <c r="AF449" i="13" s="1"/>
  <c r="AF448" i="13" a="1"/>
  <c r="AF448" i="13" s="1"/>
  <c r="AF486" i="13" a="1"/>
  <c r="AF486" i="13" s="1"/>
  <c r="AF453" i="13" a="1"/>
  <c r="AF453" i="13" s="1"/>
  <c r="AF452" i="13" a="1"/>
  <c r="AF452" i="13" s="1"/>
  <c r="AF461" i="13" a="1"/>
  <c r="AF461" i="13" s="1"/>
  <c r="AF460" i="13" a="1"/>
  <c r="AF460" i="13" s="1"/>
  <c r="AF482" i="13" a="1"/>
  <c r="AF482" i="13" s="1"/>
  <c r="AF502" i="13" a="1"/>
  <c r="AF502" i="13" s="1"/>
  <c r="AF437" i="13" a="1"/>
  <c r="AF437" i="13" s="1"/>
  <c r="AF436" i="13" a="1"/>
  <c r="AF436" i="13" s="1"/>
  <c r="AF416" i="13" a="1"/>
  <c r="AF416" i="13" s="1"/>
  <c r="AF415" i="13" a="1"/>
  <c r="AF415" i="13" s="1"/>
  <c r="AF440" i="13" a="1"/>
  <c r="AF440" i="13" s="1"/>
  <c r="AF441" i="13" a="1"/>
  <c r="AF441" i="13" s="1"/>
  <c r="AF425" i="13" a="1"/>
  <c r="AF425" i="13" s="1"/>
  <c r="AF457" i="13" a="1"/>
  <c r="AF457" i="13" s="1"/>
  <c r="AF456" i="13" a="1"/>
  <c r="AF456" i="13" s="1"/>
  <c r="AF433" i="13" a="1"/>
  <c r="AF433" i="13" s="1"/>
  <c r="AF432" i="13" a="1"/>
  <c r="AF432" i="13" s="1"/>
  <c r="AF408" i="13" a="1"/>
  <c r="AF408" i="13" s="1"/>
  <c r="AF407" i="13" a="1"/>
  <c r="AF407" i="13" s="1"/>
  <c r="AF429" i="13" a="1"/>
  <c r="AF429" i="13" s="1"/>
  <c r="AF412" i="13" a="1"/>
  <c r="AF412" i="13" s="1"/>
  <c r="AF411" i="13" a="1"/>
  <c r="AF411" i="13" s="1"/>
  <c r="AF424" i="13" a="1"/>
  <c r="AF424" i="13" s="1"/>
  <c r="AF396" i="13" a="1"/>
  <c r="AF396" i="13" s="1"/>
  <c r="AF395" i="13" a="1"/>
  <c r="AF395" i="13" s="1"/>
  <c r="AF392" i="13" a="1"/>
  <c r="AF392" i="13" s="1"/>
  <c r="AF391" i="13" a="1"/>
  <c r="AF391" i="13" s="1"/>
  <c r="AF371" i="13" a="1"/>
  <c r="AF371" i="13" s="1"/>
  <c r="AF404" i="13" a="1"/>
  <c r="AF404" i="13" s="1"/>
  <c r="AF374" i="13" a="1"/>
  <c r="AF374" i="13" s="1"/>
  <c r="AF378" i="13" a="1"/>
  <c r="AF378" i="13" s="1"/>
  <c r="AF428" i="13" a="1"/>
  <c r="AF428" i="13" s="1"/>
  <c r="AF403" i="13" a="1"/>
  <c r="AF403" i="13" s="1"/>
  <c r="AF388" i="13" a="1"/>
  <c r="AF388" i="13" s="1"/>
  <c r="AF387" i="13" a="1"/>
  <c r="AF387" i="13" s="1"/>
  <c r="AF400" i="13" a="1"/>
  <c r="AF400" i="13" s="1"/>
  <c r="AF316" i="13" a="1"/>
  <c r="AF316" i="13" s="1"/>
  <c r="AF366" i="13" a="1"/>
  <c r="AF366" i="13" s="1"/>
  <c r="AF342" i="13" a="1"/>
  <c r="AF342" i="13" s="1"/>
  <c r="AF341" i="13" a="1"/>
  <c r="AF341" i="13" s="1"/>
  <c r="AF362" i="13" a="1"/>
  <c r="AF362" i="13" s="1"/>
  <c r="AF320" i="13" a="1"/>
  <c r="AF320" i="13" s="1"/>
  <c r="AF370" i="13" a="1"/>
  <c r="AF370" i="13" s="1"/>
  <c r="AF346" i="13" a="1"/>
  <c r="AF346" i="13" s="1"/>
  <c r="AF345" i="13" a="1"/>
  <c r="AF345" i="13" s="1"/>
  <c r="AF325" i="13" a="1"/>
  <c r="AF325" i="13" s="1"/>
  <c r="AF324" i="13" a="1"/>
  <c r="AF324" i="13" s="1"/>
  <c r="AF350" i="13" a="1"/>
  <c r="AF350" i="13" s="1"/>
  <c r="AF349" i="13" a="1"/>
  <c r="AF349" i="13" s="1"/>
  <c r="AF329" i="13" a="1"/>
  <c r="AF329" i="13" s="1"/>
  <c r="AF328" i="13" a="1"/>
  <c r="AF328" i="13" s="1"/>
  <c r="AF354" i="13" a="1"/>
  <c r="AF354" i="13" s="1"/>
  <c r="AF353" i="13" a="1"/>
  <c r="AF353" i="13" s="1"/>
  <c r="AF399" i="13" a="1"/>
  <c r="AF399" i="13" s="1"/>
  <c r="AF296" i="13" a="1"/>
  <c r="AF296" i="13" s="1"/>
  <c r="AF295" i="13" a="1"/>
  <c r="AF295" i="13" s="1"/>
  <c r="AF300" i="13" a="1"/>
  <c r="AF300" i="13" s="1"/>
  <c r="AF299" i="13" a="1"/>
  <c r="AF299" i="13" s="1"/>
  <c r="AF280" i="13" a="1"/>
  <c r="AF280" i="13" s="1"/>
  <c r="AF279" i="13" a="1"/>
  <c r="AF279" i="13" s="1"/>
  <c r="AF338" i="13" a="1"/>
  <c r="AF338" i="13" s="1"/>
  <c r="AF284" i="13" a="1"/>
  <c r="AF284" i="13" s="1"/>
  <c r="AF283" i="13" a="1"/>
  <c r="AF283" i="13" s="1"/>
  <c r="AF309" i="13" a="1"/>
  <c r="AF309" i="13" s="1"/>
  <c r="AF308" i="13" a="1"/>
  <c r="AF308" i="13" s="1"/>
  <c r="AF337" i="13" a="1"/>
  <c r="AF337" i="13" s="1"/>
  <c r="AF288" i="13" a="1"/>
  <c r="AF288" i="13" s="1"/>
  <c r="AF263" i="13" a="1"/>
  <c r="AF263" i="13" s="1"/>
  <c r="AF292" i="13" a="1"/>
  <c r="AF292" i="13" s="1"/>
  <c r="AF251" i="13" a="1"/>
  <c r="AF251" i="13" s="1"/>
  <c r="AF250" i="13" a="1"/>
  <c r="AF250" i="13" s="1"/>
  <c r="AF259" i="13" a="1"/>
  <c r="AF259" i="13" s="1"/>
  <c r="AF255" i="13" a="1"/>
  <c r="AF255" i="13" s="1"/>
  <c r="AF254" i="13" a="1"/>
  <c r="AF254" i="13" s="1"/>
  <c r="AF312" i="13" a="1"/>
  <c r="AF312" i="13" s="1"/>
  <c r="AF287" i="13" a="1"/>
  <c r="AF287" i="13" s="1"/>
  <c r="AF233" i="13" a="1"/>
  <c r="AF233" i="13" s="1"/>
  <c r="AF262" i="13" a="1"/>
  <c r="AF262" i="13" s="1"/>
  <c r="AF291" i="13" a="1"/>
  <c r="AF291" i="13" s="1"/>
  <c r="AF271" i="13" a="1"/>
  <c r="AF271" i="13" s="1"/>
  <c r="AF270" i="13" a="1"/>
  <c r="AF270" i="13" s="1"/>
  <c r="AK225" i="13" a="1"/>
  <c r="AK225" i="13" s="1"/>
  <c r="H229" i="13" a="1"/>
  <c r="H229" i="13" s="1"/>
  <c r="Z233" i="13" a="1"/>
  <c r="Z233" i="13" s="1"/>
  <c r="J237" i="13" a="1"/>
  <c r="J237" i="13" s="1"/>
  <c r="U241" i="13" a="1"/>
  <c r="U241" i="13" s="1"/>
  <c r="AF242" i="13" a="1"/>
  <c r="AF242" i="13" s="1"/>
  <c r="M560" i="13" a="1"/>
  <c r="M560" i="13" s="1"/>
  <c r="M559" i="13" a="1"/>
  <c r="M559" i="13" s="1"/>
  <c r="M576" i="13" a="1"/>
  <c r="M576" i="13" s="1"/>
  <c r="M577" i="13" a="1"/>
  <c r="M577" i="13" s="1"/>
  <c r="M580" i="13" a="1"/>
  <c r="M580" i="13" s="1"/>
  <c r="M581" i="13" a="1"/>
  <c r="M581" i="13" s="1"/>
  <c r="M572" i="13" a="1"/>
  <c r="M572" i="13" s="1"/>
  <c r="M573" i="13" a="1"/>
  <c r="M573" i="13" s="1"/>
  <c r="M544" i="13" a="1"/>
  <c r="M544" i="13" s="1"/>
  <c r="M543" i="13" a="1"/>
  <c r="M543" i="13" s="1"/>
  <c r="M548" i="13" a="1"/>
  <c r="M548" i="13" s="1"/>
  <c r="M547" i="13" a="1"/>
  <c r="M547" i="13" s="1"/>
  <c r="M552" i="13" a="1"/>
  <c r="M552" i="13" s="1"/>
  <c r="M551" i="13" a="1"/>
  <c r="M551" i="13" s="1"/>
  <c r="M568" i="13" a="1"/>
  <c r="M568" i="13" s="1"/>
  <c r="M556" i="13" a="1"/>
  <c r="M556" i="13" s="1"/>
  <c r="M555" i="13" a="1"/>
  <c r="M555" i="13" s="1"/>
  <c r="M540" i="13" a="1"/>
  <c r="M540" i="13" s="1"/>
  <c r="M532" i="13" a="1"/>
  <c r="M532" i="13" s="1"/>
  <c r="M531" i="13" a="1"/>
  <c r="M531" i="13" s="1"/>
  <c r="M539" i="13" a="1"/>
  <c r="M539" i="13" s="1"/>
  <c r="M535" i="13" a="1"/>
  <c r="M535" i="13" s="1"/>
  <c r="M569" i="13" a="1"/>
  <c r="M569" i="13" s="1"/>
  <c r="M536" i="13" a="1"/>
  <c r="M536" i="13" s="1"/>
  <c r="M511" i="13" a="1"/>
  <c r="M511" i="13" s="1"/>
  <c r="M510" i="13" a="1"/>
  <c r="M510" i="13" s="1"/>
  <c r="M528" i="13" a="1"/>
  <c r="M528" i="13" s="1"/>
  <c r="M523" i="13" a="1"/>
  <c r="M523" i="13" s="1"/>
  <c r="M524" i="13" a="1"/>
  <c r="M524" i="13" s="1"/>
  <c r="M527" i="13" a="1"/>
  <c r="M527" i="13" s="1"/>
  <c r="M507" i="13" a="1"/>
  <c r="M507" i="13" s="1"/>
  <c r="M491" i="13" a="1"/>
  <c r="M491" i="13" s="1"/>
  <c r="M520" i="13" a="1"/>
  <c r="M520" i="13" s="1"/>
  <c r="M494" i="13" a="1"/>
  <c r="M494" i="13" s="1"/>
  <c r="M503" i="13" a="1"/>
  <c r="M503" i="13" s="1"/>
  <c r="M498" i="13" a="1"/>
  <c r="M498" i="13" s="1"/>
  <c r="M506" i="13" a="1"/>
  <c r="M506" i="13" s="1"/>
  <c r="M519" i="13" a="1"/>
  <c r="M519" i="13" s="1"/>
  <c r="M502" i="13" a="1"/>
  <c r="M502" i="13" s="1"/>
  <c r="M474" i="13" a="1"/>
  <c r="M474" i="13" s="1"/>
  <c r="M490" i="13" a="1"/>
  <c r="M490" i="13" s="1"/>
  <c r="M486" i="13" a="1"/>
  <c r="M486" i="13" s="1"/>
  <c r="M479" i="13" a="1"/>
  <c r="M479" i="13" s="1"/>
  <c r="M478" i="13" a="1"/>
  <c r="M478" i="13" s="1"/>
  <c r="M470" i="13" a="1"/>
  <c r="M470" i="13" s="1"/>
  <c r="M449" i="13" a="1"/>
  <c r="M449" i="13" s="1"/>
  <c r="M448" i="13" a="1"/>
  <c r="M448" i="13" s="1"/>
  <c r="M453" i="13" a="1"/>
  <c r="M453" i="13" s="1"/>
  <c r="M452" i="13" a="1"/>
  <c r="M452" i="13" s="1"/>
  <c r="M457" i="13" a="1"/>
  <c r="M457" i="13" s="1"/>
  <c r="M456" i="13" a="1"/>
  <c r="M456" i="13" s="1"/>
  <c r="M482" i="13" a="1"/>
  <c r="M482" i="13" s="1"/>
  <c r="M461" i="13" a="1"/>
  <c r="M461" i="13" s="1"/>
  <c r="M460" i="13" a="1"/>
  <c r="M460" i="13" s="1"/>
  <c r="M471" i="13" a="1"/>
  <c r="M471" i="13" s="1"/>
  <c r="M416" i="13" a="1"/>
  <c r="M416" i="13" s="1"/>
  <c r="M415" i="13" a="1"/>
  <c r="M415" i="13" s="1"/>
  <c r="M441" i="13" a="1"/>
  <c r="M441" i="13" s="1"/>
  <c r="M440" i="13" a="1"/>
  <c r="M440" i="13" s="1"/>
  <c r="M425" i="13" a="1"/>
  <c r="M425" i="13" s="1"/>
  <c r="M424" i="13" a="1"/>
  <c r="M424" i="13" s="1"/>
  <c r="M429" i="13" a="1"/>
  <c r="M429" i="13" s="1"/>
  <c r="M428" i="13" a="1"/>
  <c r="M428" i="13" s="1"/>
  <c r="M445" i="13" a="1"/>
  <c r="M445" i="13" s="1"/>
  <c r="M437" i="13" a="1"/>
  <c r="M437" i="13" s="1"/>
  <c r="M436" i="13" a="1"/>
  <c r="M436" i="13" s="1"/>
  <c r="M412" i="13" a="1"/>
  <c r="M412" i="13" s="1"/>
  <c r="M411" i="13" a="1"/>
  <c r="M411" i="13" s="1"/>
  <c r="M444" i="13" a="1"/>
  <c r="M444" i="13" s="1"/>
  <c r="M433" i="13" a="1"/>
  <c r="M433" i="13" s="1"/>
  <c r="M400" i="13" a="1"/>
  <c r="M400" i="13" s="1"/>
  <c r="M399" i="13" a="1"/>
  <c r="M399" i="13" s="1"/>
  <c r="M432" i="13" a="1"/>
  <c r="M432" i="13" s="1"/>
  <c r="M371" i="13" a="1"/>
  <c r="M371" i="13" s="1"/>
  <c r="M370" i="13" a="1"/>
  <c r="M370" i="13" s="1"/>
  <c r="M396" i="13" a="1"/>
  <c r="M396" i="13" s="1"/>
  <c r="M375" i="13" a="1"/>
  <c r="M375" i="13" s="1"/>
  <c r="M374" i="13" a="1"/>
  <c r="M374" i="13" s="1"/>
  <c r="M408" i="13" a="1"/>
  <c r="M408" i="13" s="1"/>
  <c r="M379" i="13" a="1"/>
  <c r="M379" i="13" s="1"/>
  <c r="M378" i="13" a="1"/>
  <c r="M378" i="13" s="1"/>
  <c r="M403" i="13" a="1"/>
  <c r="M403" i="13" s="1"/>
  <c r="M395" i="13" a="1"/>
  <c r="M395" i="13" s="1"/>
  <c r="M407" i="13" a="1"/>
  <c r="M407" i="13" s="1"/>
  <c r="M404" i="13" a="1"/>
  <c r="M404" i="13" s="1"/>
  <c r="M392" i="13" a="1"/>
  <c r="M392" i="13" s="1"/>
  <c r="M391" i="13" a="1"/>
  <c r="M391" i="13" s="1"/>
  <c r="M320" i="13" a="1"/>
  <c r="M320" i="13" s="1"/>
  <c r="M346" i="13" a="1"/>
  <c r="M346" i="13" s="1"/>
  <c r="M345" i="13" a="1"/>
  <c r="M345" i="13" s="1"/>
  <c r="M325" i="13" a="1"/>
  <c r="M325" i="13" s="1"/>
  <c r="M324" i="13" a="1"/>
  <c r="M324" i="13" s="1"/>
  <c r="M366" i="13" a="1"/>
  <c r="M366" i="13" s="1"/>
  <c r="M350" i="13" a="1"/>
  <c r="M350" i="13" s="1"/>
  <c r="M349" i="13" a="1"/>
  <c r="M349" i="13" s="1"/>
  <c r="M387" i="13" a="1"/>
  <c r="M387" i="13" s="1"/>
  <c r="M329" i="13" a="1"/>
  <c r="M329" i="13" s="1"/>
  <c r="M328" i="13" a="1"/>
  <c r="M328" i="13" s="1"/>
  <c r="M354" i="13" a="1"/>
  <c r="M354" i="13" s="1"/>
  <c r="M353" i="13" a="1"/>
  <c r="M353" i="13" s="1"/>
  <c r="M367" i="13" a="1"/>
  <c r="M367" i="13" s="1"/>
  <c r="M363" i="13" a="1"/>
  <c r="M363" i="13" s="1"/>
  <c r="M362" i="13" a="1"/>
  <c r="M362" i="13" s="1"/>
  <c r="M388" i="13" a="1"/>
  <c r="M388" i="13" s="1"/>
  <c r="M300" i="13" a="1"/>
  <c r="M300" i="13" s="1"/>
  <c r="M299" i="13" a="1"/>
  <c r="M299" i="13" s="1"/>
  <c r="M280" i="13" a="1"/>
  <c r="M280" i="13" s="1"/>
  <c r="M279" i="13" a="1"/>
  <c r="M279" i="13" s="1"/>
  <c r="M342" i="13" a="1"/>
  <c r="M342" i="13" s="1"/>
  <c r="M341" i="13" a="1"/>
  <c r="M341" i="13" s="1"/>
  <c r="M284" i="13" a="1"/>
  <c r="M284" i="13" s="1"/>
  <c r="M283" i="13" a="1"/>
  <c r="M283" i="13" s="1"/>
  <c r="M309" i="13" a="1"/>
  <c r="M309" i="13" s="1"/>
  <c r="M308" i="13" a="1"/>
  <c r="M308" i="13" s="1"/>
  <c r="M337" i="13" a="1"/>
  <c r="M337" i="13" s="1"/>
  <c r="M316" i="13" a="1"/>
  <c r="M316" i="13" s="1"/>
  <c r="M288" i="13" a="1"/>
  <c r="M288" i="13" s="1"/>
  <c r="M287" i="13" a="1"/>
  <c r="M287" i="13" s="1"/>
  <c r="M313" i="13" a="1"/>
  <c r="M313" i="13" s="1"/>
  <c r="M312" i="13" a="1"/>
  <c r="M312" i="13" s="1"/>
  <c r="M317" i="13" a="1"/>
  <c r="M317" i="13" s="1"/>
  <c r="M338" i="13" a="1"/>
  <c r="M338" i="13" s="1"/>
  <c r="M226" i="13" a="1"/>
  <c r="M226" i="13" s="1"/>
  <c r="M225" i="13" a="1"/>
  <c r="M225" i="13" s="1"/>
  <c r="M263" i="13" a="1"/>
  <c r="M263" i="13" s="1"/>
  <c r="M251" i="13" a="1"/>
  <c r="M251" i="13" s="1"/>
  <c r="M250" i="13" a="1"/>
  <c r="M250" i="13" s="1"/>
  <c r="M230" i="13" a="1"/>
  <c r="M230" i="13" s="1"/>
  <c r="M229" i="13" a="1"/>
  <c r="M229" i="13" s="1"/>
  <c r="M255" i="13" a="1"/>
  <c r="M255" i="13" s="1"/>
  <c r="M254" i="13" a="1"/>
  <c r="M254" i="13" s="1"/>
  <c r="M291" i="13" a="1"/>
  <c r="M291" i="13" s="1"/>
  <c r="M258" i="13" a="1"/>
  <c r="M258" i="13" s="1"/>
  <c r="M296" i="13" a="1"/>
  <c r="M296" i="13" s="1"/>
  <c r="M271" i="13" a="1"/>
  <c r="M271" i="13" s="1"/>
  <c r="M295" i="13" a="1"/>
  <c r="M295" i="13" s="1"/>
  <c r="M270" i="13" a="1"/>
  <c r="M270" i="13" s="1"/>
  <c r="M267" i="13" a="1"/>
  <c r="M267" i="13" s="1"/>
  <c r="M266" i="13" a="1"/>
  <c r="M266" i="13" s="1"/>
  <c r="M262" i="13" a="1"/>
  <c r="M262" i="13" s="1"/>
  <c r="AG559" i="13" a="1"/>
  <c r="AG559" i="13" s="1"/>
  <c r="AG576" i="13" a="1"/>
  <c r="AG576" i="13" s="1"/>
  <c r="AG577" i="13" a="1"/>
  <c r="AG577" i="13" s="1"/>
  <c r="AG580" i="13" a="1"/>
  <c r="AG580" i="13" s="1"/>
  <c r="AG581" i="13" a="1"/>
  <c r="AG581" i="13" s="1"/>
  <c r="AG572" i="13" a="1"/>
  <c r="AG572" i="13" s="1"/>
  <c r="AG573" i="13" a="1"/>
  <c r="AG573" i="13" s="1"/>
  <c r="AG544" i="13" a="1"/>
  <c r="AG544" i="13" s="1"/>
  <c r="AG543" i="13" a="1"/>
  <c r="AG543" i="13" s="1"/>
  <c r="AG569" i="13" a="1"/>
  <c r="AG569" i="13" s="1"/>
  <c r="AG548" i="13" a="1"/>
  <c r="AG548" i="13" s="1"/>
  <c r="AG547" i="13" a="1"/>
  <c r="AG547" i="13" s="1"/>
  <c r="AG552" i="13" a="1"/>
  <c r="AG552" i="13" s="1"/>
  <c r="AG551" i="13" a="1"/>
  <c r="AG551" i="13" s="1"/>
  <c r="AG568" i="13" a="1"/>
  <c r="AG568" i="13" s="1"/>
  <c r="AG555" i="13" a="1"/>
  <c r="AG555" i="13" s="1"/>
  <c r="AG532" i="13" a="1"/>
  <c r="AG532" i="13" s="1"/>
  <c r="AG531" i="13" a="1"/>
  <c r="AG531" i="13" s="1"/>
  <c r="AG535" i="13" a="1"/>
  <c r="AG535" i="13" s="1"/>
  <c r="AG540" i="13" a="1"/>
  <c r="AG540" i="13" s="1"/>
  <c r="AG539" i="13" a="1"/>
  <c r="AG539" i="13" s="1"/>
  <c r="AG536" i="13" a="1"/>
  <c r="AG536" i="13" s="1"/>
  <c r="AG528" i="13" a="1"/>
  <c r="AG528" i="13" s="1"/>
  <c r="AG510" i="13" a="1"/>
  <c r="AG510" i="13" s="1"/>
  <c r="AG523" i="13" a="1"/>
  <c r="AG523" i="13" s="1"/>
  <c r="AG524" i="13" a="1"/>
  <c r="AG524" i="13" s="1"/>
  <c r="AG527" i="13" a="1"/>
  <c r="AG527" i="13" s="1"/>
  <c r="AG519" i="13" a="1"/>
  <c r="AG519" i="13" s="1"/>
  <c r="AG490" i="13" a="1"/>
  <c r="AG490" i="13" s="1"/>
  <c r="AG494" i="13" a="1"/>
  <c r="AG494" i="13" s="1"/>
  <c r="AG506" i="13" a="1"/>
  <c r="AG506" i="13" s="1"/>
  <c r="AG498" i="13" a="1"/>
  <c r="AG498" i="13" s="1"/>
  <c r="AG502" i="13" a="1"/>
  <c r="AG502" i="13" s="1"/>
  <c r="AG474" i="13" a="1"/>
  <c r="AG474" i="13" s="1"/>
  <c r="AG479" i="13" a="1"/>
  <c r="AG479" i="13" s="1"/>
  <c r="AG478" i="13" a="1"/>
  <c r="AG478" i="13" s="1"/>
  <c r="AG486" i="13" a="1"/>
  <c r="AG486" i="13" s="1"/>
  <c r="AG449" i="13" a="1"/>
  <c r="AG449" i="13" s="1"/>
  <c r="AG448" i="13" a="1"/>
  <c r="AG448" i="13" s="1"/>
  <c r="AG471" i="13" a="1"/>
  <c r="AG471" i="13" s="1"/>
  <c r="AG453" i="13" a="1"/>
  <c r="AG453" i="13" s="1"/>
  <c r="AG452" i="13" a="1"/>
  <c r="AG452" i="13" s="1"/>
  <c r="AG470" i="13" a="1"/>
  <c r="AG470" i="13" s="1"/>
  <c r="AG457" i="13" a="1"/>
  <c r="AG457" i="13" s="1"/>
  <c r="AG456" i="13" a="1"/>
  <c r="AG456" i="13" s="1"/>
  <c r="AG461" i="13" a="1"/>
  <c r="AG461" i="13" s="1"/>
  <c r="AG460" i="13" a="1"/>
  <c r="AG460" i="13" s="1"/>
  <c r="AG482" i="13" a="1"/>
  <c r="AG482" i="13" s="1"/>
  <c r="AG416" i="13" a="1"/>
  <c r="AG416" i="13" s="1"/>
  <c r="AG415" i="13" a="1"/>
  <c r="AG415" i="13" s="1"/>
  <c r="AG440" i="13" a="1"/>
  <c r="AG440" i="13" s="1"/>
  <c r="AG444" i="13" a="1"/>
  <c r="AG444" i="13" s="1"/>
  <c r="AG441" i="13" a="1"/>
  <c r="AG441" i="13" s="1"/>
  <c r="AG425" i="13" a="1"/>
  <c r="AG425" i="13" s="1"/>
  <c r="AG424" i="13" a="1"/>
  <c r="AG424" i="13" s="1"/>
  <c r="AG445" i="13" a="1"/>
  <c r="AG445" i="13" s="1"/>
  <c r="AG429" i="13" a="1"/>
  <c r="AG429" i="13" s="1"/>
  <c r="AG428" i="13" a="1"/>
  <c r="AG428" i="13" s="1"/>
  <c r="AG437" i="13" a="1"/>
  <c r="AG437" i="13" s="1"/>
  <c r="AG436" i="13" a="1"/>
  <c r="AG436" i="13" s="1"/>
  <c r="AG432" i="13" a="1"/>
  <c r="AG432" i="13" s="1"/>
  <c r="AG412" i="13" a="1"/>
  <c r="AG412" i="13" s="1"/>
  <c r="AG411" i="13" a="1"/>
  <c r="AG411" i="13" s="1"/>
  <c r="AG400" i="13" a="1"/>
  <c r="AG400" i="13" s="1"/>
  <c r="AG399" i="13" a="1"/>
  <c r="AG399" i="13" s="1"/>
  <c r="AG433" i="13" a="1"/>
  <c r="AG433" i="13" s="1"/>
  <c r="AG407" i="13" a="1"/>
  <c r="AG407" i="13" s="1"/>
  <c r="AG371" i="13" a="1"/>
  <c r="AG371" i="13" s="1"/>
  <c r="AG370" i="13" a="1"/>
  <c r="AG370" i="13" s="1"/>
  <c r="AG404" i="13" a="1"/>
  <c r="AG404" i="13" s="1"/>
  <c r="AG374" i="13" a="1"/>
  <c r="AG374" i="13" s="1"/>
  <c r="AG395" i="13" a="1"/>
  <c r="AG395" i="13" s="1"/>
  <c r="AG378" i="13" a="1"/>
  <c r="AG378" i="13" s="1"/>
  <c r="AG408" i="13" a="1"/>
  <c r="AG408" i="13" s="1"/>
  <c r="AG403" i="13" a="1"/>
  <c r="AG403" i="13" s="1"/>
  <c r="AG396" i="13" a="1"/>
  <c r="AG396" i="13" s="1"/>
  <c r="AG392" i="13" a="1"/>
  <c r="AG392" i="13" s="1"/>
  <c r="AG391" i="13" a="1"/>
  <c r="AG391" i="13" s="1"/>
  <c r="AG362" i="13" a="1"/>
  <c r="AG362" i="13" s="1"/>
  <c r="AG320" i="13" a="1"/>
  <c r="AG320" i="13" s="1"/>
  <c r="AG387" i="13" a="1"/>
  <c r="AG387" i="13" s="1"/>
  <c r="AG346" i="13" a="1"/>
  <c r="AG346" i="13" s="1"/>
  <c r="AG345" i="13" a="1"/>
  <c r="AG345" i="13" s="1"/>
  <c r="AG325" i="13" a="1"/>
  <c r="AG325" i="13" s="1"/>
  <c r="AG324" i="13" a="1"/>
  <c r="AG324" i="13" s="1"/>
  <c r="AG350" i="13" a="1"/>
  <c r="AG350" i="13" s="1"/>
  <c r="AG349" i="13" a="1"/>
  <c r="AG349" i="13" s="1"/>
  <c r="AG329" i="13" a="1"/>
  <c r="AG329" i="13" s="1"/>
  <c r="AG328" i="13" a="1"/>
  <c r="AG328" i="13" s="1"/>
  <c r="AG354" i="13" a="1"/>
  <c r="AG354" i="13" s="1"/>
  <c r="AG353" i="13" a="1"/>
  <c r="AG353" i="13" s="1"/>
  <c r="AG388" i="13" a="1"/>
  <c r="AG388" i="13" s="1"/>
  <c r="AG338" i="13" a="1"/>
  <c r="AG338" i="13" s="1"/>
  <c r="AG366" i="13" a="1"/>
  <c r="AG366" i="13" s="1"/>
  <c r="AG316" i="13" a="1"/>
  <c r="AG316" i="13" s="1"/>
  <c r="AG300" i="13" a="1"/>
  <c r="AG300" i="13" s="1"/>
  <c r="AG299" i="13" a="1"/>
  <c r="AG299" i="13" s="1"/>
  <c r="AG280" i="13" a="1"/>
  <c r="AG280" i="13" s="1"/>
  <c r="AG279" i="13" a="1"/>
  <c r="AG279" i="13" s="1"/>
  <c r="AG259" i="13" a="1"/>
  <c r="AG259" i="13" s="1"/>
  <c r="AG284" i="13" a="1"/>
  <c r="AG284" i="13" s="1"/>
  <c r="AG283" i="13" a="1"/>
  <c r="AG283" i="13" s="1"/>
  <c r="AG308" i="13" a="1"/>
  <c r="AG308" i="13" s="1"/>
  <c r="AG263" i="13" a="1"/>
  <c r="AG263" i="13" s="1"/>
  <c r="AG288" i="13" a="1"/>
  <c r="AG288" i="13" s="1"/>
  <c r="AG287" i="13" a="1"/>
  <c r="AG287" i="13" s="1"/>
  <c r="AG312" i="13" a="1"/>
  <c r="AG312" i="13" s="1"/>
  <c r="AG313" i="13" a="1"/>
  <c r="AG313" i="13" s="1"/>
  <c r="AG341" i="13" a="1"/>
  <c r="AG341" i="13" s="1"/>
  <c r="AG317" i="13" a="1"/>
  <c r="AG317" i="13" s="1"/>
  <c r="AG296" i="13" a="1"/>
  <c r="AG296" i="13" s="1"/>
  <c r="AG225" i="13" a="1"/>
  <c r="AG225" i="13" s="1"/>
  <c r="AG292" i="13" a="1"/>
  <c r="AG292" i="13" s="1"/>
  <c r="AG251" i="13" a="1"/>
  <c r="AG251" i="13" s="1"/>
  <c r="AG250" i="13" a="1"/>
  <c r="AG250" i="13" s="1"/>
  <c r="AG295" i="13" a="1"/>
  <c r="AG295" i="13" s="1"/>
  <c r="AG229" i="13" a="1"/>
  <c r="AG229" i="13" s="1"/>
  <c r="AG255" i="13" a="1"/>
  <c r="AG255" i="13" s="1"/>
  <c r="AG254" i="13" a="1"/>
  <c r="AG254" i="13" s="1"/>
  <c r="AG337" i="13" a="1"/>
  <c r="AG337" i="13" s="1"/>
  <c r="AG262" i="13" a="1"/>
  <c r="AG262" i="13" s="1"/>
  <c r="AG342" i="13" a="1"/>
  <c r="AG342" i="13" s="1"/>
  <c r="AG258" i="13" a="1"/>
  <c r="AG258" i="13" s="1"/>
  <c r="AG270" i="13" a="1"/>
  <c r="AG270" i="13" s="1"/>
  <c r="AG267" i="13" a="1"/>
  <c r="AG267" i="13" s="1"/>
  <c r="AG266" i="13" a="1"/>
  <c r="AG266" i="13" s="1"/>
  <c r="AG242" i="13" a="1"/>
  <c r="AG242" i="13" s="1"/>
  <c r="X225" i="13" a="1"/>
  <c r="X225" i="13" s="1"/>
  <c r="Y237" i="13" a="1"/>
  <c r="Y237" i="13" s="1"/>
  <c r="Q250" i="13" a="1"/>
  <c r="Q250" i="13" s="1"/>
  <c r="Y251" i="13" a="1"/>
  <c r="Y251" i="13" s="1"/>
  <c r="H255" i="13" a="1"/>
  <c r="H255" i="13" s="1"/>
  <c r="AF258" i="13" a="1"/>
  <c r="AF258" i="13" s="1"/>
  <c r="AF267" i="13" a="1"/>
  <c r="AF267" i="13" s="1"/>
  <c r="AF269" i="13" s="1"/>
  <c r="N577" i="13" a="1"/>
  <c r="N577" i="13" s="1"/>
  <c r="N580" i="13" a="1"/>
  <c r="N580" i="13" s="1"/>
  <c r="N572" i="13" a="1"/>
  <c r="N572" i="13" s="1"/>
  <c r="N573" i="13" a="1"/>
  <c r="N573" i="13" s="1"/>
  <c r="N559" i="13" a="1"/>
  <c r="N559" i="13" s="1"/>
  <c r="N548" i="13" a="1"/>
  <c r="N548" i="13" s="1"/>
  <c r="N547" i="13" a="1"/>
  <c r="N547" i="13" s="1"/>
  <c r="N560" i="13" a="1"/>
  <c r="N560" i="13" s="1"/>
  <c r="N551" i="13" a="1"/>
  <c r="N551" i="13" s="1"/>
  <c r="N568" i="13" a="1"/>
  <c r="N568" i="13" s="1"/>
  <c r="N555" i="13" a="1"/>
  <c r="N555" i="13" s="1"/>
  <c r="N544" i="13" a="1"/>
  <c r="N544" i="13" s="1"/>
  <c r="N543" i="13" a="1"/>
  <c r="N543" i="13" s="1"/>
  <c r="N535" i="13" a="1"/>
  <c r="N535" i="13" s="1"/>
  <c r="N576" i="13" a="1"/>
  <c r="N576" i="13" s="1"/>
  <c r="N536" i="13" a="1"/>
  <c r="N536" i="13" s="1"/>
  <c r="N511" i="13" a="1"/>
  <c r="N511" i="13" s="1"/>
  <c r="N540" i="13" a="1"/>
  <c r="N540" i="13" s="1"/>
  <c r="N532" i="13" a="1"/>
  <c r="N532" i="13" s="1"/>
  <c r="N528" i="13" a="1"/>
  <c r="N528" i="13" s="1"/>
  <c r="N539" i="13" a="1"/>
  <c r="N539" i="13" s="1"/>
  <c r="N519" i="13" a="1"/>
  <c r="N519" i="13" s="1"/>
  <c r="N531" i="13" a="1"/>
  <c r="N531" i="13" s="1"/>
  <c r="N523" i="13" a="1"/>
  <c r="N523" i="13" s="1"/>
  <c r="N527" i="13" a="1"/>
  <c r="N527" i="13" s="1"/>
  <c r="N494" i="13" a="1"/>
  <c r="N494" i="13" s="1"/>
  <c r="N524" i="13" a="1"/>
  <c r="N524" i="13" s="1"/>
  <c r="N498" i="13" a="1"/>
  <c r="N498" i="13" s="1"/>
  <c r="N502" i="13" a="1"/>
  <c r="N502" i="13" s="1"/>
  <c r="N510" i="13" a="1"/>
  <c r="N510" i="13" s="1"/>
  <c r="N474" i="13" a="1"/>
  <c r="N474" i="13" s="1"/>
  <c r="N490" i="13" a="1"/>
  <c r="N490" i="13" s="1"/>
  <c r="N486" i="13" a="1"/>
  <c r="N486" i="13" s="1"/>
  <c r="N479" i="13" a="1"/>
  <c r="N479" i="13" s="1"/>
  <c r="N478" i="13" a="1"/>
  <c r="N478" i="13" s="1"/>
  <c r="N506" i="13" a="1"/>
  <c r="N506" i="13" s="1"/>
  <c r="N482" i="13" a="1"/>
  <c r="N482" i="13" s="1"/>
  <c r="N453" i="13" a="1"/>
  <c r="N453" i="13" s="1"/>
  <c r="N452" i="13" a="1"/>
  <c r="N452" i="13" s="1"/>
  <c r="N457" i="13" a="1"/>
  <c r="N457" i="13" s="1"/>
  <c r="N456" i="13" a="1"/>
  <c r="N456" i="13" s="1"/>
  <c r="N461" i="13" a="1"/>
  <c r="N461" i="13" s="1"/>
  <c r="N460" i="13" a="1"/>
  <c r="N460" i="13" s="1"/>
  <c r="N449" i="13" a="1"/>
  <c r="N449" i="13" s="1"/>
  <c r="N448" i="13" a="1"/>
  <c r="N448" i="13" s="1"/>
  <c r="N471" i="13" a="1"/>
  <c r="N471" i="13" s="1"/>
  <c r="N429" i="13" a="1"/>
  <c r="N429" i="13" s="1"/>
  <c r="N444" i="13" a="1"/>
  <c r="N444" i="13" s="1"/>
  <c r="N470" i="13" a="1"/>
  <c r="N470" i="13" s="1"/>
  <c r="N437" i="13" a="1"/>
  <c r="N437" i="13" s="1"/>
  <c r="N436" i="13" a="1"/>
  <c r="N436" i="13" s="1"/>
  <c r="N416" i="13" a="1"/>
  <c r="N416" i="13" s="1"/>
  <c r="N412" i="13" a="1"/>
  <c r="N412" i="13" s="1"/>
  <c r="N411" i="13" a="1"/>
  <c r="N411" i="13" s="1"/>
  <c r="N445" i="13" a="1"/>
  <c r="N445" i="13" s="1"/>
  <c r="N425" i="13" a="1"/>
  <c r="N425" i="13" s="1"/>
  <c r="N441" i="13" a="1"/>
  <c r="N441" i="13" s="1"/>
  <c r="N396" i="13" a="1"/>
  <c r="N396" i="13" s="1"/>
  <c r="N395" i="13" a="1"/>
  <c r="N395" i="13" s="1"/>
  <c r="N433" i="13" a="1"/>
  <c r="N433" i="13" s="1"/>
  <c r="N400" i="13" a="1"/>
  <c r="N400" i="13" s="1"/>
  <c r="N440" i="13" a="1"/>
  <c r="N440" i="13" s="1"/>
  <c r="N428" i="13" a="1"/>
  <c r="N428" i="13" s="1"/>
  <c r="N415" i="13" a="1"/>
  <c r="N415" i="13" s="1"/>
  <c r="N432" i="13" a="1"/>
  <c r="N432" i="13" s="1"/>
  <c r="N375" i="13" a="1"/>
  <c r="N375" i="13" s="1"/>
  <c r="N374" i="13" a="1"/>
  <c r="N374" i="13" s="1"/>
  <c r="N408" i="13" a="1"/>
  <c r="N408" i="13" s="1"/>
  <c r="N379" i="13" a="1"/>
  <c r="N379" i="13" s="1"/>
  <c r="N378" i="13" a="1"/>
  <c r="N378" i="13" s="1"/>
  <c r="N403" i="13" a="1"/>
  <c r="N403" i="13" s="1"/>
  <c r="N399" i="13" a="1"/>
  <c r="N399" i="13" s="1"/>
  <c r="N388" i="13" a="1"/>
  <c r="N388" i="13" s="1"/>
  <c r="N387" i="13" a="1"/>
  <c r="N387" i="13" s="1"/>
  <c r="N404" i="13" a="1"/>
  <c r="N404" i="13" s="1"/>
  <c r="N392" i="13" a="1"/>
  <c r="N392" i="13" s="1"/>
  <c r="N391" i="13" a="1"/>
  <c r="N391" i="13" s="1"/>
  <c r="N424" i="13" a="1"/>
  <c r="N424" i="13" s="1"/>
  <c r="N346" i="13" a="1"/>
  <c r="N346" i="13" s="1"/>
  <c r="N345" i="13" a="1"/>
  <c r="N345" i="13" s="1"/>
  <c r="N325" i="13" a="1"/>
  <c r="N325" i="13" s="1"/>
  <c r="N324" i="13" a="1"/>
  <c r="N324" i="13" s="1"/>
  <c r="N371" i="13" a="1"/>
  <c r="N371" i="13" s="1"/>
  <c r="N366" i="13" a="1"/>
  <c r="N366" i="13" s="1"/>
  <c r="N350" i="13" a="1"/>
  <c r="N350" i="13" s="1"/>
  <c r="N349" i="13" a="1"/>
  <c r="N349" i="13" s="1"/>
  <c r="N370" i="13" a="1"/>
  <c r="N370" i="13" s="1"/>
  <c r="N329" i="13" a="1"/>
  <c r="N329" i="13" s="1"/>
  <c r="N328" i="13" a="1"/>
  <c r="N328" i="13" s="1"/>
  <c r="N407" i="13" a="1"/>
  <c r="N407" i="13" s="1"/>
  <c r="N354" i="13" a="1"/>
  <c r="N354" i="13" s="1"/>
  <c r="N353" i="13" a="1"/>
  <c r="N353" i="13" s="1"/>
  <c r="N367" i="13" a="1"/>
  <c r="N367" i="13" s="1"/>
  <c r="N363" i="13" a="1"/>
  <c r="N363" i="13" s="1"/>
  <c r="N342" i="13" a="1"/>
  <c r="N342" i="13" s="1"/>
  <c r="N341" i="13" a="1"/>
  <c r="N341" i="13" s="1"/>
  <c r="N280" i="13" a="1"/>
  <c r="N280" i="13" s="1"/>
  <c r="N279" i="13" a="1"/>
  <c r="N279" i="13" s="1"/>
  <c r="N284" i="13" a="1"/>
  <c r="N284" i="13" s="1"/>
  <c r="N283" i="13" a="1"/>
  <c r="N283" i="13" s="1"/>
  <c r="N309" i="13" a="1"/>
  <c r="N309" i="13" s="1"/>
  <c r="N308" i="13" a="1"/>
  <c r="N308" i="13" s="1"/>
  <c r="N337" i="13" a="1"/>
  <c r="N337" i="13" s="1"/>
  <c r="N316" i="13" a="1"/>
  <c r="N316" i="13" s="1"/>
  <c r="N288" i="13" a="1"/>
  <c r="N288" i="13" s="1"/>
  <c r="N287" i="13" a="1"/>
  <c r="N287" i="13" s="1"/>
  <c r="N362" i="13" a="1"/>
  <c r="N362" i="13" s="1"/>
  <c r="N312" i="13" a="1"/>
  <c r="N312" i="13" s="1"/>
  <c r="N320" i="13" a="1"/>
  <c r="N320" i="13" s="1"/>
  <c r="N292" i="13" a="1"/>
  <c r="N292" i="13" s="1"/>
  <c r="N291" i="13" a="1"/>
  <c r="N291" i="13" s="1"/>
  <c r="N296" i="13" a="1"/>
  <c r="N296" i="13" s="1"/>
  <c r="N295" i="13" a="1"/>
  <c r="N295" i="13" s="1"/>
  <c r="N338" i="13" a="1"/>
  <c r="N338" i="13" s="1"/>
  <c r="N300" i="13" a="1"/>
  <c r="N300" i="13" s="1"/>
  <c r="N299" i="13" a="1"/>
  <c r="N299" i="13" s="1"/>
  <c r="N263" i="13" a="1"/>
  <c r="N263" i="13" s="1"/>
  <c r="N251" i="13" a="1"/>
  <c r="N251" i="13" s="1"/>
  <c r="N250" i="13" a="1"/>
  <c r="N250" i="13" s="1"/>
  <c r="N255" i="13" a="1"/>
  <c r="N255" i="13" s="1"/>
  <c r="N254" i="13" a="1"/>
  <c r="N254" i="13" s="1"/>
  <c r="N233" i="13" a="1"/>
  <c r="N233" i="13" s="1"/>
  <c r="N258" i="13" a="1"/>
  <c r="N258" i="13" s="1"/>
  <c r="N238" i="13" a="1"/>
  <c r="N238" i="13" s="1"/>
  <c r="N237" i="13" a="1"/>
  <c r="N237" i="13" s="1"/>
  <c r="N271" i="13" a="1"/>
  <c r="N271" i="13" s="1"/>
  <c r="N262" i="13" a="1"/>
  <c r="N262" i="13" s="1"/>
  <c r="N259" i="13" a="1"/>
  <c r="N259" i="13" s="1"/>
  <c r="AH577" i="13" a="1"/>
  <c r="AH577" i="13" s="1"/>
  <c r="AH580" i="13" a="1"/>
  <c r="AH580" i="13" s="1"/>
  <c r="AH572" i="13" a="1"/>
  <c r="AH572" i="13" s="1"/>
  <c r="AH573" i="13" a="1"/>
  <c r="AH573" i="13" s="1"/>
  <c r="AH548" i="13" a="1"/>
  <c r="AH548" i="13" s="1"/>
  <c r="AH547" i="13" a="1"/>
  <c r="AH547" i="13" s="1"/>
  <c r="AH551" i="13" a="1"/>
  <c r="AH551" i="13" s="1"/>
  <c r="AH576" i="13" a="1"/>
  <c r="AH576" i="13" s="1"/>
  <c r="AH568" i="13" a="1"/>
  <c r="AH568" i="13" s="1"/>
  <c r="AH555" i="13" a="1"/>
  <c r="AH555" i="13" s="1"/>
  <c r="AH559" i="13" a="1"/>
  <c r="AH559" i="13" s="1"/>
  <c r="AH535" i="13" a="1"/>
  <c r="AH535" i="13" s="1"/>
  <c r="AH540" i="13" a="1"/>
  <c r="AH540" i="13" s="1"/>
  <c r="AH539" i="13" a="1"/>
  <c r="AH539" i="13" s="1"/>
  <c r="AH544" i="13" a="1"/>
  <c r="AH544" i="13" s="1"/>
  <c r="AH543" i="13" a="1"/>
  <c r="AH543" i="13" s="1"/>
  <c r="AH532" i="13" a="1"/>
  <c r="AH532" i="13" s="1"/>
  <c r="AH523" i="13" a="1"/>
  <c r="AH523" i="13" s="1"/>
  <c r="AH536" i="13" a="1"/>
  <c r="AH536" i="13" s="1"/>
  <c r="AH531" i="13" a="1"/>
  <c r="AH531" i="13" s="1"/>
  <c r="AH519" i="13" a="1"/>
  <c r="AH519" i="13" s="1"/>
  <c r="AH524" i="13" a="1"/>
  <c r="AH524" i="13" s="1"/>
  <c r="AH527" i="13" a="1"/>
  <c r="AH527" i="13" s="1"/>
  <c r="AH528" i="13" a="1"/>
  <c r="AH528" i="13" s="1"/>
  <c r="AH494" i="13" a="1"/>
  <c r="AH494" i="13" s="1"/>
  <c r="AH506" i="13" a="1"/>
  <c r="AH506" i="13" s="1"/>
  <c r="AH498" i="13" a="1"/>
  <c r="AH498" i="13" s="1"/>
  <c r="AH510" i="13" a="1"/>
  <c r="AH510" i="13" s="1"/>
  <c r="AH502" i="13" a="1"/>
  <c r="AH502" i="13" s="1"/>
  <c r="AH474" i="13" a="1"/>
  <c r="AH474" i="13" s="1"/>
  <c r="AH479" i="13" a="1"/>
  <c r="AH479" i="13" s="1"/>
  <c r="AH478" i="13" a="1"/>
  <c r="AH478" i="13" s="1"/>
  <c r="AH486" i="13" a="1"/>
  <c r="AH486" i="13" s="1"/>
  <c r="AH482" i="13" a="1"/>
  <c r="AH482" i="13" s="1"/>
  <c r="AH490" i="13" a="1"/>
  <c r="AH490" i="13" s="1"/>
  <c r="AH471" i="13" a="1"/>
  <c r="AH471" i="13" s="1"/>
  <c r="AH453" i="13" a="1"/>
  <c r="AH453" i="13" s="1"/>
  <c r="AH452" i="13" a="1"/>
  <c r="AH452" i="13" s="1"/>
  <c r="AH470" i="13" a="1"/>
  <c r="AH470" i="13" s="1"/>
  <c r="AH457" i="13" a="1"/>
  <c r="AH457" i="13" s="1"/>
  <c r="AH456" i="13" a="1"/>
  <c r="AH456" i="13" s="1"/>
  <c r="AH461" i="13" a="1"/>
  <c r="AH461" i="13" s="1"/>
  <c r="AH460" i="13" a="1"/>
  <c r="AH460" i="13" s="1"/>
  <c r="AH448" i="13" a="1"/>
  <c r="AH448" i="13" s="1"/>
  <c r="AH444" i="13" a="1"/>
  <c r="AH444" i="13" s="1"/>
  <c r="AH441" i="13" a="1"/>
  <c r="AH441" i="13" s="1"/>
  <c r="AH445" i="13" a="1"/>
  <c r="AH445" i="13" s="1"/>
  <c r="AH429" i="13" a="1"/>
  <c r="AH429" i="13" s="1"/>
  <c r="AH437" i="13" a="1"/>
  <c r="AH437" i="13" s="1"/>
  <c r="AH436" i="13" a="1"/>
  <c r="AH436" i="13" s="1"/>
  <c r="AH449" i="13" a="1"/>
  <c r="AH449" i="13" s="1"/>
  <c r="AH432" i="13" a="1"/>
  <c r="AH432" i="13" s="1"/>
  <c r="AH412" i="13" a="1"/>
  <c r="AH412" i="13" s="1"/>
  <c r="AH411" i="13" a="1"/>
  <c r="AH411" i="13" s="1"/>
  <c r="AH425" i="13" a="1"/>
  <c r="AH425" i="13" s="1"/>
  <c r="AH396" i="13" a="1"/>
  <c r="AH396" i="13" s="1"/>
  <c r="AH395" i="13" a="1"/>
  <c r="AH395" i="13" s="1"/>
  <c r="AH424" i="13" a="1"/>
  <c r="AH424" i="13" s="1"/>
  <c r="AH415" i="13" a="1"/>
  <c r="AH415" i="13" s="1"/>
  <c r="AH400" i="13" a="1"/>
  <c r="AH400" i="13" s="1"/>
  <c r="AH440" i="13" a="1"/>
  <c r="AH440" i="13" s="1"/>
  <c r="AH416" i="13" a="1"/>
  <c r="AH416" i="13" s="1"/>
  <c r="AH428" i="13" a="1"/>
  <c r="AH428" i="13" s="1"/>
  <c r="AH408" i="13" a="1"/>
  <c r="AH408" i="13" s="1"/>
  <c r="AH374" i="13" a="1"/>
  <c r="AH374" i="13" s="1"/>
  <c r="AH378" i="13" a="1"/>
  <c r="AH378" i="13" s="1"/>
  <c r="AH433" i="13" a="1"/>
  <c r="AH433" i="13" s="1"/>
  <c r="AH403" i="13" a="1"/>
  <c r="AH403" i="13" s="1"/>
  <c r="AH399" i="13" a="1"/>
  <c r="AH399" i="13" s="1"/>
  <c r="AH388" i="13" a="1"/>
  <c r="AH388" i="13" s="1"/>
  <c r="AH387" i="13" a="1"/>
  <c r="AH387" i="13" s="1"/>
  <c r="AH392" i="13" a="1"/>
  <c r="AH392" i="13" s="1"/>
  <c r="AH391" i="13" a="1"/>
  <c r="AH391" i="13" s="1"/>
  <c r="AH407" i="13" a="1"/>
  <c r="AH407" i="13" s="1"/>
  <c r="AH404" i="13" a="1"/>
  <c r="AH404" i="13" s="1"/>
  <c r="AH346" i="13" a="1"/>
  <c r="AH346" i="13" s="1"/>
  <c r="AH345" i="13" a="1"/>
  <c r="AH345" i="13" s="1"/>
  <c r="AH367" i="13" a="1"/>
  <c r="AH367" i="13" s="1"/>
  <c r="AH370" i="13" a="1"/>
  <c r="AH370" i="13" s="1"/>
  <c r="AH363" i="13" a="1"/>
  <c r="AH363" i="13" s="1"/>
  <c r="AH325" i="13" a="1"/>
  <c r="AH325" i="13" s="1"/>
  <c r="AH324" i="13" a="1"/>
  <c r="AH324" i="13" s="1"/>
  <c r="AH350" i="13" a="1"/>
  <c r="AH350" i="13" s="1"/>
  <c r="AH349" i="13" a="1"/>
  <c r="AH349" i="13" s="1"/>
  <c r="AH329" i="13" a="1"/>
  <c r="AH329" i="13" s="1"/>
  <c r="AH328" i="13" a="1"/>
  <c r="AH328" i="13" s="1"/>
  <c r="AH354" i="13" a="1"/>
  <c r="AH354" i="13" s="1"/>
  <c r="AH353" i="13" a="1"/>
  <c r="AH353" i="13" s="1"/>
  <c r="AH366" i="13" a="1"/>
  <c r="AH366" i="13" s="1"/>
  <c r="AH342" i="13" a="1"/>
  <c r="AH342" i="13" s="1"/>
  <c r="AH341" i="13" a="1"/>
  <c r="AH341" i="13" s="1"/>
  <c r="AH362" i="13" a="1"/>
  <c r="AH362" i="13" s="1"/>
  <c r="AH280" i="13" a="1"/>
  <c r="AH280" i="13" s="1"/>
  <c r="AH279" i="13" a="1"/>
  <c r="AH279" i="13" s="1"/>
  <c r="AH338" i="13" a="1"/>
  <c r="AH338" i="13" s="1"/>
  <c r="AH284" i="13" a="1"/>
  <c r="AH284" i="13" s="1"/>
  <c r="AH283" i="13" a="1"/>
  <c r="AH283" i="13" s="1"/>
  <c r="AH309" i="13" a="1"/>
  <c r="AH309" i="13" s="1"/>
  <c r="AH308" i="13" a="1"/>
  <c r="AH308" i="13" s="1"/>
  <c r="AH263" i="13" a="1"/>
  <c r="AH263" i="13" s="1"/>
  <c r="AH288" i="13" a="1"/>
  <c r="AH288" i="13" s="1"/>
  <c r="AH287" i="13" a="1"/>
  <c r="AH287" i="13" s="1"/>
  <c r="AH312" i="13" a="1"/>
  <c r="AH312" i="13" s="1"/>
  <c r="AH337" i="13" a="1"/>
  <c r="AH337" i="13" s="1"/>
  <c r="AH292" i="13" a="1"/>
  <c r="AH292" i="13" s="1"/>
  <c r="AH291" i="13" a="1"/>
  <c r="AH291" i="13" s="1"/>
  <c r="AH320" i="13" a="1"/>
  <c r="AH320" i="13" s="1"/>
  <c r="AH296" i="13" a="1"/>
  <c r="AH296" i="13" s="1"/>
  <c r="AH295" i="13" a="1"/>
  <c r="AH295" i="13" s="1"/>
  <c r="AH316" i="13" a="1"/>
  <c r="AH316" i="13" s="1"/>
  <c r="AH300" i="13" a="1"/>
  <c r="AH300" i="13" s="1"/>
  <c r="AH299" i="13" a="1"/>
  <c r="AH299" i="13" s="1"/>
  <c r="AH251" i="13" a="1"/>
  <c r="AH251" i="13" s="1"/>
  <c r="AH250" i="13" a="1"/>
  <c r="AH250" i="13" s="1"/>
  <c r="AH255" i="13" a="1"/>
  <c r="AH255" i="13" s="1"/>
  <c r="AH254" i="13" a="1"/>
  <c r="AH254" i="13" s="1"/>
  <c r="AH259" i="13" a="1"/>
  <c r="AH259" i="13" s="1"/>
  <c r="AH233" i="13" a="1"/>
  <c r="AH233" i="13" s="1"/>
  <c r="AH262" i="13" a="1"/>
  <c r="AH262" i="13" s="1"/>
  <c r="AH258" i="13" a="1"/>
  <c r="AH258" i="13" s="1"/>
  <c r="AH238" i="13" a="1"/>
  <c r="AH238" i="13" s="1"/>
  <c r="AH237" i="13" a="1"/>
  <c r="AH237" i="13" s="1"/>
  <c r="AH271" i="13" a="1"/>
  <c r="AH271" i="13" s="1"/>
  <c r="AH270" i="13" a="1"/>
  <c r="AH270" i="13" s="1"/>
  <c r="I229" i="13" a="1"/>
  <c r="I229" i="13" s="1"/>
  <c r="AF229" i="13" a="1"/>
  <c r="AF229" i="13" s="1"/>
  <c r="Q233" i="13" a="1"/>
  <c r="Q233" i="13" s="1"/>
  <c r="Q234" i="13" a="1"/>
  <c r="Q234" i="13" s="1"/>
  <c r="K237" i="13" a="1"/>
  <c r="K237" i="13" s="1"/>
  <c r="Z237" i="13" a="1"/>
  <c r="Z237" i="13" s="1"/>
  <c r="H242" i="13" a="1"/>
  <c r="H242" i="13" s="1"/>
  <c r="J255" i="13" a="1"/>
  <c r="J255" i="13" s="1"/>
  <c r="AH267" i="13" a="1"/>
  <c r="AH267" i="13" s="1"/>
  <c r="I279" i="13" a="1"/>
  <c r="I279" i="13" s="1"/>
  <c r="O569" i="13" a="1"/>
  <c r="O569" i="13" s="1"/>
  <c r="O568" i="13" a="1"/>
  <c r="O568" i="13" s="1"/>
  <c r="O580" i="13" a="1"/>
  <c r="O580" i="13" s="1"/>
  <c r="O581" i="13" a="1"/>
  <c r="O581" i="13" s="1"/>
  <c r="O572" i="13" a="1"/>
  <c r="O572" i="13" s="1"/>
  <c r="O573" i="13" a="1"/>
  <c r="O573" i="13" s="1"/>
  <c r="O560" i="13" a="1"/>
  <c r="O560" i="13" s="1"/>
  <c r="O559" i="13" a="1"/>
  <c r="O559" i="13" s="1"/>
  <c r="O552" i="13" a="1"/>
  <c r="O552" i="13" s="1"/>
  <c r="O551" i="13" a="1"/>
  <c r="O551" i="13" s="1"/>
  <c r="O556" i="13" a="1"/>
  <c r="O556" i="13" s="1"/>
  <c r="O555" i="13" a="1"/>
  <c r="O555" i="13" s="1"/>
  <c r="O535" i="13" a="1"/>
  <c r="O535" i="13" s="1"/>
  <c r="O576" i="13" a="1"/>
  <c r="O576" i="13" s="1"/>
  <c r="O548" i="13" a="1"/>
  <c r="O548" i="13" s="1"/>
  <c r="O536" i="13" a="1"/>
  <c r="O536" i="13" s="1"/>
  <c r="O577" i="13" a="1"/>
  <c r="O577" i="13" s="1"/>
  <c r="O539" i="13" a="1"/>
  <c r="O539" i="13" s="1"/>
  <c r="O544" i="13" a="1"/>
  <c r="O544" i="13" s="1"/>
  <c r="O547" i="13" a="1"/>
  <c r="O547" i="13" s="1"/>
  <c r="O532" i="13" a="1"/>
  <c r="O532" i="13" s="1"/>
  <c r="O540" i="13" a="1"/>
  <c r="O540" i="13" s="1"/>
  <c r="O528" i="13" a="1"/>
  <c r="O528" i="13" s="1"/>
  <c r="O520" i="13" a="1"/>
  <c r="O520" i="13" s="1"/>
  <c r="O519" i="13" a="1"/>
  <c r="O519" i="13" s="1"/>
  <c r="O531" i="13" a="1"/>
  <c r="O531" i="13" s="1"/>
  <c r="O523" i="13" a="1"/>
  <c r="O523" i="13" s="1"/>
  <c r="O543" i="13" a="1"/>
  <c r="O543" i="13" s="1"/>
  <c r="O503" i="13" a="1"/>
  <c r="O503" i="13" s="1"/>
  <c r="O524" i="13" a="1"/>
  <c r="O524" i="13" s="1"/>
  <c r="O511" i="13" a="1"/>
  <c r="O511" i="13" s="1"/>
  <c r="O502" i="13" a="1"/>
  <c r="O502" i="13" s="1"/>
  <c r="O510" i="13" a="1"/>
  <c r="O510" i="13" s="1"/>
  <c r="O527" i="13" a="1"/>
  <c r="O527" i="13" s="1"/>
  <c r="O507" i="13" a="1"/>
  <c r="O507" i="13" s="1"/>
  <c r="O490" i="13" a="1"/>
  <c r="O490" i="13" s="1"/>
  <c r="O486" i="13" a="1"/>
  <c r="O486" i="13" s="1"/>
  <c r="O479" i="13" a="1"/>
  <c r="O479" i="13" s="1"/>
  <c r="O478" i="13" a="1"/>
  <c r="O478" i="13" s="1"/>
  <c r="O494" i="13" a="1"/>
  <c r="O494" i="13" s="1"/>
  <c r="O482" i="13" a="1"/>
  <c r="O482" i="13" s="1"/>
  <c r="O506" i="13" a="1"/>
  <c r="O506" i="13" s="1"/>
  <c r="O498" i="13" a="1"/>
  <c r="O498" i="13" s="1"/>
  <c r="O453" i="13" a="1"/>
  <c r="O453" i="13" s="1"/>
  <c r="O452" i="13" a="1"/>
  <c r="O452" i="13" s="1"/>
  <c r="O474" i="13" a="1"/>
  <c r="O474" i="13" s="1"/>
  <c r="O457" i="13" a="1"/>
  <c r="O457" i="13" s="1"/>
  <c r="O456" i="13" a="1"/>
  <c r="O456" i="13" s="1"/>
  <c r="O475" i="13" a="1"/>
  <c r="O475" i="13" s="1"/>
  <c r="O491" i="13" a="1"/>
  <c r="O491" i="13" s="1"/>
  <c r="O461" i="13" a="1"/>
  <c r="O461" i="13" s="1"/>
  <c r="O460" i="13" a="1"/>
  <c r="O460" i="13" s="1"/>
  <c r="O471" i="13" a="1"/>
  <c r="O471" i="13" s="1"/>
  <c r="O470" i="13" a="1"/>
  <c r="O470" i="13" s="1"/>
  <c r="O425" i="13" a="1"/>
  <c r="O425" i="13" s="1"/>
  <c r="O424" i="13" a="1"/>
  <c r="O424" i="13" s="1"/>
  <c r="O429" i="13" a="1"/>
  <c r="O429" i="13" s="1"/>
  <c r="O428" i="13" a="1"/>
  <c r="O428" i="13" s="1"/>
  <c r="O444" i="13" a="1"/>
  <c r="O444" i="13" s="1"/>
  <c r="O433" i="13" a="1"/>
  <c r="O433" i="13" s="1"/>
  <c r="O432" i="13" a="1"/>
  <c r="O432" i="13" s="1"/>
  <c r="O445" i="13" a="1"/>
  <c r="O445" i="13" s="1"/>
  <c r="O437" i="13" a="1"/>
  <c r="O437" i="13" s="1"/>
  <c r="O441" i="13" a="1"/>
  <c r="O441" i="13" s="1"/>
  <c r="O440" i="13" a="1"/>
  <c r="O440" i="13" s="1"/>
  <c r="O449" i="13" a="1"/>
  <c r="O449" i="13" s="1"/>
  <c r="O448" i="13" a="1"/>
  <c r="O448" i="13" s="1"/>
  <c r="O400" i="13" a="1"/>
  <c r="O400" i="13" s="1"/>
  <c r="O399" i="13" a="1"/>
  <c r="O399" i="13" s="1"/>
  <c r="O404" i="13" a="1"/>
  <c r="O404" i="13" s="1"/>
  <c r="O403" i="13" a="1"/>
  <c r="O403" i="13" s="1"/>
  <c r="O436" i="13" a="1"/>
  <c r="O436" i="13" s="1"/>
  <c r="O408" i="13" a="1"/>
  <c r="O408" i="13" s="1"/>
  <c r="O379" i="13" a="1"/>
  <c r="O379" i="13" s="1"/>
  <c r="O378" i="13" a="1"/>
  <c r="O378" i="13" s="1"/>
  <c r="O395" i="13" a="1"/>
  <c r="O395" i="13" s="1"/>
  <c r="O388" i="13" a="1"/>
  <c r="O388" i="13" s="1"/>
  <c r="O387" i="13" a="1"/>
  <c r="O387" i="13" s="1"/>
  <c r="O407" i="13" a="1"/>
  <c r="O407" i="13" s="1"/>
  <c r="O392" i="13" a="1"/>
  <c r="O392" i="13" s="1"/>
  <c r="O391" i="13" a="1"/>
  <c r="O391" i="13" s="1"/>
  <c r="O412" i="13" a="1"/>
  <c r="O412" i="13" s="1"/>
  <c r="O411" i="13" a="1"/>
  <c r="O411" i="13" s="1"/>
  <c r="O416" i="13" a="1"/>
  <c r="O416" i="13" s="1"/>
  <c r="O396" i="13" a="1"/>
  <c r="O396" i="13" s="1"/>
  <c r="O325" i="13" a="1"/>
  <c r="O325" i="13" s="1"/>
  <c r="O324" i="13" a="1"/>
  <c r="O324" i="13" s="1"/>
  <c r="O371" i="13" a="1"/>
  <c r="O371" i="13" s="1"/>
  <c r="O366" i="13" a="1"/>
  <c r="O366" i="13" s="1"/>
  <c r="O350" i="13" a="1"/>
  <c r="O350" i="13" s="1"/>
  <c r="O349" i="13" a="1"/>
  <c r="O349" i="13" s="1"/>
  <c r="O415" i="13" a="1"/>
  <c r="O415" i="13" s="1"/>
  <c r="O370" i="13" a="1"/>
  <c r="O370" i="13" s="1"/>
  <c r="O329" i="13" a="1"/>
  <c r="O329" i="13" s="1"/>
  <c r="O328" i="13" a="1"/>
  <c r="O328" i="13" s="1"/>
  <c r="O354" i="13" a="1"/>
  <c r="O354" i="13" s="1"/>
  <c r="O353" i="13" a="1"/>
  <c r="O353" i="13" s="1"/>
  <c r="O367" i="13" a="1"/>
  <c r="O367" i="13" s="1"/>
  <c r="O363" i="13" a="1"/>
  <c r="O363" i="13" s="1"/>
  <c r="O338" i="13" a="1"/>
  <c r="O338" i="13" s="1"/>
  <c r="O337" i="13" a="1"/>
  <c r="O337" i="13" s="1"/>
  <c r="O362" i="13" a="1"/>
  <c r="O362" i="13" s="1"/>
  <c r="O374" i="13" a="1"/>
  <c r="O374" i="13" s="1"/>
  <c r="O346" i="13" a="1"/>
  <c r="O346" i="13" s="1"/>
  <c r="O345" i="13" a="1"/>
  <c r="O345" i="13" s="1"/>
  <c r="O259" i="13" a="1"/>
  <c r="O259" i="13" s="1"/>
  <c r="O284" i="13" a="1"/>
  <c r="O284" i="13" s="1"/>
  <c r="O283" i="13" a="1"/>
  <c r="O283" i="13" s="1"/>
  <c r="O342" i="13" a="1"/>
  <c r="O342" i="13" s="1"/>
  <c r="O309" i="13" a="1"/>
  <c r="O309" i="13" s="1"/>
  <c r="O308" i="13" a="1"/>
  <c r="O308" i="13" s="1"/>
  <c r="O341" i="13" a="1"/>
  <c r="O341" i="13" s="1"/>
  <c r="O263" i="13" a="1"/>
  <c r="O263" i="13" s="1"/>
  <c r="O262" i="13" a="1"/>
  <c r="O262" i="13" s="1"/>
  <c r="O316" i="13" a="1"/>
  <c r="O316" i="13" s="1"/>
  <c r="O288" i="13" a="1"/>
  <c r="O288" i="13" s="1"/>
  <c r="O287" i="13" a="1"/>
  <c r="O287" i="13" s="1"/>
  <c r="O313" i="13" a="1"/>
  <c r="O313" i="13" s="1"/>
  <c r="O312" i="13" a="1"/>
  <c r="O312" i="13" s="1"/>
  <c r="O267" i="13" a="1"/>
  <c r="O267" i="13" s="1"/>
  <c r="O266" i="13" a="1"/>
  <c r="O266" i="13" s="1"/>
  <c r="O320" i="13" a="1"/>
  <c r="O320" i="13" s="1"/>
  <c r="O292" i="13" a="1"/>
  <c r="O292" i="13" s="1"/>
  <c r="O291" i="13" a="1"/>
  <c r="O291" i="13" s="1"/>
  <c r="O317" i="13" a="1"/>
  <c r="O317" i="13" s="1"/>
  <c r="O375" i="13" a="1"/>
  <c r="O375" i="13" s="1"/>
  <c r="O296" i="13" a="1"/>
  <c r="O296" i="13" s="1"/>
  <c r="O295" i="13" a="1"/>
  <c r="O295" i="13" s="1"/>
  <c r="O300" i="13" a="1"/>
  <c r="O300" i="13" s="1"/>
  <c r="O299" i="13" a="1"/>
  <c r="O299" i="13" s="1"/>
  <c r="O321" i="13" a="1"/>
  <c r="O321" i="13" s="1"/>
  <c r="O255" i="13" a="1"/>
  <c r="O255" i="13" s="1"/>
  <c r="O254" i="13" a="1"/>
  <c r="O254" i="13" s="1"/>
  <c r="O258" i="13" a="1"/>
  <c r="O258" i="13" s="1"/>
  <c r="O238" i="13" a="1"/>
  <c r="O238" i="13" s="1"/>
  <c r="O237" i="13" a="1"/>
  <c r="O237" i="13" s="1"/>
  <c r="O271" i="13" a="1"/>
  <c r="O271" i="13" s="1"/>
  <c r="O270" i="13" a="1"/>
  <c r="O270" i="13" s="1"/>
  <c r="O242" i="13" a="1"/>
  <c r="O242" i="13" s="1"/>
  <c r="O241" i="13" a="1"/>
  <c r="O241" i="13" s="1"/>
  <c r="O280" i="13" a="1"/>
  <c r="O280" i="13" s="1"/>
  <c r="O251" i="13" a="1"/>
  <c r="O251" i="13" s="1"/>
  <c r="O250" i="13" a="1"/>
  <c r="O250" i="13" s="1"/>
  <c r="AI568" i="13" a="1"/>
  <c r="AI568" i="13" s="1"/>
  <c r="AI580" i="13" a="1"/>
  <c r="AI580" i="13" s="1"/>
  <c r="AI572" i="13" a="1"/>
  <c r="AI572" i="13" s="1"/>
  <c r="AI573" i="13" a="1"/>
  <c r="AI573" i="13" s="1"/>
  <c r="AI560" i="13" a="1"/>
  <c r="AI560" i="13" s="1"/>
  <c r="AI559" i="13" a="1"/>
  <c r="AI559" i="13" s="1"/>
  <c r="AI551" i="13" a="1"/>
  <c r="AI551" i="13" s="1"/>
  <c r="AI577" i="13" a="1"/>
  <c r="AI577" i="13" s="1"/>
  <c r="AI576" i="13" a="1"/>
  <c r="AI576" i="13" s="1"/>
  <c r="AI555" i="13" a="1"/>
  <c r="AI555" i="13" s="1"/>
  <c r="AI535" i="13" a="1"/>
  <c r="AI535" i="13" s="1"/>
  <c r="AI548" i="13" a="1"/>
  <c r="AI548" i="13" s="1"/>
  <c r="AI540" i="13" a="1"/>
  <c r="AI540" i="13" s="1"/>
  <c r="AI539" i="13" a="1"/>
  <c r="AI539" i="13" s="1"/>
  <c r="AI544" i="13" a="1"/>
  <c r="AI544" i="13" s="1"/>
  <c r="AI543" i="13" a="1"/>
  <c r="AI543" i="13" s="1"/>
  <c r="AI547" i="13" a="1"/>
  <c r="AI547" i="13" s="1"/>
  <c r="AI523" i="13" a="1"/>
  <c r="AI523" i="13" s="1"/>
  <c r="AI536" i="13" a="1"/>
  <c r="AI536" i="13" s="1"/>
  <c r="AI531" i="13" a="1"/>
  <c r="AI531" i="13" s="1"/>
  <c r="AI519" i="13" a="1"/>
  <c r="AI519" i="13" s="1"/>
  <c r="AI524" i="13" a="1"/>
  <c r="AI524" i="13" s="1"/>
  <c r="AI527" i="13" a="1"/>
  <c r="AI527" i="13" s="1"/>
  <c r="AI528" i="13" a="1"/>
  <c r="AI528" i="13" s="1"/>
  <c r="AI532" i="13" a="1"/>
  <c r="AI532" i="13" s="1"/>
  <c r="AI511" i="13" a="1"/>
  <c r="AI511" i="13" s="1"/>
  <c r="AI506" i="13" a="1"/>
  <c r="AI506" i="13" s="1"/>
  <c r="AI510" i="13" a="1"/>
  <c r="AI510" i="13" s="1"/>
  <c r="AI503" i="13" a="1"/>
  <c r="AI503" i="13" s="1"/>
  <c r="AI502" i="13" a="1"/>
  <c r="AI502" i="13" s="1"/>
  <c r="AI479" i="13" a="1"/>
  <c r="AI479" i="13" s="1"/>
  <c r="AI478" i="13" a="1"/>
  <c r="AI478" i="13" s="1"/>
  <c r="AI482" i="13" a="1"/>
  <c r="AI482" i="13" s="1"/>
  <c r="AI486" i="13" a="1"/>
  <c r="AI486" i="13" s="1"/>
  <c r="AI490" i="13" a="1"/>
  <c r="AI490" i="13" s="1"/>
  <c r="AI498" i="13" a="1"/>
  <c r="AI498" i="13" s="1"/>
  <c r="AI494" i="13" a="1"/>
  <c r="AI494" i="13" s="1"/>
  <c r="AI453" i="13" a="1"/>
  <c r="AI453" i="13" s="1"/>
  <c r="AI452" i="13" a="1"/>
  <c r="AI452" i="13" s="1"/>
  <c r="AI470" i="13" a="1"/>
  <c r="AI470" i="13" s="1"/>
  <c r="AI457" i="13" a="1"/>
  <c r="AI457" i="13" s="1"/>
  <c r="AI456" i="13" a="1"/>
  <c r="AI456" i="13" s="1"/>
  <c r="AI461" i="13" a="1"/>
  <c r="AI461" i="13" s="1"/>
  <c r="AI460" i="13" a="1"/>
  <c r="AI460" i="13" s="1"/>
  <c r="AI471" i="13" a="1"/>
  <c r="AI471" i="13" s="1"/>
  <c r="AI441" i="13" a="1"/>
  <c r="AI441" i="13" s="1"/>
  <c r="AI425" i="13" a="1"/>
  <c r="AI425" i="13" s="1"/>
  <c r="AI424" i="13" a="1"/>
  <c r="AI424" i="13" s="1"/>
  <c r="AI445" i="13" a="1"/>
  <c r="AI445" i="13" s="1"/>
  <c r="AI474" i="13" a="1"/>
  <c r="AI474" i="13" s="1"/>
  <c r="AI429" i="13" a="1"/>
  <c r="AI429" i="13" s="1"/>
  <c r="AI428" i="13" a="1"/>
  <c r="AI428" i="13" s="1"/>
  <c r="AI433" i="13" a="1"/>
  <c r="AI433" i="13" s="1"/>
  <c r="AI432" i="13" a="1"/>
  <c r="AI432" i="13" s="1"/>
  <c r="AI437" i="13" a="1"/>
  <c r="AI437" i="13" s="1"/>
  <c r="AI436" i="13" a="1"/>
  <c r="AI436" i="13" s="1"/>
  <c r="AI440" i="13" a="1"/>
  <c r="AI440" i="13" s="1"/>
  <c r="AI449" i="13" a="1"/>
  <c r="AI449" i="13" s="1"/>
  <c r="AI448" i="13" a="1"/>
  <c r="AI448" i="13" s="1"/>
  <c r="AI444" i="13" a="1"/>
  <c r="AI444" i="13" s="1"/>
  <c r="AI415" i="13" a="1"/>
  <c r="AI415" i="13" s="1"/>
  <c r="AI400" i="13" a="1"/>
  <c r="AI400" i="13" s="1"/>
  <c r="AI399" i="13" a="1"/>
  <c r="AI399" i="13" s="1"/>
  <c r="AI416" i="13" a="1"/>
  <c r="AI416" i="13" s="1"/>
  <c r="AI404" i="13" a="1"/>
  <c r="AI404" i="13" s="1"/>
  <c r="AI403" i="13" a="1"/>
  <c r="AI403" i="13" s="1"/>
  <c r="AI378" i="13" a="1"/>
  <c r="AI378" i="13" s="1"/>
  <c r="AI412" i="13" a="1"/>
  <c r="AI412" i="13" s="1"/>
  <c r="AI395" i="13" a="1"/>
  <c r="AI395" i="13" s="1"/>
  <c r="AI411" i="13" a="1"/>
  <c r="AI411" i="13" s="1"/>
  <c r="AI388" i="13" a="1"/>
  <c r="AI388" i="13" s="1"/>
  <c r="AI387" i="13" a="1"/>
  <c r="AI387" i="13" s="1"/>
  <c r="AI408" i="13" a="1"/>
  <c r="AI408" i="13" s="1"/>
  <c r="AI392" i="13" a="1"/>
  <c r="AI392" i="13" s="1"/>
  <c r="AI391" i="13" a="1"/>
  <c r="AI391" i="13" s="1"/>
  <c r="AI407" i="13" a="1"/>
  <c r="AI407" i="13" s="1"/>
  <c r="AI370" i="13" a="1"/>
  <c r="AI370" i="13" s="1"/>
  <c r="AI325" i="13" a="1"/>
  <c r="AI325" i="13" s="1"/>
  <c r="AI324" i="13" a="1"/>
  <c r="AI324" i="13" s="1"/>
  <c r="AI350" i="13" a="1"/>
  <c r="AI350" i="13" s="1"/>
  <c r="AI349" i="13" a="1"/>
  <c r="AI349" i="13" s="1"/>
  <c r="AI374" i="13" a="1"/>
  <c r="AI374" i="13" s="1"/>
  <c r="AI329" i="13" a="1"/>
  <c r="AI329" i="13" s="1"/>
  <c r="AI328" i="13" a="1"/>
  <c r="AI328" i="13" s="1"/>
  <c r="AI354" i="13" a="1"/>
  <c r="AI354" i="13" s="1"/>
  <c r="AI353" i="13" a="1"/>
  <c r="AI353" i="13" s="1"/>
  <c r="AI396" i="13" a="1"/>
  <c r="AI396" i="13" s="1"/>
  <c r="AI338" i="13" a="1"/>
  <c r="AI338" i="13" s="1"/>
  <c r="AI337" i="13" a="1"/>
  <c r="AI337" i="13" s="1"/>
  <c r="AI362" i="13" a="1"/>
  <c r="AI362" i="13" s="1"/>
  <c r="AI346" i="13" a="1"/>
  <c r="AI346" i="13" s="1"/>
  <c r="AI345" i="13" a="1"/>
  <c r="AI345" i="13" s="1"/>
  <c r="AI367" i="13" a="1"/>
  <c r="AI367" i="13" s="1"/>
  <c r="AI259" i="13" a="1"/>
  <c r="AI259" i="13" s="1"/>
  <c r="AI258" i="13" a="1"/>
  <c r="AI258" i="13" s="1"/>
  <c r="AI284" i="13" a="1"/>
  <c r="AI284" i="13" s="1"/>
  <c r="AI283" i="13" a="1"/>
  <c r="AI283" i="13" s="1"/>
  <c r="AI308" i="13" a="1"/>
  <c r="AI308" i="13" s="1"/>
  <c r="AI263" i="13" a="1"/>
  <c r="AI263" i="13" s="1"/>
  <c r="AI262" i="13" a="1"/>
  <c r="AI262" i="13" s="1"/>
  <c r="AI288" i="13" a="1"/>
  <c r="AI288" i="13" s="1"/>
  <c r="AI287" i="13" a="1"/>
  <c r="AI287" i="13" s="1"/>
  <c r="AI366" i="13" a="1"/>
  <c r="AI366" i="13" s="1"/>
  <c r="AI312" i="13" a="1"/>
  <c r="AI312" i="13" s="1"/>
  <c r="AI267" i="13" a="1"/>
  <c r="AI267" i="13" s="1"/>
  <c r="AI266" i="13" a="1"/>
  <c r="AI266" i="13" s="1"/>
  <c r="AI292" i="13" a="1"/>
  <c r="AI292" i="13" s="1"/>
  <c r="AI291" i="13" a="1"/>
  <c r="AI291" i="13" s="1"/>
  <c r="AI342" i="13" a="1"/>
  <c r="AI342" i="13" s="1"/>
  <c r="AI341" i="13" a="1"/>
  <c r="AI341" i="13" s="1"/>
  <c r="AI320" i="13" a="1"/>
  <c r="AI320" i="13" s="1"/>
  <c r="AI296" i="13" a="1"/>
  <c r="AI296" i="13" s="1"/>
  <c r="AI295" i="13" a="1"/>
  <c r="AI295" i="13" s="1"/>
  <c r="AI316" i="13" a="1"/>
  <c r="AI316" i="13" s="1"/>
  <c r="AI300" i="13" a="1"/>
  <c r="AI300" i="13" s="1"/>
  <c r="AI299" i="13" a="1"/>
  <c r="AI299" i="13" s="1"/>
  <c r="AI255" i="13" a="1"/>
  <c r="AI255" i="13" s="1"/>
  <c r="AI254" i="13" a="1"/>
  <c r="AI254" i="13" s="1"/>
  <c r="AI238" i="13" a="1"/>
  <c r="AI238" i="13" s="1"/>
  <c r="AI237" i="13" a="1"/>
  <c r="AI237" i="13" s="1"/>
  <c r="AI271" i="13" a="1"/>
  <c r="AI271" i="13" s="1"/>
  <c r="AI270" i="13" a="1"/>
  <c r="AI270" i="13" s="1"/>
  <c r="AI280" i="13" a="1"/>
  <c r="AI280" i="13" s="1"/>
  <c r="AI242" i="13" a="1"/>
  <c r="AI242" i="13" s="1"/>
  <c r="AI241" i="13" a="1"/>
  <c r="AI241" i="13" s="1"/>
  <c r="AI279" i="13" a="1"/>
  <c r="AI279" i="13" s="1"/>
  <c r="AI251" i="13" a="1"/>
  <c r="AI251" i="13" s="1"/>
  <c r="AI250" i="13" a="1"/>
  <c r="AI250" i="13" s="1"/>
  <c r="K221" i="13" a="1"/>
  <c r="K221" i="13" s="1"/>
  <c r="K222" i="13" a="1"/>
  <c r="K222" i="13" s="1"/>
  <c r="Y225" i="13" a="1"/>
  <c r="Y225" i="13" s="1"/>
  <c r="H230" i="13" a="1"/>
  <c r="H230" i="13" s="1"/>
  <c r="I238" i="13" a="1"/>
  <c r="I238" i="13" s="1"/>
  <c r="U238" i="13" a="1"/>
  <c r="U238" i="13" s="1"/>
  <c r="X241" i="13" a="1"/>
  <c r="X241" i="13" s="1"/>
  <c r="O279" i="13" a="1"/>
  <c r="O279" i="13" s="1"/>
  <c r="P580" i="13" a="1"/>
  <c r="P580" i="13" s="1"/>
  <c r="P581" i="13" a="1"/>
  <c r="P581" i="13" s="1"/>
  <c r="P572" i="13" a="1"/>
  <c r="P572" i="13" s="1"/>
  <c r="P573" i="13" a="1"/>
  <c r="P573" i="13" s="1"/>
  <c r="P560" i="13" a="1"/>
  <c r="P560" i="13" s="1"/>
  <c r="P559" i="13" a="1"/>
  <c r="P559" i="13" s="1"/>
  <c r="P552" i="13" a="1"/>
  <c r="P552" i="13" s="1"/>
  <c r="P551" i="13" a="1"/>
  <c r="P551" i="13" s="1"/>
  <c r="P555" i="13" a="1"/>
  <c r="P555" i="13" s="1"/>
  <c r="P568" i="13" a="1"/>
  <c r="P568" i="13" s="1"/>
  <c r="P548" i="13" a="1"/>
  <c r="P548" i="13" s="1"/>
  <c r="P536" i="13" a="1"/>
  <c r="P536" i="13" s="1"/>
  <c r="P576" i="13" a="1"/>
  <c r="P576" i="13" s="1"/>
  <c r="P524" i="13" a="1"/>
  <c r="P524" i="13" s="1"/>
  <c r="P523" i="13" a="1"/>
  <c r="P523" i="13" s="1"/>
  <c r="P547" i="13" a="1"/>
  <c r="P547" i="13" s="1"/>
  <c r="P577" i="13" a="1"/>
  <c r="P577" i="13" s="1"/>
  <c r="P544" i="13" a="1"/>
  <c r="P544" i="13" s="1"/>
  <c r="P543" i="13" a="1"/>
  <c r="P543" i="13" s="1"/>
  <c r="P528" i="13" a="1"/>
  <c r="P528" i="13" s="1"/>
  <c r="P519" i="13" a="1"/>
  <c r="P519" i="13" s="1"/>
  <c r="P539" i="13" a="1"/>
  <c r="P539" i="13" s="1"/>
  <c r="P531" i="13" a="1"/>
  <c r="P531" i="13" s="1"/>
  <c r="P535" i="13" a="1"/>
  <c r="P535" i="13" s="1"/>
  <c r="P532" i="13" a="1"/>
  <c r="P532" i="13" s="1"/>
  <c r="P540" i="13" a="1"/>
  <c r="P540" i="13" s="1"/>
  <c r="P511" i="13" a="1"/>
  <c r="P511" i="13" s="1"/>
  <c r="P498" i="13" a="1"/>
  <c r="P498" i="13" s="1"/>
  <c r="P502" i="13" a="1"/>
  <c r="P502" i="13" s="1"/>
  <c r="P510" i="13" a="1"/>
  <c r="P510" i="13" s="1"/>
  <c r="P506" i="13" a="1"/>
  <c r="P506" i="13" s="1"/>
  <c r="P490" i="13" a="1"/>
  <c r="P490" i="13" s="1"/>
  <c r="P503" i="13" a="1"/>
  <c r="P503" i="13" s="1"/>
  <c r="P494" i="13" a="1"/>
  <c r="P494" i="13" s="1"/>
  <c r="P482" i="13" a="1"/>
  <c r="P482" i="13" s="1"/>
  <c r="P527" i="13" a="1"/>
  <c r="P527" i="13" s="1"/>
  <c r="P479" i="13" a="1"/>
  <c r="P479" i="13" s="1"/>
  <c r="P474" i="13" a="1"/>
  <c r="P474" i="13" s="1"/>
  <c r="P457" i="13" a="1"/>
  <c r="P457" i="13" s="1"/>
  <c r="P456" i="13" a="1"/>
  <c r="P456" i="13" s="1"/>
  <c r="P478" i="13" a="1"/>
  <c r="P478" i="13" s="1"/>
  <c r="P461" i="13" a="1"/>
  <c r="P461" i="13" s="1"/>
  <c r="P460" i="13" a="1"/>
  <c r="P460" i="13" s="1"/>
  <c r="P471" i="13" a="1"/>
  <c r="P471" i="13" s="1"/>
  <c r="P453" i="13" a="1"/>
  <c r="P453" i="13" s="1"/>
  <c r="P452" i="13" a="1"/>
  <c r="P452" i="13" s="1"/>
  <c r="P486" i="13" a="1"/>
  <c r="P486" i="13" s="1"/>
  <c r="P429" i="13" a="1"/>
  <c r="P429" i="13" s="1"/>
  <c r="P428" i="13" a="1"/>
  <c r="P428" i="13" s="1"/>
  <c r="P444" i="13" a="1"/>
  <c r="P444" i="13" s="1"/>
  <c r="P433" i="13" a="1"/>
  <c r="P433" i="13" s="1"/>
  <c r="P432" i="13" a="1"/>
  <c r="P432" i="13" s="1"/>
  <c r="P445" i="13" a="1"/>
  <c r="P445" i="13" s="1"/>
  <c r="P437" i="13" a="1"/>
  <c r="P437" i="13" s="1"/>
  <c r="P436" i="13" a="1"/>
  <c r="P436" i="13" s="1"/>
  <c r="P449" i="13" a="1"/>
  <c r="P449" i="13" s="1"/>
  <c r="P448" i="13" a="1"/>
  <c r="P448" i="13" s="1"/>
  <c r="P396" i="13" a="1"/>
  <c r="P396" i="13" s="1"/>
  <c r="P395" i="13" a="1"/>
  <c r="P395" i="13" s="1"/>
  <c r="P425" i="13" a="1"/>
  <c r="P425" i="13" s="1"/>
  <c r="P441" i="13" a="1"/>
  <c r="P441" i="13" s="1"/>
  <c r="P404" i="13" a="1"/>
  <c r="P404" i="13" s="1"/>
  <c r="P403" i="13" a="1"/>
  <c r="P403" i="13" s="1"/>
  <c r="P470" i="13" a="1"/>
  <c r="P470" i="13" s="1"/>
  <c r="P424" i="13" a="1"/>
  <c r="P424" i="13" s="1"/>
  <c r="P415" i="13" a="1"/>
  <c r="P415" i="13" s="1"/>
  <c r="P408" i="13" a="1"/>
  <c r="P408" i="13" s="1"/>
  <c r="P407" i="13" a="1"/>
  <c r="P407" i="13" s="1"/>
  <c r="P440" i="13" a="1"/>
  <c r="P440" i="13" s="1"/>
  <c r="P416" i="13" a="1"/>
  <c r="P416" i="13" s="1"/>
  <c r="P412" i="13" a="1"/>
  <c r="P412" i="13" s="1"/>
  <c r="P411" i="13" a="1"/>
  <c r="P411" i="13" s="1"/>
  <c r="P379" i="13" a="1"/>
  <c r="P379" i="13" s="1"/>
  <c r="P378" i="13" a="1"/>
  <c r="P378" i="13" s="1"/>
  <c r="P363" i="13" a="1"/>
  <c r="P363" i="13" s="1"/>
  <c r="P388" i="13" a="1"/>
  <c r="P388" i="13" s="1"/>
  <c r="P387" i="13" a="1"/>
  <c r="P387" i="13" s="1"/>
  <c r="P399" i="13" a="1"/>
  <c r="P399" i="13" s="1"/>
  <c r="P392" i="13" a="1"/>
  <c r="P392" i="13" s="1"/>
  <c r="P391" i="13" a="1"/>
  <c r="P391" i="13" s="1"/>
  <c r="P400" i="13" a="1"/>
  <c r="P400" i="13" s="1"/>
  <c r="P371" i="13" a="1"/>
  <c r="P371" i="13" s="1"/>
  <c r="P370" i="13" a="1"/>
  <c r="P370" i="13" s="1"/>
  <c r="P329" i="13" a="1"/>
  <c r="P329" i="13" s="1"/>
  <c r="P328" i="13" a="1"/>
  <c r="P328" i="13" s="1"/>
  <c r="P354" i="13" a="1"/>
  <c r="P354" i="13" s="1"/>
  <c r="P353" i="13" a="1"/>
  <c r="P353" i="13" s="1"/>
  <c r="P367" i="13" a="1"/>
  <c r="P367" i="13" s="1"/>
  <c r="P338" i="13" a="1"/>
  <c r="P338" i="13" s="1"/>
  <c r="P337" i="13" a="1"/>
  <c r="P337" i="13" s="1"/>
  <c r="P362" i="13" a="1"/>
  <c r="P362" i="13" s="1"/>
  <c r="P342" i="13" a="1"/>
  <c r="P342" i="13" s="1"/>
  <c r="P341" i="13" a="1"/>
  <c r="P341" i="13" s="1"/>
  <c r="P346" i="13" a="1"/>
  <c r="P346" i="13" s="1"/>
  <c r="P345" i="13" a="1"/>
  <c r="P345" i="13" s="1"/>
  <c r="P366" i="13" a="1"/>
  <c r="P366" i="13" s="1"/>
  <c r="P350" i="13" a="1"/>
  <c r="P350" i="13" s="1"/>
  <c r="P349" i="13" a="1"/>
  <c r="P349" i="13" s="1"/>
  <c r="P309" i="13" a="1"/>
  <c r="P309" i="13" s="1"/>
  <c r="P308" i="13" a="1"/>
  <c r="P308" i="13" s="1"/>
  <c r="P263" i="13" a="1"/>
  <c r="P263" i="13" s="1"/>
  <c r="P262" i="13" a="1"/>
  <c r="P262" i="13" s="1"/>
  <c r="P316" i="13" a="1"/>
  <c r="P316" i="13" s="1"/>
  <c r="P288" i="13" a="1"/>
  <c r="P288" i="13" s="1"/>
  <c r="P287" i="13" a="1"/>
  <c r="P287" i="13" s="1"/>
  <c r="P312" i="13" a="1"/>
  <c r="P312" i="13" s="1"/>
  <c r="P325" i="13" a="1"/>
  <c r="P325" i="13" s="1"/>
  <c r="P267" i="13" a="1"/>
  <c r="P267" i="13" s="1"/>
  <c r="P266" i="13" a="1"/>
  <c r="P266" i="13" s="1"/>
  <c r="P320" i="13" a="1"/>
  <c r="P320" i="13" s="1"/>
  <c r="P292" i="13" a="1"/>
  <c r="P292" i="13" s="1"/>
  <c r="P291" i="13" a="1"/>
  <c r="P291" i="13" s="1"/>
  <c r="P271" i="13" a="1"/>
  <c r="P271" i="13" s="1"/>
  <c r="P270" i="13" a="1"/>
  <c r="P270" i="13" s="1"/>
  <c r="P296" i="13" a="1"/>
  <c r="P296" i="13" s="1"/>
  <c r="P295" i="13" a="1"/>
  <c r="P295" i="13" s="1"/>
  <c r="P374" i="13" a="1"/>
  <c r="P374" i="13" s="1"/>
  <c r="P321" i="13" a="1"/>
  <c r="P321" i="13" s="1"/>
  <c r="P324" i="13" a="1"/>
  <c r="P324" i="13" s="1"/>
  <c r="P283" i="13" a="1"/>
  <c r="P283" i="13" s="1"/>
  <c r="P233" i="13" a="1"/>
  <c r="P233" i="13" s="1"/>
  <c r="P258" i="13" a="1"/>
  <c r="P258" i="13" s="1"/>
  <c r="P299" i="13" a="1"/>
  <c r="P299" i="13" s="1"/>
  <c r="P238" i="13" a="1"/>
  <c r="P238" i="13" s="1"/>
  <c r="P237" i="13" a="1"/>
  <c r="P237" i="13" s="1"/>
  <c r="P284" i="13" a="1"/>
  <c r="P284" i="13" s="1"/>
  <c r="P280" i="13" a="1"/>
  <c r="P280" i="13" s="1"/>
  <c r="P279" i="13" a="1"/>
  <c r="P279" i="13" s="1"/>
  <c r="P259" i="13" a="1"/>
  <c r="P259" i="13" s="1"/>
  <c r="P251" i="13" a="1"/>
  <c r="P251" i="13" s="1"/>
  <c r="P250" i="13" a="1"/>
  <c r="P250" i="13" s="1"/>
  <c r="AJ580" i="13" a="1"/>
  <c r="AJ580" i="13" s="1"/>
  <c r="AJ572" i="13" a="1"/>
  <c r="AJ572" i="13" s="1"/>
  <c r="AJ573" i="13" a="1"/>
  <c r="AJ573" i="13" s="1"/>
  <c r="AJ560" i="13" a="1"/>
  <c r="AJ560" i="13" s="1"/>
  <c r="AJ559" i="13" a="1"/>
  <c r="AJ559" i="13" s="1"/>
  <c r="AJ551" i="13" a="1"/>
  <c r="AJ551" i="13" s="1"/>
  <c r="AJ577" i="13" a="1"/>
  <c r="AJ577" i="13" s="1"/>
  <c r="AJ576" i="13" a="1"/>
  <c r="AJ576" i="13" s="1"/>
  <c r="AJ555" i="13" a="1"/>
  <c r="AJ555" i="13" s="1"/>
  <c r="AJ568" i="13" a="1"/>
  <c r="AJ568" i="13" s="1"/>
  <c r="AJ535" i="13" a="1"/>
  <c r="AJ535" i="13" s="1"/>
  <c r="AJ548" i="13" a="1"/>
  <c r="AJ548" i="13" s="1"/>
  <c r="AJ540" i="13" a="1"/>
  <c r="AJ540" i="13" s="1"/>
  <c r="AJ539" i="13" a="1"/>
  <c r="AJ539" i="13" s="1"/>
  <c r="AJ544" i="13" a="1"/>
  <c r="AJ544" i="13" s="1"/>
  <c r="AJ543" i="13" a="1"/>
  <c r="AJ543" i="13" s="1"/>
  <c r="AJ524" i="13" a="1"/>
  <c r="AJ524" i="13" s="1"/>
  <c r="AJ523" i="13" a="1"/>
  <c r="AJ523" i="13" s="1"/>
  <c r="AJ547" i="13" a="1"/>
  <c r="AJ547" i="13" s="1"/>
  <c r="AJ536" i="13" a="1"/>
  <c r="AJ536" i="13" s="1"/>
  <c r="AJ531" i="13" a="1"/>
  <c r="AJ531" i="13" s="1"/>
  <c r="AJ519" i="13" a="1"/>
  <c r="AJ519" i="13" s="1"/>
  <c r="AJ527" i="13" a="1"/>
  <c r="AJ527" i="13" s="1"/>
  <c r="AJ532" i="13" a="1"/>
  <c r="AJ532" i="13" s="1"/>
  <c r="AJ506" i="13" a="1"/>
  <c r="AJ506" i="13" s="1"/>
  <c r="AJ498" i="13" a="1"/>
  <c r="AJ498" i="13" s="1"/>
  <c r="AJ510" i="13" a="1"/>
  <c r="AJ510" i="13" s="1"/>
  <c r="AJ502" i="13" a="1"/>
  <c r="AJ502" i="13" s="1"/>
  <c r="AJ490" i="13" a="1"/>
  <c r="AJ490" i="13" s="1"/>
  <c r="AJ494" i="13" a="1"/>
  <c r="AJ494" i="13" s="1"/>
  <c r="AJ528" i="13" a="1"/>
  <c r="AJ528" i="13" s="1"/>
  <c r="AJ482" i="13" a="1"/>
  <c r="AJ482" i="13" s="1"/>
  <c r="AJ486" i="13" a="1"/>
  <c r="AJ486" i="13" s="1"/>
  <c r="AJ470" i="13" a="1"/>
  <c r="AJ470" i="13" s="1"/>
  <c r="AJ457" i="13" a="1"/>
  <c r="AJ457" i="13" s="1"/>
  <c r="AJ456" i="13" a="1"/>
  <c r="AJ456" i="13" s="1"/>
  <c r="AJ478" i="13" a="1"/>
  <c r="AJ478" i="13" s="1"/>
  <c r="AJ461" i="13" a="1"/>
  <c r="AJ461" i="13" s="1"/>
  <c r="AJ460" i="13" a="1"/>
  <c r="AJ460" i="13" s="1"/>
  <c r="AJ474" i="13" a="1"/>
  <c r="AJ474" i="13" s="1"/>
  <c r="AJ471" i="13" a="1"/>
  <c r="AJ471" i="13" s="1"/>
  <c r="AJ479" i="13" a="1"/>
  <c r="AJ479" i="13" s="1"/>
  <c r="AJ453" i="13" a="1"/>
  <c r="AJ453" i="13" s="1"/>
  <c r="AJ452" i="13" a="1"/>
  <c r="AJ452" i="13" s="1"/>
  <c r="AJ445" i="13" a="1"/>
  <c r="AJ445" i="13" s="1"/>
  <c r="AJ429" i="13" a="1"/>
  <c r="AJ429" i="13" s="1"/>
  <c r="AJ428" i="13" a="1"/>
  <c r="AJ428" i="13" s="1"/>
  <c r="AJ433" i="13" a="1"/>
  <c r="AJ433" i="13" s="1"/>
  <c r="AJ432" i="13" a="1"/>
  <c r="AJ432" i="13" s="1"/>
  <c r="AJ437" i="13" a="1"/>
  <c r="AJ437" i="13" s="1"/>
  <c r="AJ436" i="13" a="1"/>
  <c r="AJ436" i="13" s="1"/>
  <c r="AJ449" i="13" a="1"/>
  <c r="AJ449" i="13" s="1"/>
  <c r="AJ448" i="13" a="1"/>
  <c r="AJ448" i="13" s="1"/>
  <c r="AJ444" i="13" a="1"/>
  <c r="AJ444" i="13" s="1"/>
  <c r="AJ441" i="13" a="1"/>
  <c r="AJ441" i="13" s="1"/>
  <c r="AJ425" i="13" a="1"/>
  <c r="AJ425" i="13" s="1"/>
  <c r="AJ396" i="13" a="1"/>
  <c r="AJ396" i="13" s="1"/>
  <c r="AJ395" i="13" a="1"/>
  <c r="AJ395" i="13" s="1"/>
  <c r="AJ415" i="13" a="1"/>
  <c r="AJ415" i="13" s="1"/>
  <c r="AJ400" i="13" a="1"/>
  <c r="AJ400" i="13" s="1"/>
  <c r="AJ424" i="13" a="1"/>
  <c r="AJ424" i="13" s="1"/>
  <c r="AJ416" i="13" a="1"/>
  <c r="AJ416" i="13" s="1"/>
  <c r="AJ404" i="13" a="1"/>
  <c r="AJ404" i="13" s="1"/>
  <c r="AJ403" i="13" a="1"/>
  <c r="AJ403" i="13" s="1"/>
  <c r="AJ440" i="13" a="1"/>
  <c r="AJ440" i="13" s="1"/>
  <c r="AJ408" i="13" a="1"/>
  <c r="AJ408" i="13" s="1"/>
  <c r="AJ407" i="13" a="1"/>
  <c r="AJ407" i="13" s="1"/>
  <c r="AJ412" i="13" a="1"/>
  <c r="AJ412" i="13" s="1"/>
  <c r="AJ411" i="13" a="1"/>
  <c r="AJ411" i="13" s="1"/>
  <c r="AJ378" i="13" a="1"/>
  <c r="AJ378" i="13" s="1"/>
  <c r="AJ362" i="13" a="1"/>
  <c r="AJ362" i="13" s="1"/>
  <c r="AJ388" i="13" a="1"/>
  <c r="AJ388" i="13" s="1"/>
  <c r="AJ387" i="13" a="1"/>
  <c r="AJ387" i="13" s="1"/>
  <c r="AJ399" i="13" a="1"/>
  <c r="AJ399" i="13" s="1"/>
  <c r="AJ392" i="13" a="1"/>
  <c r="AJ392" i="13" s="1"/>
  <c r="AJ391" i="13" a="1"/>
  <c r="AJ391" i="13" s="1"/>
  <c r="AJ329" i="13" a="1"/>
  <c r="AJ329" i="13" s="1"/>
  <c r="AJ328" i="13" a="1"/>
  <c r="AJ328" i="13" s="1"/>
  <c r="AJ374" i="13" a="1"/>
  <c r="AJ374" i="13" s="1"/>
  <c r="AJ354" i="13" a="1"/>
  <c r="AJ354" i="13" s="1"/>
  <c r="AJ353" i="13" a="1"/>
  <c r="AJ353" i="13" s="1"/>
  <c r="AJ338" i="13" a="1"/>
  <c r="AJ338" i="13" s="1"/>
  <c r="AJ337" i="13" a="1"/>
  <c r="AJ337" i="13" s="1"/>
  <c r="AJ366" i="13" a="1"/>
  <c r="AJ366" i="13" s="1"/>
  <c r="AJ342" i="13" a="1"/>
  <c r="AJ342" i="13" s="1"/>
  <c r="AJ341" i="13" a="1"/>
  <c r="AJ341" i="13" s="1"/>
  <c r="AJ346" i="13" a="1"/>
  <c r="AJ346" i="13" s="1"/>
  <c r="AJ345" i="13" a="1"/>
  <c r="AJ345" i="13" s="1"/>
  <c r="AJ370" i="13" a="1"/>
  <c r="AJ370" i="13" s="1"/>
  <c r="AJ350" i="13" a="1"/>
  <c r="AJ350" i="13" s="1"/>
  <c r="AJ349" i="13" a="1"/>
  <c r="AJ349" i="13" s="1"/>
  <c r="AJ324" i="13" a="1"/>
  <c r="AJ324" i="13" s="1"/>
  <c r="AJ308" i="13" a="1"/>
  <c r="AJ308" i="13" s="1"/>
  <c r="AJ263" i="13" a="1"/>
  <c r="AJ263" i="13" s="1"/>
  <c r="AJ262" i="13" a="1"/>
  <c r="AJ262" i="13" s="1"/>
  <c r="AJ288" i="13" a="1"/>
  <c r="AJ288" i="13" s="1"/>
  <c r="AJ287" i="13" a="1"/>
  <c r="AJ287" i="13" s="1"/>
  <c r="AJ312" i="13" a="1"/>
  <c r="AJ312" i="13" s="1"/>
  <c r="AJ267" i="13" a="1"/>
  <c r="AJ267" i="13" s="1"/>
  <c r="AJ266" i="13" a="1"/>
  <c r="AJ266" i="13" s="1"/>
  <c r="AJ292" i="13" a="1"/>
  <c r="AJ292" i="13" s="1"/>
  <c r="AJ291" i="13" a="1"/>
  <c r="AJ291" i="13" s="1"/>
  <c r="AJ325" i="13" a="1"/>
  <c r="AJ325" i="13" s="1"/>
  <c r="AJ271" i="13" a="1"/>
  <c r="AJ271" i="13" s="1"/>
  <c r="AJ270" i="13" a="1"/>
  <c r="AJ270" i="13" s="1"/>
  <c r="AJ320" i="13" a="1"/>
  <c r="AJ320" i="13" s="1"/>
  <c r="AJ296" i="13" a="1"/>
  <c r="AJ296" i="13" s="1"/>
  <c r="AJ295" i="13" a="1"/>
  <c r="AJ295" i="13" s="1"/>
  <c r="AJ299" i="13" a="1"/>
  <c r="AJ299" i="13" s="1"/>
  <c r="AJ233" i="13" a="1"/>
  <c r="AJ233" i="13" s="1"/>
  <c r="AJ259" i="13" a="1"/>
  <c r="AJ259" i="13" s="1"/>
  <c r="AJ283" i="13" a="1"/>
  <c r="AJ283" i="13" s="1"/>
  <c r="AJ238" i="13" a="1"/>
  <c r="AJ238" i="13" s="1"/>
  <c r="AJ237" i="13" a="1"/>
  <c r="AJ237" i="13" s="1"/>
  <c r="AJ316" i="13" a="1"/>
  <c r="AJ316" i="13" s="1"/>
  <c r="AJ258" i="13" a="1"/>
  <c r="AJ258" i="13" s="1"/>
  <c r="AJ280" i="13" a="1"/>
  <c r="AJ280" i="13" s="1"/>
  <c r="AJ242" i="13" a="1"/>
  <c r="AJ242" i="13" s="1"/>
  <c r="AJ279" i="13" a="1"/>
  <c r="AJ279" i="13" s="1"/>
  <c r="AJ300" i="13" a="1"/>
  <c r="AJ300" i="13" s="1"/>
  <c r="AJ284" i="13" a="1"/>
  <c r="AJ284" i="13" s="1"/>
  <c r="AJ251" i="13" a="1"/>
  <c r="AJ251" i="13" s="1"/>
  <c r="AJ250" i="13" a="1"/>
  <c r="AJ250" i="13" s="1"/>
  <c r="P225" i="13" a="1"/>
  <c r="P225" i="13" s="1"/>
  <c r="J229" i="13" a="1"/>
  <c r="J229" i="13" s="1"/>
  <c r="AH229" i="13" a="1"/>
  <c r="AH229" i="13" s="1"/>
  <c r="R233" i="13" a="1"/>
  <c r="R233" i="13" s="1"/>
  <c r="L237" i="13" a="1"/>
  <c r="L237" i="13" s="1"/>
  <c r="J238" i="13" a="1"/>
  <c r="J238" i="13" s="1"/>
  <c r="AO238" i="13" a="1"/>
  <c r="AO238" i="13" s="1"/>
  <c r="L242" i="13" a="1"/>
  <c r="L242" i="13" s="1"/>
  <c r="Y250" i="13" a="1"/>
  <c r="Y250" i="13" s="1"/>
  <c r="P255" i="13" a="1"/>
  <c r="P255" i="13" s="1"/>
  <c r="M259" i="13" a="1"/>
  <c r="M259" i="13" s="1"/>
  <c r="AG271" i="13" a="1"/>
  <c r="AG271" i="13" s="1"/>
  <c r="Y279" i="13" a="1"/>
  <c r="Y279" i="13" s="1"/>
  <c r="X283" i="13" a="1"/>
  <c r="X283" i="13" s="1"/>
  <c r="Q580" i="13" a="1"/>
  <c r="Q580" i="13" s="1"/>
  <c r="Q581" i="13" a="1"/>
  <c r="Q581" i="13" s="1"/>
  <c r="Q572" i="13" a="1"/>
  <c r="Q572" i="13" s="1"/>
  <c r="Q573" i="13" a="1"/>
  <c r="Q573" i="13" s="1"/>
  <c r="Q576" i="13" a="1"/>
  <c r="Q576" i="13" s="1"/>
  <c r="Q556" i="13" a="1"/>
  <c r="Q556" i="13" s="1"/>
  <c r="Q555" i="13" a="1"/>
  <c r="Q555" i="13" s="1"/>
  <c r="Q536" i="13" a="1"/>
  <c r="Q536" i="13" s="1"/>
  <c r="Q568" i="13" a="1"/>
  <c r="Q568" i="13" s="1"/>
  <c r="Q569" i="13" a="1"/>
  <c r="Q569" i="13" s="1"/>
  <c r="Q548" i="13" a="1"/>
  <c r="Q548" i="13" s="1"/>
  <c r="Q524" i="13" a="1"/>
  <c r="Q524" i="13" s="1"/>
  <c r="Q547" i="13" a="1"/>
  <c r="Q547" i="13" s="1"/>
  <c r="Q528" i="13" a="1"/>
  <c r="Q528" i="13" s="1"/>
  <c r="Q527" i="13" a="1"/>
  <c r="Q527" i="13" s="1"/>
  <c r="Q559" i="13" a="1"/>
  <c r="Q559" i="13" s="1"/>
  <c r="Q552" i="13" a="1"/>
  <c r="Q552" i="13" s="1"/>
  <c r="Q551" i="13" a="1"/>
  <c r="Q551" i="13" s="1"/>
  <c r="Q539" i="13" a="1"/>
  <c r="Q539" i="13" s="1"/>
  <c r="Q531" i="13" a="1"/>
  <c r="Q531" i="13" s="1"/>
  <c r="Q577" i="13" a="1"/>
  <c r="Q577" i="13" s="1"/>
  <c r="Q503" i="13" a="1"/>
  <c r="Q503" i="13" s="1"/>
  <c r="Q523" i="13" a="1"/>
  <c r="Q523" i="13" s="1"/>
  <c r="Q543" i="13" a="1"/>
  <c r="Q543" i="13" s="1"/>
  <c r="Q535" i="13" a="1"/>
  <c r="Q535" i="13" s="1"/>
  <c r="Q532" i="13" a="1"/>
  <c r="Q532" i="13" s="1"/>
  <c r="Q540" i="13" a="1"/>
  <c r="Q540" i="13" s="1"/>
  <c r="Q520" i="13" a="1"/>
  <c r="Q520" i="13" s="1"/>
  <c r="Q502" i="13" a="1"/>
  <c r="Q502" i="13" s="1"/>
  <c r="Q510" i="13" a="1"/>
  <c r="Q510" i="13" s="1"/>
  <c r="Q506" i="13" a="1"/>
  <c r="Q506" i="13" s="1"/>
  <c r="Q507" i="13" a="1"/>
  <c r="Q507" i="13" s="1"/>
  <c r="Q519" i="13" a="1"/>
  <c r="Q519" i="13" s="1"/>
  <c r="Q544" i="13" a="1"/>
  <c r="Q544" i="13" s="1"/>
  <c r="Q483" i="13" a="1"/>
  <c r="Q483" i="13" s="1"/>
  <c r="Q482" i="13" a="1"/>
  <c r="Q482" i="13" s="1"/>
  <c r="Q498" i="13" a="1"/>
  <c r="Q498" i="13" s="1"/>
  <c r="Q491" i="13" a="1"/>
  <c r="Q491" i="13" s="1"/>
  <c r="Q490" i="13" a="1"/>
  <c r="Q490" i="13" s="1"/>
  <c r="Q478" i="13" a="1"/>
  <c r="Q478" i="13" s="1"/>
  <c r="Q461" i="13" a="1"/>
  <c r="Q461" i="13" s="1"/>
  <c r="Q460" i="13" a="1"/>
  <c r="Q460" i="13" s="1"/>
  <c r="Q471" i="13" a="1"/>
  <c r="Q471" i="13" s="1"/>
  <c r="Q486" i="13" a="1"/>
  <c r="Q486" i="13" s="1"/>
  <c r="Q479" i="13" a="1"/>
  <c r="Q479" i="13" s="1"/>
  <c r="Q474" i="13" a="1"/>
  <c r="Q474" i="13" s="1"/>
  <c r="Q452" i="13" a="1"/>
  <c r="Q452" i="13" s="1"/>
  <c r="Q429" i="13" a="1"/>
  <c r="Q429" i="13" s="1"/>
  <c r="Q428" i="13" a="1"/>
  <c r="Q428" i="13" s="1"/>
  <c r="Q444" i="13" a="1"/>
  <c r="Q444" i="13" s="1"/>
  <c r="Q433" i="13" a="1"/>
  <c r="Q433" i="13" s="1"/>
  <c r="Q432" i="13" a="1"/>
  <c r="Q432" i="13" s="1"/>
  <c r="Q457" i="13" a="1"/>
  <c r="Q457" i="13" s="1"/>
  <c r="Q456" i="13" a="1"/>
  <c r="Q456" i="13" s="1"/>
  <c r="Q445" i="13" a="1"/>
  <c r="Q445" i="13" s="1"/>
  <c r="Q437" i="13" a="1"/>
  <c r="Q437" i="13" s="1"/>
  <c r="Q436" i="13" a="1"/>
  <c r="Q436" i="13" s="1"/>
  <c r="Q453" i="13" a="1"/>
  <c r="Q453" i="13" s="1"/>
  <c r="Q440" i="13" a="1"/>
  <c r="Q440" i="13" s="1"/>
  <c r="Q494" i="13" a="1"/>
  <c r="Q494" i="13" s="1"/>
  <c r="Q470" i="13" a="1"/>
  <c r="Q470" i="13" s="1"/>
  <c r="Q449" i="13" a="1"/>
  <c r="Q449" i="13" s="1"/>
  <c r="Q441" i="13" a="1"/>
  <c r="Q441" i="13" s="1"/>
  <c r="Q425" i="13" a="1"/>
  <c r="Q425" i="13" s="1"/>
  <c r="Q400" i="13" a="1"/>
  <c r="Q400" i="13" s="1"/>
  <c r="Q399" i="13" a="1"/>
  <c r="Q399" i="13" s="1"/>
  <c r="Q404" i="13" a="1"/>
  <c r="Q404" i="13" s="1"/>
  <c r="Q403" i="13" a="1"/>
  <c r="Q403" i="13" s="1"/>
  <c r="Q448" i="13" a="1"/>
  <c r="Q448" i="13" s="1"/>
  <c r="Q424" i="13" a="1"/>
  <c r="Q424" i="13" s="1"/>
  <c r="Q415" i="13" a="1"/>
  <c r="Q415" i="13" s="1"/>
  <c r="Q408" i="13" a="1"/>
  <c r="Q408" i="13" s="1"/>
  <c r="Q407" i="13" a="1"/>
  <c r="Q407" i="13" s="1"/>
  <c r="Q388" i="13" a="1"/>
  <c r="Q388" i="13" s="1"/>
  <c r="Q387" i="13" a="1"/>
  <c r="Q387" i="13" s="1"/>
  <c r="Q395" i="13" a="1"/>
  <c r="Q395" i="13" s="1"/>
  <c r="Q367" i="13" a="1"/>
  <c r="Q367" i="13" s="1"/>
  <c r="Q366" i="13" a="1"/>
  <c r="Q366" i="13" s="1"/>
  <c r="Q392" i="13" a="1"/>
  <c r="Q392" i="13" s="1"/>
  <c r="Q391" i="13" a="1"/>
  <c r="Q391" i="13" s="1"/>
  <c r="Q371" i="13" a="1"/>
  <c r="Q371" i="13" s="1"/>
  <c r="Q370" i="13" a="1"/>
  <c r="Q370" i="13" s="1"/>
  <c r="Q412" i="13" a="1"/>
  <c r="Q412" i="13" s="1"/>
  <c r="Q416" i="13" a="1"/>
  <c r="Q416" i="13" s="1"/>
  <c r="Q396" i="13" a="1"/>
  <c r="Q396" i="13" s="1"/>
  <c r="Q379" i="13" a="1"/>
  <c r="Q379" i="13" s="1"/>
  <c r="Q378" i="13" a="1"/>
  <c r="Q378" i="13" s="1"/>
  <c r="Q354" i="13" a="1"/>
  <c r="Q354" i="13" s="1"/>
  <c r="Q353" i="13" a="1"/>
  <c r="Q353" i="13" s="1"/>
  <c r="Q338" i="13" a="1"/>
  <c r="Q338" i="13" s="1"/>
  <c r="Q337" i="13" a="1"/>
  <c r="Q337" i="13" s="1"/>
  <c r="Q363" i="13" a="1"/>
  <c r="Q363" i="13" s="1"/>
  <c r="Q362" i="13" a="1"/>
  <c r="Q362" i="13" s="1"/>
  <c r="Q342" i="13" a="1"/>
  <c r="Q342" i="13" s="1"/>
  <c r="Q341" i="13" a="1"/>
  <c r="Q341" i="13" s="1"/>
  <c r="Q375" i="13" a="1"/>
  <c r="Q375" i="13" s="1"/>
  <c r="Q374" i="13" a="1"/>
  <c r="Q374" i="13" s="1"/>
  <c r="Q321" i="13" a="1"/>
  <c r="Q321" i="13" s="1"/>
  <c r="Q320" i="13" a="1"/>
  <c r="Q320" i="13" s="1"/>
  <c r="Q346" i="13" a="1"/>
  <c r="Q346" i="13" s="1"/>
  <c r="Q411" i="13" a="1"/>
  <c r="Q411" i="13" s="1"/>
  <c r="Q350" i="13" a="1"/>
  <c r="Q350" i="13" s="1"/>
  <c r="Q349" i="13" a="1"/>
  <c r="Q349" i="13" s="1"/>
  <c r="Q316" i="13" a="1"/>
  <c r="Q316" i="13" s="1"/>
  <c r="Q288" i="13" a="1"/>
  <c r="Q288" i="13" s="1"/>
  <c r="Q287" i="13" a="1"/>
  <c r="Q287" i="13" s="1"/>
  <c r="Q313" i="13" a="1"/>
  <c r="Q313" i="13" s="1"/>
  <c r="Q312" i="13" a="1"/>
  <c r="Q312" i="13" s="1"/>
  <c r="Q325" i="13" a="1"/>
  <c r="Q325" i="13" s="1"/>
  <c r="Q267" i="13" a="1"/>
  <c r="Q267" i="13" s="1"/>
  <c r="Q266" i="13" a="1"/>
  <c r="Q266" i="13" s="1"/>
  <c r="Q292" i="13" a="1"/>
  <c r="Q292" i="13" s="1"/>
  <c r="Q291" i="13" a="1"/>
  <c r="Q291" i="13" s="1"/>
  <c r="Q345" i="13" a="1"/>
  <c r="Q345" i="13" s="1"/>
  <c r="Q271" i="13" a="1"/>
  <c r="Q271" i="13" s="1"/>
  <c r="Q270" i="13" a="1"/>
  <c r="Q270" i="13" s="1"/>
  <c r="Q317" i="13" a="1"/>
  <c r="Q317" i="13" s="1"/>
  <c r="Q296" i="13" a="1"/>
  <c r="Q296" i="13" s="1"/>
  <c r="Q295" i="13" a="1"/>
  <c r="Q295" i="13" s="1"/>
  <c r="Q329" i="13" a="1"/>
  <c r="Q329" i="13" s="1"/>
  <c r="Q300" i="13" a="1"/>
  <c r="Q300" i="13" s="1"/>
  <c r="Q299" i="13" a="1"/>
  <c r="Q299" i="13" s="1"/>
  <c r="Q309" i="13" a="1"/>
  <c r="Q309" i="13" s="1"/>
  <c r="Q308" i="13" a="1"/>
  <c r="Q308" i="13" s="1"/>
  <c r="Q328" i="13" a="1"/>
  <c r="Q328" i="13" s="1"/>
  <c r="Q258" i="13" a="1"/>
  <c r="Q258" i="13" s="1"/>
  <c r="Q324" i="13" a="1"/>
  <c r="Q324" i="13" s="1"/>
  <c r="Q242" i="13" a="1"/>
  <c r="Q242" i="13" s="1"/>
  <c r="Q241" i="13" a="1"/>
  <c r="Q241" i="13" s="1"/>
  <c r="Q284" i="13" a="1"/>
  <c r="Q284" i="13" s="1"/>
  <c r="Q280" i="13" a="1"/>
  <c r="Q280" i="13" s="1"/>
  <c r="Q279" i="13" a="1"/>
  <c r="Q279" i="13" s="1"/>
  <c r="Q259" i="13" a="1"/>
  <c r="Q259" i="13" s="1"/>
  <c r="Q255" i="13" a="1"/>
  <c r="Q255" i="13" s="1"/>
  <c r="Q254" i="13" a="1"/>
  <c r="Q254" i="13" s="1"/>
  <c r="AK580" i="13" a="1"/>
  <c r="AK580" i="13" s="1"/>
  <c r="AK572" i="13" a="1"/>
  <c r="AK572" i="13" s="1"/>
  <c r="AK573" i="13" a="1"/>
  <c r="AK573" i="13" s="1"/>
  <c r="AK576" i="13" a="1"/>
  <c r="AK576" i="13" s="1"/>
  <c r="AK577" i="13" a="1"/>
  <c r="AK577" i="13" s="1"/>
  <c r="AK555" i="13" a="1"/>
  <c r="AK555" i="13" s="1"/>
  <c r="AK536" i="13" a="1"/>
  <c r="AK536" i="13" s="1"/>
  <c r="AK568" i="13" a="1"/>
  <c r="AK568" i="13" s="1"/>
  <c r="AK559" i="13" a="1"/>
  <c r="AK559" i="13" s="1"/>
  <c r="AK540" i="13" a="1"/>
  <c r="AK540" i="13" s="1"/>
  <c r="AK539" i="13" a="1"/>
  <c r="AK539" i="13" s="1"/>
  <c r="AK544" i="13" a="1"/>
  <c r="AK544" i="13" s="1"/>
  <c r="AK543" i="13" a="1"/>
  <c r="AK543" i="13" s="1"/>
  <c r="AK524" i="13" a="1"/>
  <c r="AK524" i="13" s="1"/>
  <c r="AK547" i="13" a="1"/>
  <c r="AK547" i="13" s="1"/>
  <c r="AK528" i="13" a="1"/>
  <c r="AK528" i="13" s="1"/>
  <c r="AK527" i="13" a="1"/>
  <c r="AK527" i="13" s="1"/>
  <c r="AK548" i="13" a="1"/>
  <c r="AK548" i="13" s="1"/>
  <c r="AK502" i="13" a="1"/>
  <c r="AK502" i="13" s="1"/>
  <c r="AK532" i="13" a="1"/>
  <c r="AK532" i="13" s="1"/>
  <c r="AK535" i="13" a="1"/>
  <c r="AK535" i="13" s="1"/>
  <c r="AK531" i="13" a="1"/>
  <c r="AK531" i="13" s="1"/>
  <c r="AK510" i="13" a="1"/>
  <c r="AK510" i="13" s="1"/>
  <c r="AK523" i="13" a="1"/>
  <c r="AK523" i="13" s="1"/>
  <c r="AK506" i="13" a="1"/>
  <c r="AK506" i="13" s="1"/>
  <c r="AK519" i="13" a="1"/>
  <c r="AK519" i="13" s="1"/>
  <c r="AK482" i="13" a="1"/>
  <c r="AK482" i="13" s="1"/>
  <c r="AK486" i="13" a="1"/>
  <c r="AK486" i="13" s="1"/>
  <c r="AK551" i="13" a="1"/>
  <c r="AK551" i="13" s="1"/>
  <c r="AK490" i="13" a="1"/>
  <c r="AK490" i="13" s="1"/>
  <c r="AK494" i="13" a="1"/>
  <c r="AK494" i="13" s="1"/>
  <c r="AK478" i="13" a="1"/>
  <c r="AK478" i="13" s="1"/>
  <c r="AK461" i="13" a="1"/>
  <c r="AK461" i="13" s="1"/>
  <c r="AK460" i="13" a="1"/>
  <c r="AK460" i="13" s="1"/>
  <c r="AK474" i="13" a="1"/>
  <c r="AK474" i="13" s="1"/>
  <c r="AK498" i="13" a="1"/>
  <c r="AK498" i="13" s="1"/>
  <c r="AK479" i="13" a="1"/>
  <c r="AK479" i="13" s="1"/>
  <c r="AK471" i="13" a="1"/>
  <c r="AK471" i="13" s="1"/>
  <c r="AK453" i="13" a="1"/>
  <c r="AK453" i="13" s="1"/>
  <c r="AK429" i="13" a="1"/>
  <c r="AK429" i="13" s="1"/>
  <c r="AK428" i="13" a="1"/>
  <c r="AK428" i="13" s="1"/>
  <c r="AK452" i="13" a="1"/>
  <c r="AK452" i="13" s="1"/>
  <c r="AK433" i="13" a="1"/>
  <c r="AK433" i="13" s="1"/>
  <c r="AK432" i="13" a="1"/>
  <c r="AK432" i="13" s="1"/>
  <c r="AK470" i="13" a="1"/>
  <c r="AK470" i="13" s="1"/>
  <c r="AK437" i="13" a="1"/>
  <c r="AK437" i="13" s="1"/>
  <c r="AK436" i="13" a="1"/>
  <c r="AK436" i="13" s="1"/>
  <c r="AK416" i="13" a="1"/>
  <c r="AK416" i="13" s="1"/>
  <c r="AK440" i="13" a="1"/>
  <c r="AK440" i="13" s="1"/>
  <c r="AK449" i="13" a="1"/>
  <c r="AK449" i="13" s="1"/>
  <c r="AK448" i="13" a="1"/>
  <c r="AK448" i="13" s="1"/>
  <c r="AK457" i="13" a="1"/>
  <c r="AK457" i="13" s="1"/>
  <c r="AK456" i="13" a="1"/>
  <c r="AK456" i="13" s="1"/>
  <c r="AK445" i="13" a="1"/>
  <c r="AK445" i="13" s="1"/>
  <c r="AK441" i="13" a="1"/>
  <c r="AK441" i="13" s="1"/>
  <c r="AK415" i="13" a="1"/>
  <c r="AK415" i="13" s="1"/>
  <c r="AK400" i="13" a="1"/>
  <c r="AK400" i="13" s="1"/>
  <c r="AK399" i="13" a="1"/>
  <c r="AK399" i="13" s="1"/>
  <c r="AK444" i="13" a="1"/>
  <c r="AK444" i="13" s="1"/>
  <c r="AK424" i="13" a="1"/>
  <c r="AK424" i="13" s="1"/>
  <c r="AK404" i="13" a="1"/>
  <c r="AK404" i="13" s="1"/>
  <c r="AK403" i="13" a="1"/>
  <c r="AK403" i="13" s="1"/>
  <c r="AK408" i="13" a="1"/>
  <c r="AK408" i="13" s="1"/>
  <c r="AK407" i="13" a="1"/>
  <c r="AK407" i="13" s="1"/>
  <c r="AK412" i="13" a="1"/>
  <c r="AK412" i="13" s="1"/>
  <c r="AK395" i="13" a="1"/>
  <c r="AK395" i="13" s="1"/>
  <c r="AK411" i="13" a="1"/>
  <c r="AK411" i="13" s="1"/>
  <c r="AK388" i="13" a="1"/>
  <c r="AK388" i="13" s="1"/>
  <c r="AK387" i="13" a="1"/>
  <c r="AK387" i="13" s="1"/>
  <c r="AK366" i="13" a="1"/>
  <c r="AK366" i="13" s="1"/>
  <c r="AK392" i="13" a="1"/>
  <c r="AK392" i="13" s="1"/>
  <c r="AK391" i="13" a="1"/>
  <c r="AK391" i="13" s="1"/>
  <c r="AK371" i="13" a="1"/>
  <c r="AK371" i="13" s="1"/>
  <c r="AK370" i="13" a="1"/>
  <c r="AK370" i="13" s="1"/>
  <c r="AK396" i="13" a="1"/>
  <c r="AK396" i="13" s="1"/>
  <c r="AK425" i="13" a="1"/>
  <c r="AK425" i="13" s="1"/>
  <c r="AK379" i="13" a="1"/>
  <c r="AK379" i="13" s="1"/>
  <c r="AK378" i="13" a="1"/>
  <c r="AK378" i="13" s="1"/>
  <c r="AK374" i="13" a="1"/>
  <c r="AK374" i="13" s="1"/>
  <c r="AK354" i="13" a="1"/>
  <c r="AK354" i="13" s="1"/>
  <c r="AK353" i="13" a="1"/>
  <c r="AK353" i="13" s="1"/>
  <c r="AK338" i="13" a="1"/>
  <c r="AK338" i="13" s="1"/>
  <c r="AK337" i="13" a="1"/>
  <c r="AK337" i="13" s="1"/>
  <c r="AK317" i="13" a="1"/>
  <c r="AK317" i="13" s="1"/>
  <c r="AK342" i="13" a="1"/>
  <c r="AK342" i="13" s="1"/>
  <c r="AK341" i="13" a="1"/>
  <c r="AK341" i="13" s="1"/>
  <c r="AK320" i="13" a="1"/>
  <c r="AK320" i="13" s="1"/>
  <c r="AK346" i="13" a="1"/>
  <c r="AK346" i="13" s="1"/>
  <c r="AK350" i="13" a="1"/>
  <c r="AK350" i="13" s="1"/>
  <c r="AK349" i="13" a="1"/>
  <c r="AK349" i="13" s="1"/>
  <c r="AK375" i="13" a="1"/>
  <c r="AK375" i="13" s="1"/>
  <c r="AK288" i="13" a="1"/>
  <c r="AK288" i="13" s="1"/>
  <c r="AK287" i="13" a="1"/>
  <c r="AK287" i="13" s="1"/>
  <c r="AK312" i="13" a="1"/>
  <c r="AK312" i="13" s="1"/>
  <c r="AK267" i="13" a="1"/>
  <c r="AK267" i="13" s="1"/>
  <c r="AK266" i="13" a="1"/>
  <c r="AK266" i="13" s="1"/>
  <c r="AK328" i="13" a="1"/>
  <c r="AK328" i="13" s="1"/>
  <c r="AK292" i="13" a="1"/>
  <c r="AK292" i="13" s="1"/>
  <c r="AK291" i="13" a="1"/>
  <c r="AK291" i="13" s="1"/>
  <c r="AK362" i="13" a="1"/>
  <c r="AK362" i="13" s="1"/>
  <c r="AK325" i="13" a="1"/>
  <c r="AK325" i="13" s="1"/>
  <c r="AK271" i="13" a="1"/>
  <c r="AK271" i="13" s="1"/>
  <c r="AK270" i="13" a="1"/>
  <c r="AK270" i="13" s="1"/>
  <c r="AK296" i="13" a="1"/>
  <c r="AK296" i="13" s="1"/>
  <c r="AK295" i="13" a="1"/>
  <c r="AK295" i="13" s="1"/>
  <c r="AK316" i="13" a="1"/>
  <c r="AK316" i="13" s="1"/>
  <c r="AK300" i="13" a="1"/>
  <c r="AK300" i="13" s="1"/>
  <c r="AK299" i="13" a="1"/>
  <c r="AK299" i="13" s="1"/>
  <c r="AK324" i="13" a="1"/>
  <c r="AK324" i="13" s="1"/>
  <c r="AK308" i="13" a="1"/>
  <c r="AK308" i="13" s="1"/>
  <c r="AK345" i="13" a="1"/>
  <c r="AK345" i="13" s="1"/>
  <c r="AK259" i="13" a="1"/>
  <c r="AK259" i="13" s="1"/>
  <c r="AK329" i="13" a="1"/>
  <c r="AK329" i="13" s="1"/>
  <c r="AK283" i="13" a="1"/>
  <c r="AK283" i="13" s="1"/>
  <c r="AK238" i="13" a="1"/>
  <c r="AK238" i="13" s="1"/>
  <c r="AK258" i="13" a="1"/>
  <c r="AK258" i="13" s="1"/>
  <c r="AK280" i="13" a="1"/>
  <c r="AK280" i="13" s="1"/>
  <c r="AK262" i="13" a="1"/>
  <c r="AK262" i="13" s="1"/>
  <c r="AK242" i="13" a="1"/>
  <c r="AK242" i="13" s="1"/>
  <c r="AK241" i="13" a="1"/>
  <c r="AK241" i="13" s="1"/>
  <c r="AK279" i="13" a="1"/>
  <c r="AK279" i="13" s="1"/>
  <c r="AK284" i="13" a="1"/>
  <c r="AK284" i="13" s="1"/>
  <c r="AK255" i="13" a="1"/>
  <c r="AK255" i="13" s="1"/>
  <c r="AK254" i="13" a="1"/>
  <c r="AK254" i="13" s="1"/>
  <c r="AK263" i="13" a="1"/>
  <c r="AK263" i="13" s="1"/>
  <c r="L221" i="13" a="1"/>
  <c r="L221" i="13" s="1"/>
  <c r="AF221" i="13" a="1"/>
  <c r="AF221" i="13" s="1"/>
  <c r="Z225" i="13" a="1"/>
  <c r="Z225" i="13" s="1"/>
  <c r="AI229" i="13" a="1"/>
  <c r="AI229" i="13" s="1"/>
  <c r="I230" i="13" a="1"/>
  <c r="I230" i="13" s="1"/>
  <c r="AG233" i="13" a="1"/>
  <c r="AG233" i="13" s="1"/>
  <c r="Y238" i="13" a="1"/>
  <c r="Y238" i="13" s="1"/>
  <c r="H241" i="13" a="1"/>
  <c r="H241" i="13" s="1"/>
  <c r="M242" i="13" a="1"/>
  <c r="M242" i="13" s="1"/>
  <c r="AK251" i="13" a="1"/>
  <c r="AK251" i="13" s="1"/>
  <c r="H254" i="13" a="1"/>
  <c r="H254" i="13" s="1"/>
  <c r="G295" i="13" a="1"/>
  <c r="G295" i="13" s="1"/>
  <c r="R581" i="13" a="1"/>
  <c r="R581" i="13" s="1"/>
  <c r="R572" i="13" a="1"/>
  <c r="R572" i="13" s="1"/>
  <c r="R573" i="13" a="1"/>
  <c r="R573" i="13" s="1"/>
  <c r="R576" i="13" a="1"/>
  <c r="R576" i="13" s="1"/>
  <c r="R577" i="13" a="1"/>
  <c r="R577" i="13" s="1"/>
  <c r="R580" i="13" a="1"/>
  <c r="R580" i="13" s="1"/>
  <c r="R536" i="13" a="1"/>
  <c r="R536" i="13" s="1"/>
  <c r="R535" i="13" a="1"/>
  <c r="R535" i="13" s="1"/>
  <c r="R568" i="13" a="1"/>
  <c r="R568" i="13" s="1"/>
  <c r="R544" i="13" a="1"/>
  <c r="R544" i="13" s="1"/>
  <c r="R543" i="13" a="1"/>
  <c r="R543" i="13" s="1"/>
  <c r="R569" i="13" a="1"/>
  <c r="R569" i="13" s="1"/>
  <c r="R524" i="13" a="1"/>
  <c r="R524" i="13" s="1"/>
  <c r="R523" i="13" a="1"/>
  <c r="R523" i="13" s="1"/>
  <c r="R555" i="13" a="1"/>
  <c r="R555" i="13" s="1"/>
  <c r="R547" i="13" a="1"/>
  <c r="R547" i="13" s="1"/>
  <c r="R528" i="13" a="1"/>
  <c r="R528" i="13" s="1"/>
  <c r="R527" i="13" a="1"/>
  <c r="R527" i="13" s="1"/>
  <c r="R540" i="13" a="1"/>
  <c r="R540" i="13" s="1"/>
  <c r="R559" i="13" a="1"/>
  <c r="R559" i="13" s="1"/>
  <c r="R539" i="13" a="1"/>
  <c r="R539" i="13" s="1"/>
  <c r="R531" i="13" a="1"/>
  <c r="R531" i="13" s="1"/>
  <c r="R506" i="13" a="1"/>
  <c r="R506" i="13" s="1"/>
  <c r="R560" i="13" a="1"/>
  <c r="R560" i="13" s="1"/>
  <c r="R552" i="13" a="1"/>
  <c r="R552" i="13" s="1"/>
  <c r="R548" i="13" a="1"/>
  <c r="R548" i="13" s="1"/>
  <c r="R520" i="13" a="1"/>
  <c r="R520" i="13" s="1"/>
  <c r="R519" i="13" a="1"/>
  <c r="R519" i="13" s="1"/>
  <c r="R551" i="13" a="1"/>
  <c r="R551" i="13" s="1"/>
  <c r="R502" i="13" a="1"/>
  <c r="R502" i="13" s="1"/>
  <c r="R510" i="13" a="1"/>
  <c r="R510" i="13" s="1"/>
  <c r="R486" i="13" a="1"/>
  <c r="R486" i="13" s="1"/>
  <c r="R511" i="13" a="1"/>
  <c r="R511" i="13" s="1"/>
  <c r="R498" i="13" a="1"/>
  <c r="R498" i="13" s="1"/>
  <c r="R532" i="13" a="1"/>
  <c r="R532" i="13" s="1"/>
  <c r="R494" i="13" a="1"/>
  <c r="R494" i="13" s="1"/>
  <c r="R478" i="13" a="1"/>
  <c r="R478" i="13" s="1"/>
  <c r="R461" i="13" a="1"/>
  <c r="R461" i="13" s="1"/>
  <c r="R460" i="13" a="1"/>
  <c r="R460" i="13" s="1"/>
  <c r="R490" i="13" a="1"/>
  <c r="R490" i="13" s="1"/>
  <c r="R441" i="13" a="1"/>
  <c r="R441" i="13" s="1"/>
  <c r="R471" i="13" a="1"/>
  <c r="R471" i="13" s="1"/>
  <c r="R445" i="13" a="1"/>
  <c r="R445" i="13" s="1"/>
  <c r="R444" i="13" a="1"/>
  <c r="R444" i="13" s="1"/>
  <c r="R470" i="13" a="1"/>
  <c r="R470" i="13" s="1"/>
  <c r="R449" i="13" a="1"/>
  <c r="R449" i="13" s="1"/>
  <c r="R448" i="13" a="1"/>
  <c r="R448" i="13" s="1"/>
  <c r="R482" i="13" a="1"/>
  <c r="R482" i="13" s="1"/>
  <c r="R453" i="13" a="1"/>
  <c r="R453" i="13" s="1"/>
  <c r="R479" i="13" a="1"/>
  <c r="R479" i="13" s="1"/>
  <c r="R474" i="13" a="1"/>
  <c r="R474" i="13" s="1"/>
  <c r="R457" i="13" a="1"/>
  <c r="R457" i="13" s="1"/>
  <c r="R456" i="13" a="1"/>
  <c r="R456" i="13" s="1"/>
  <c r="R433" i="13" a="1"/>
  <c r="R433" i="13" s="1"/>
  <c r="R432" i="13" a="1"/>
  <c r="R432" i="13" s="1"/>
  <c r="R437" i="13" a="1"/>
  <c r="R437" i="13" s="1"/>
  <c r="R436" i="13" a="1"/>
  <c r="R436" i="13" s="1"/>
  <c r="R440" i="13" a="1"/>
  <c r="R440" i="13" s="1"/>
  <c r="R452" i="13" a="1"/>
  <c r="R452" i="13" s="1"/>
  <c r="R429" i="13" a="1"/>
  <c r="R429" i="13" s="1"/>
  <c r="R404" i="13" a="1"/>
  <c r="R404" i="13" s="1"/>
  <c r="R403" i="13" a="1"/>
  <c r="R403" i="13" s="1"/>
  <c r="R424" i="13" a="1"/>
  <c r="R424" i="13" s="1"/>
  <c r="R415" i="13" a="1"/>
  <c r="R415" i="13" s="1"/>
  <c r="R408" i="13" a="1"/>
  <c r="R408" i="13" s="1"/>
  <c r="R407" i="13" a="1"/>
  <c r="R407" i="13" s="1"/>
  <c r="R416" i="13" a="1"/>
  <c r="R416" i="13" s="1"/>
  <c r="R412" i="13" a="1"/>
  <c r="R412" i="13" s="1"/>
  <c r="R411" i="13" a="1"/>
  <c r="R411" i="13" s="1"/>
  <c r="R363" i="13" a="1"/>
  <c r="R363" i="13" s="1"/>
  <c r="R388" i="13" a="1"/>
  <c r="R388" i="13" s="1"/>
  <c r="R387" i="13" a="1"/>
  <c r="R387" i="13" s="1"/>
  <c r="R425" i="13" a="1"/>
  <c r="R425" i="13" s="1"/>
  <c r="R395" i="13" a="1"/>
  <c r="R395" i="13" s="1"/>
  <c r="R366" i="13" a="1"/>
  <c r="R366" i="13" s="1"/>
  <c r="R392" i="13" a="1"/>
  <c r="R392" i="13" s="1"/>
  <c r="R391" i="13" a="1"/>
  <c r="R391" i="13" s="1"/>
  <c r="R399" i="13" a="1"/>
  <c r="R399" i="13" s="1"/>
  <c r="R400" i="13" a="1"/>
  <c r="R400" i="13" s="1"/>
  <c r="R375" i="13" a="1"/>
  <c r="R375" i="13" s="1"/>
  <c r="R374" i="13" a="1"/>
  <c r="R374" i="13" s="1"/>
  <c r="R379" i="13" a="1"/>
  <c r="R379" i="13" s="1"/>
  <c r="R378" i="13" a="1"/>
  <c r="R378" i="13" s="1"/>
  <c r="R428" i="13" a="1"/>
  <c r="R428" i="13" s="1"/>
  <c r="R338" i="13" a="1"/>
  <c r="R338" i="13" s="1"/>
  <c r="R337" i="13" a="1"/>
  <c r="R337" i="13" s="1"/>
  <c r="R362" i="13" a="1"/>
  <c r="R362" i="13" s="1"/>
  <c r="R317" i="13" a="1"/>
  <c r="R317" i="13" s="1"/>
  <c r="R316" i="13" a="1"/>
  <c r="R316" i="13" s="1"/>
  <c r="R342" i="13" a="1"/>
  <c r="R342" i="13" s="1"/>
  <c r="R341" i="13" a="1"/>
  <c r="R341" i="13" s="1"/>
  <c r="R320" i="13" a="1"/>
  <c r="R320" i="13" s="1"/>
  <c r="R346" i="13" a="1"/>
  <c r="R346" i="13" s="1"/>
  <c r="R345" i="13" a="1"/>
  <c r="R345" i="13" s="1"/>
  <c r="R396" i="13" a="1"/>
  <c r="R396" i="13" s="1"/>
  <c r="R354" i="13" a="1"/>
  <c r="R354" i="13" s="1"/>
  <c r="R353" i="13" a="1"/>
  <c r="R353" i="13" s="1"/>
  <c r="R371" i="13" a="1"/>
  <c r="R371" i="13" s="1"/>
  <c r="R370" i="13" a="1"/>
  <c r="R370" i="13" s="1"/>
  <c r="R325" i="13" a="1"/>
  <c r="R325" i="13" s="1"/>
  <c r="R267" i="13" a="1"/>
  <c r="R267" i="13" s="1"/>
  <c r="R266" i="13" a="1"/>
  <c r="R266" i="13" s="1"/>
  <c r="R292" i="13" a="1"/>
  <c r="R292" i="13" s="1"/>
  <c r="R291" i="13" a="1"/>
  <c r="R291" i="13" s="1"/>
  <c r="R271" i="13" a="1"/>
  <c r="R271" i="13" s="1"/>
  <c r="R270" i="13" a="1"/>
  <c r="R270" i="13" s="1"/>
  <c r="R296" i="13" a="1"/>
  <c r="R296" i="13" s="1"/>
  <c r="R295" i="13" a="1"/>
  <c r="R295" i="13" s="1"/>
  <c r="R329" i="13" a="1"/>
  <c r="R329" i="13" s="1"/>
  <c r="R300" i="13" a="1"/>
  <c r="R300" i="13" s="1"/>
  <c r="R299" i="13" a="1"/>
  <c r="R299" i="13" s="1"/>
  <c r="R324" i="13" a="1"/>
  <c r="R324" i="13" s="1"/>
  <c r="R350" i="13" a="1"/>
  <c r="R350" i="13" s="1"/>
  <c r="R309" i="13" a="1"/>
  <c r="R309" i="13" s="1"/>
  <c r="R308" i="13" a="1"/>
  <c r="R308" i="13" s="1"/>
  <c r="R328" i="13" a="1"/>
  <c r="R328" i="13" s="1"/>
  <c r="R349" i="13" a="1"/>
  <c r="R349" i="13" s="1"/>
  <c r="R312" i="13" a="1"/>
  <c r="R312" i="13" s="1"/>
  <c r="R287" i="13" a="1"/>
  <c r="R287" i="13" s="1"/>
  <c r="R242" i="13" a="1"/>
  <c r="R242" i="13" s="1"/>
  <c r="R241" i="13" a="1"/>
  <c r="R241" i="13" s="1"/>
  <c r="R284" i="13" a="1"/>
  <c r="R284" i="13" s="1"/>
  <c r="R280" i="13" a="1"/>
  <c r="R280" i="13" s="1"/>
  <c r="R279" i="13" a="1"/>
  <c r="R279" i="13" s="1"/>
  <c r="R259" i="13" a="1"/>
  <c r="R259" i="13" s="1"/>
  <c r="R251" i="13" a="1"/>
  <c r="R251" i="13" s="1"/>
  <c r="R250" i="13" a="1"/>
  <c r="R250" i="13" s="1"/>
  <c r="R262" i="13" a="1"/>
  <c r="R262" i="13" s="1"/>
  <c r="R288" i="13" a="1"/>
  <c r="R288" i="13" s="1"/>
  <c r="R283" i="13" a="1"/>
  <c r="R283" i="13" s="1"/>
  <c r="R263" i="13" a="1"/>
  <c r="R263" i="13" s="1"/>
  <c r="R258" i="13" a="1"/>
  <c r="R258" i="13" s="1"/>
  <c r="AL572" i="13" a="1"/>
  <c r="AL572" i="13" s="1"/>
  <c r="AL573" i="13" a="1"/>
  <c r="AL573" i="13" s="1"/>
  <c r="AL576" i="13" a="1"/>
  <c r="AL576" i="13" s="1"/>
  <c r="AL577" i="13" a="1"/>
  <c r="AL577" i="13" s="1"/>
  <c r="AL580" i="13" a="1"/>
  <c r="AL580" i="13" s="1"/>
  <c r="AL536" i="13" a="1"/>
  <c r="AL536" i="13" s="1"/>
  <c r="AL535" i="13" a="1"/>
  <c r="AL535" i="13" s="1"/>
  <c r="AL568" i="13" a="1"/>
  <c r="AL568" i="13" s="1"/>
  <c r="AL559" i="13" a="1"/>
  <c r="AL559" i="13" s="1"/>
  <c r="AL544" i="13" a="1"/>
  <c r="AL544" i="13" s="1"/>
  <c r="AL543" i="13" a="1"/>
  <c r="AL543" i="13" s="1"/>
  <c r="AL524" i="13" a="1"/>
  <c r="AL524" i="13" s="1"/>
  <c r="AL523" i="13" a="1"/>
  <c r="AL523" i="13" s="1"/>
  <c r="AL547" i="13" a="1"/>
  <c r="AL547" i="13" s="1"/>
  <c r="AL528" i="13" a="1"/>
  <c r="AL528" i="13" s="1"/>
  <c r="AL527" i="13" a="1"/>
  <c r="AL527" i="13" s="1"/>
  <c r="AL555" i="13" a="1"/>
  <c r="AL555" i="13" s="1"/>
  <c r="AL532" i="13" a="1"/>
  <c r="AL532" i="13" s="1"/>
  <c r="AL548" i="13" a="1"/>
  <c r="AL548" i="13" s="1"/>
  <c r="AL506" i="13" a="1"/>
  <c r="AL506" i="13" s="1"/>
  <c r="AL540" i="13" a="1"/>
  <c r="AL540" i="13" s="1"/>
  <c r="AL531" i="13" a="1"/>
  <c r="AL531" i="13" s="1"/>
  <c r="AL519" i="13" a="1"/>
  <c r="AL519" i="13" s="1"/>
  <c r="AL486" i="13" a="1"/>
  <c r="AL486" i="13" s="1"/>
  <c r="AL502" i="13" a="1"/>
  <c r="AL502" i="13" s="1"/>
  <c r="AL551" i="13" a="1"/>
  <c r="AL551" i="13" s="1"/>
  <c r="AL498" i="13" a="1"/>
  <c r="AL498" i="13" s="1"/>
  <c r="AL539" i="13" a="1"/>
  <c r="AL539" i="13" s="1"/>
  <c r="AL510" i="13" a="1"/>
  <c r="AL510" i="13" s="1"/>
  <c r="AL461" i="13" a="1"/>
  <c r="AL461" i="13" s="1"/>
  <c r="AL490" i="13" a="1"/>
  <c r="AL490" i="13" s="1"/>
  <c r="AL494" i="13" a="1"/>
  <c r="AL494" i="13" s="1"/>
  <c r="AL460" i="13" a="1"/>
  <c r="AL460" i="13" s="1"/>
  <c r="AL441" i="13" a="1"/>
  <c r="AL441" i="13" s="1"/>
  <c r="AL445" i="13" a="1"/>
  <c r="AL445" i="13" s="1"/>
  <c r="AL444" i="13" a="1"/>
  <c r="AL444" i="13" s="1"/>
  <c r="AL474" i="13" a="1"/>
  <c r="AL474" i="13" s="1"/>
  <c r="AL449" i="13" a="1"/>
  <c r="AL449" i="13" s="1"/>
  <c r="AL448" i="13" a="1"/>
  <c r="AL448" i="13" s="1"/>
  <c r="AL471" i="13" a="1"/>
  <c r="AL471" i="13" s="1"/>
  <c r="AL482" i="13" a="1"/>
  <c r="AL482" i="13" s="1"/>
  <c r="AL479" i="13" a="1"/>
  <c r="AL479" i="13" s="1"/>
  <c r="AL453" i="13" a="1"/>
  <c r="AL453" i="13" s="1"/>
  <c r="AL470" i="13" a="1"/>
  <c r="AL470" i="13" s="1"/>
  <c r="AL457" i="13" a="1"/>
  <c r="AL457" i="13" s="1"/>
  <c r="AL456" i="13" a="1"/>
  <c r="AL456" i="13" s="1"/>
  <c r="AL478" i="13" a="1"/>
  <c r="AL478" i="13" s="1"/>
  <c r="AL452" i="13" a="1"/>
  <c r="AL452" i="13" s="1"/>
  <c r="AL433" i="13" a="1"/>
  <c r="AL433" i="13" s="1"/>
  <c r="AL432" i="13" a="1"/>
  <c r="AL432" i="13" s="1"/>
  <c r="AL437" i="13" a="1"/>
  <c r="AL437" i="13" s="1"/>
  <c r="AL436" i="13" a="1"/>
  <c r="AL436" i="13" s="1"/>
  <c r="AL440" i="13" a="1"/>
  <c r="AL440" i="13" s="1"/>
  <c r="AL429" i="13" a="1"/>
  <c r="AL429" i="13" s="1"/>
  <c r="AL424" i="13" a="1"/>
  <c r="AL424" i="13" s="1"/>
  <c r="AL416" i="13" a="1"/>
  <c r="AL416" i="13" s="1"/>
  <c r="AL404" i="13" a="1"/>
  <c r="AL404" i="13" s="1"/>
  <c r="AL403" i="13" a="1"/>
  <c r="AL403" i="13" s="1"/>
  <c r="AL408" i="13" a="1"/>
  <c r="AL408" i="13" s="1"/>
  <c r="AL407" i="13" a="1"/>
  <c r="AL407" i="13" s="1"/>
  <c r="AL412" i="13" a="1"/>
  <c r="AL412" i="13" s="1"/>
  <c r="AL411" i="13" a="1"/>
  <c r="AL411" i="13" s="1"/>
  <c r="AL425" i="13" a="1"/>
  <c r="AL425" i="13" s="1"/>
  <c r="AL363" i="13" a="1"/>
  <c r="AL363" i="13" s="1"/>
  <c r="AL362" i="13" a="1"/>
  <c r="AL362" i="13" s="1"/>
  <c r="AL388" i="13" a="1"/>
  <c r="AL388" i="13" s="1"/>
  <c r="AL387" i="13" a="1"/>
  <c r="AL387" i="13" s="1"/>
  <c r="AL415" i="13" a="1"/>
  <c r="AL415" i="13" s="1"/>
  <c r="AL366" i="13" a="1"/>
  <c r="AL366" i="13" s="1"/>
  <c r="AL392" i="13" a="1"/>
  <c r="AL392" i="13" s="1"/>
  <c r="AL391" i="13" a="1"/>
  <c r="AL391" i="13" s="1"/>
  <c r="AL371" i="13" a="1"/>
  <c r="AL371" i="13" s="1"/>
  <c r="AL428" i="13" a="1"/>
  <c r="AL428" i="13" s="1"/>
  <c r="AL399" i="13" a="1"/>
  <c r="AL399" i="13" s="1"/>
  <c r="AL396" i="13" a="1"/>
  <c r="AL396" i="13" s="1"/>
  <c r="AL374" i="13" a="1"/>
  <c r="AL374" i="13" s="1"/>
  <c r="AL400" i="13" a="1"/>
  <c r="AL400" i="13" s="1"/>
  <c r="AL378" i="13" a="1"/>
  <c r="AL378" i="13" s="1"/>
  <c r="AL395" i="13" a="1"/>
  <c r="AL395" i="13" s="1"/>
  <c r="AL338" i="13" a="1"/>
  <c r="AL338" i="13" s="1"/>
  <c r="AL337" i="13" a="1"/>
  <c r="AL337" i="13" s="1"/>
  <c r="AL316" i="13" a="1"/>
  <c r="AL316" i="13" s="1"/>
  <c r="AL342" i="13" a="1"/>
  <c r="AL342" i="13" s="1"/>
  <c r="AL341" i="13" a="1"/>
  <c r="AL341" i="13" s="1"/>
  <c r="AL320" i="13" a="1"/>
  <c r="AL320" i="13" s="1"/>
  <c r="AL346" i="13" a="1"/>
  <c r="AL346" i="13" s="1"/>
  <c r="AL345" i="13" a="1"/>
  <c r="AL345" i="13" s="1"/>
  <c r="AL370" i="13" a="1"/>
  <c r="AL370" i="13" s="1"/>
  <c r="AL354" i="13" a="1"/>
  <c r="AL354" i="13" s="1"/>
  <c r="AL353" i="13" a="1"/>
  <c r="AL353" i="13" s="1"/>
  <c r="AL267" i="13" a="1"/>
  <c r="AL267" i="13" s="1"/>
  <c r="AL266" i="13" a="1"/>
  <c r="AL266" i="13" s="1"/>
  <c r="AL328" i="13" a="1"/>
  <c r="AL328" i="13" s="1"/>
  <c r="AL292" i="13" a="1"/>
  <c r="AL292" i="13" s="1"/>
  <c r="AL291" i="13" a="1"/>
  <c r="AL291" i="13" s="1"/>
  <c r="AL325" i="13" a="1"/>
  <c r="AL325" i="13" s="1"/>
  <c r="AL271" i="13" a="1"/>
  <c r="AL271" i="13" s="1"/>
  <c r="AL270" i="13" a="1"/>
  <c r="AL270" i="13" s="1"/>
  <c r="AL296" i="13" a="1"/>
  <c r="AL296" i="13" s="1"/>
  <c r="AL295" i="13" a="1"/>
  <c r="AL295" i="13" s="1"/>
  <c r="AL350" i="13" a="1"/>
  <c r="AL350" i="13" s="1"/>
  <c r="AL300" i="13" a="1"/>
  <c r="AL300" i="13" s="1"/>
  <c r="AL299" i="13" a="1"/>
  <c r="AL299" i="13" s="1"/>
  <c r="AL329" i="13" a="1"/>
  <c r="AL329" i="13" s="1"/>
  <c r="AL349" i="13" a="1"/>
  <c r="AL349" i="13" s="1"/>
  <c r="AL324" i="13" a="1"/>
  <c r="AL324" i="13" s="1"/>
  <c r="AL308" i="13" a="1"/>
  <c r="AL308" i="13" s="1"/>
  <c r="AL312" i="13" a="1"/>
  <c r="AL312" i="13" s="1"/>
  <c r="AL283" i="13" a="1"/>
  <c r="AL283" i="13" s="1"/>
  <c r="AL258" i="13" a="1"/>
  <c r="AL258" i="13" s="1"/>
  <c r="AL280" i="13" a="1"/>
  <c r="AL280" i="13" s="1"/>
  <c r="AL262" i="13" a="1"/>
  <c r="AL262" i="13" s="1"/>
  <c r="AL242" i="13" a="1"/>
  <c r="AL242" i="13" s="1"/>
  <c r="AL241" i="13" a="1"/>
  <c r="AL241" i="13" s="1"/>
  <c r="AL279" i="13" a="1"/>
  <c r="AL279" i="13" s="1"/>
  <c r="AL287" i="13" a="1"/>
  <c r="AL287" i="13" s="1"/>
  <c r="AL284" i="13" a="1"/>
  <c r="AL284" i="13" s="1"/>
  <c r="AL251" i="13" a="1"/>
  <c r="AL251" i="13" s="1"/>
  <c r="AL250" i="13" a="1"/>
  <c r="AL250" i="13" s="1"/>
  <c r="AL263" i="13" a="1"/>
  <c r="AL263" i="13" s="1"/>
  <c r="AL288" i="13" a="1"/>
  <c r="AL288" i="13" s="1"/>
  <c r="Q225" i="13" a="1"/>
  <c r="Q225" i="13" s="1"/>
  <c r="O226" i="13" a="1"/>
  <c r="O226" i="13" s="1"/>
  <c r="K229" i="13" a="1"/>
  <c r="K229" i="13" s="1"/>
  <c r="I233" i="13" a="1"/>
  <c r="I233" i="13" s="1"/>
  <c r="S233" i="13" a="1"/>
  <c r="S233" i="13" s="1"/>
  <c r="I234" i="13" a="1"/>
  <c r="I234" i="13" s="1"/>
  <c r="M237" i="13" a="1"/>
  <c r="M237" i="13" s="1"/>
  <c r="AF237" i="13" a="1"/>
  <c r="AF237" i="13" s="1"/>
  <c r="K238" i="13" a="1"/>
  <c r="K238" i="13" s="1"/>
  <c r="Z238" i="13" a="1"/>
  <c r="Z238" i="13" s="1"/>
  <c r="AF241" i="13" a="1"/>
  <c r="AF241" i="13" s="1"/>
  <c r="N242" i="13" a="1"/>
  <c r="N242" i="13" s="1"/>
  <c r="J254" i="13" a="1"/>
  <c r="J254" i="13" s="1"/>
  <c r="X259" i="13" a="1"/>
  <c r="X259" i="13" s="1"/>
  <c r="Q262" i="13" a="1"/>
  <c r="Q262" i="13" s="1"/>
  <c r="S573" i="13" a="1"/>
  <c r="S573" i="13" s="1"/>
  <c r="S577" i="13" a="1"/>
  <c r="S577" i="13" s="1"/>
  <c r="S568" i="13" a="1"/>
  <c r="S568" i="13" s="1"/>
  <c r="S580" i="13" a="1"/>
  <c r="S580" i="13" s="1"/>
  <c r="S572" i="13" a="1"/>
  <c r="S572" i="13" s="1"/>
  <c r="S540" i="13" a="1"/>
  <c r="S540" i="13" s="1"/>
  <c r="S539" i="13" a="1"/>
  <c r="S539" i="13" s="1"/>
  <c r="S547" i="13" a="1"/>
  <c r="S547" i="13" s="1"/>
  <c r="S528" i="13" a="1"/>
  <c r="S528" i="13" s="1"/>
  <c r="S527" i="13" a="1"/>
  <c r="S527" i="13" s="1"/>
  <c r="S576" i="13" a="1"/>
  <c r="S576" i="13" s="1"/>
  <c r="S532" i="13" a="1"/>
  <c r="S532" i="13" s="1"/>
  <c r="S531" i="13" a="1"/>
  <c r="S531" i="13" s="1"/>
  <c r="S559" i="13" a="1"/>
  <c r="S559" i="13" s="1"/>
  <c r="S551" i="13" a="1"/>
  <c r="S551" i="13" s="1"/>
  <c r="S544" i="13" a="1"/>
  <c r="S544" i="13" s="1"/>
  <c r="S543" i="13" a="1"/>
  <c r="S543" i="13" s="1"/>
  <c r="S548" i="13" a="1"/>
  <c r="S548" i="13" s="1"/>
  <c r="S555" i="13" a="1"/>
  <c r="S555" i="13" s="1"/>
  <c r="S506" i="13" a="1"/>
  <c r="S506" i="13" s="1"/>
  <c r="S523" i="13" a="1"/>
  <c r="S523" i="13" s="1"/>
  <c r="S524" i="13" a="1"/>
  <c r="S524" i="13" s="1"/>
  <c r="S510" i="13" a="1"/>
  <c r="S510" i="13" s="1"/>
  <c r="S536" i="13" a="1"/>
  <c r="S536" i="13" s="1"/>
  <c r="S498" i="13" a="1"/>
  <c r="S498" i="13" s="1"/>
  <c r="S519" i="13" a="1"/>
  <c r="S519" i="13" s="1"/>
  <c r="S535" i="13" a="1"/>
  <c r="S535" i="13" s="1"/>
  <c r="S494" i="13" a="1"/>
  <c r="S494" i="13" s="1"/>
  <c r="S502" i="13" a="1"/>
  <c r="S502" i="13" s="1"/>
  <c r="S490" i="13" a="1"/>
  <c r="S490" i="13" s="1"/>
  <c r="S471" i="13" a="1"/>
  <c r="S471" i="13" s="1"/>
  <c r="S445" i="13" a="1"/>
  <c r="S445" i="13" s="1"/>
  <c r="S470" i="13" a="1"/>
  <c r="S470" i="13" s="1"/>
  <c r="S449" i="13" a="1"/>
  <c r="S449" i="13" s="1"/>
  <c r="S448" i="13" a="1"/>
  <c r="S448" i="13" s="1"/>
  <c r="S482" i="13" a="1"/>
  <c r="S482" i="13" s="1"/>
  <c r="S453" i="13" a="1"/>
  <c r="S453" i="13" s="1"/>
  <c r="S486" i="13" a="1"/>
  <c r="S486" i="13" s="1"/>
  <c r="S479" i="13" a="1"/>
  <c r="S479" i="13" s="1"/>
  <c r="S478" i="13" a="1"/>
  <c r="S478" i="13" s="1"/>
  <c r="S461" i="13" a="1"/>
  <c r="S461" i="13" s="1"/>
  <c r="S460" i="13" a="1"/>
  <c r="S460" i="13" s="1"/>
  <c r="S444" i="13" a="1"/>
  <c r="S444" i="13" s="1"/>
  <c r="S457" i="13" a="1"/>
  <c r="S457" i="13" s="1"/>
  <c r="S456" i="13" a="1"/>
  <c r="S456" i="13" s="1"/>
  <c r="S437" i="13" a="1"/>
  <c r="S437" i="13" s="1"/>
  <c r="S436" i="13" a="1"/>
  <c r="S436" i="13" s="1"/>
  <c r="S416" i="13" a="1"/>
  <c r="S416" i="13" s="1"/>
  <c r="S415" i="13" a="1"/>
  <c r="S415" i="13" s="1"/>
  <c r="S440" i="13" a="1"/>
  <c r="S440" i="13" s="1"/>
  <c r="S474" i="13" a="1"/>
  <c r="S474" i="13" s="1"/>
  <c r="S441" i="13" a="1"/>
  <c r="S441" i="13" s="1"/>
  <c r="S452" i="13" a="1"/>
  <c r="S452" i="13" s="1"/>
  <c r="S404" i="13" a="1"/>
  <c r="S404" i="13" s="1"/>
  <c r="S403" i="13" a="1"/>
  <c r="S403" i="13" s="1"/>
  <c r="S424" i="13" a="1"/>
  <c r="S424" i="13" s="1"/>
  <c r="S408" i="13" a="1"/>
  <c r="S408" i="13" s="1"/>
  <c r="S407" i="13" a="1"/>
  <c r="S407" i="13" s="1"/>
  <c r="S433" i="13" a="1"/>
  <c r="S433" i="13" s="1"/>
  <c r="S412" i="13" a="1"/>
  <c r="S412" i="13" s="1"/>
  <c r="S411" i="13" a="1"/>
  <c r="S411" i="13" s="1"/>
  <c r="S428" i="13" a="1"/>
  <c r="S428" i="13" s="1"/>
  <c r="S429" i="13" a="1"/>
  <c r="S429" i="13" s="1"/>
  <c r="S425" i="13" a="1"/>
  <c r="S425" i="13" s="1"/>
  <c r="S432" i="13" a="1"/>
  <c r="S432" i="13" s="1"/>
  <c r="S395" i="13" a="1"/>
  <c r="S395" i="13" s="1"/>
  <c r="S367" i="13" a="1"/>
  <c r="S367" i="13" s="1"/>
  <c r="S366" i="13" a="1"/>
  <c r="S366" i="13" s="1"/>
  <c r="S392" i="13" a="1"/>
  <c r="S392" i="13" s="1"/>
  <c r="S391" i="13" a="1"/>
  <c r="S391" i="13" s="1"/>
  <c r="S371" i="13" a="1"/>
  <c r="S371" i="13" s="1"/>
  <c r="S370" i="13" a="1"/>
  <c r="S370" i="13" s="1"/>
  <c r="S399" i="13" a="1"/>
  <c r="S399" i="13" s="1"/>
  <c r="S400" i="13" a="1"/>
  <c r="S400" i="13" s="1"/>
  <c r="S374" i="13" a="1"/>
  <c r="S374" i="13" s="1"/>
  <c r="S396" i="13" a="1"/>
  <c r="S396" i="13" s="1"/>
  <c r="S379" i="13" a="1"/>
  <c r="S379" i="13" s="1"/>
  <c r="S378" i="13" a="1"/>
  <c r="S378" i="13" s="1"/>
  <c r="S338" i="13" a="1"/>
  <c r="S338" i="13" s="1"/>
  <c r="S337" i="13" a="1"/>
  <c r="S337" i="13" s="1"/>
  <c r="S362" i="13" a="1"/>
  <c r="S362" i="13" s="1"/>
  <c r="S316" i="13" a="1"/>
  <c r="S316" i="13" s="1"/>
  <c r="S363" i="13" a="1"/>
  <c r="S363" i="13" s="1"/>
  <c r="S342" i="13" a="1"/>
  <c r="S342" i="13" s="1"/>
  <c r="S341" i="13" a="1"/>
  <c r="S341" i="13" s="1"/>
  <c r="S320" i="13" a="1"/>
  <c r="S320" i="13" s="1"/>
  <c r="S387" i="13" a="1"/>
  <c r="S387" i="13" s="1"/>
  <c r="S346" i="13" a="1"/>
  <c r="S346" i="13" s="1"/>
  <c r="S345" i="13" a="1"/>
  <c r="S345" i="13" s="1"/>
  <c r="S325" i="13" a="1"/>
  <c r="S325" i="13" s="1"/>
  <c r="S324" i="13" a="1"/>
  <c r="S324" i="13" s="1"/>
  <c r="S350" i="13" a="1"/>
  <c r="S350" i="13" s="1"/>
  <c r="S349" i="13" a="1"/>
  <c r="S349" i="13" s="1"/>
  <c r="S354" i="13" a="1"/>
  <c r="S354" i="13" s="1"/>
  <c r="S353" i="13" a="1"/>
  <c r="S353" i="13" s="1"/>
  <c r="S388" i="13" a="1"/>
  <c r="S388" i="13" s="1"/>
  <c r="S271" i="13" a="1"/>
  <c r="S271" i="13" s="1"/>
  <c r="S270" i="13" a="1"/>
  <c r="S270" i="13" s="1"/>
  <c r="S296" i="13" a="1"/>
  <c r="S296" i="13" s="1"/>
  <c r="S295" i="13" a="1"/>
  <c r="S295" i="13" s="1"/>
  <c r="S329" i="13" a="1"/>
  <c r="S329" i="13" s="1"/>
  <c r="S300" i="13" a="1"/>
  <c r="S300" i="13" s="1"/>
  <c r="S299" i="13" a="1"/>
  <c r="S299" i="13" s="1"/>
  <c r="S280" i="13" a="1"/>
  <c r="S280" i="13" s="1"/>
  <c r="S279" i="13" a="1"/>
  <c r="S279" i="13" s="1"/>
  <c r="S284" i="13" a="1"/>
  <c r="S284" i="13" s="1"/>
  <c r="S283" i="13" a="1"/>
  <c r="S283" i="13" s="1"/>
  <c r="S309" i="13" a="1"/>
  <c r="S309" i="13" s="1"/>
  <c r="S308" i="13" a="1"/>
  <c r="S308" i="13" s="1"/>
  <c r="S312" i="13" a="1"/>
  <c r="S312" i="13" s="1"/>
  <c r="S287" i="13" a="1"/>
  <c r="S287" i="13" s="1"/>
  <c r="S242" i="13" a="1"/>
  <c r="S242" i="13" s="1"/>
  <c r="S241" i="13" a="1"/>
  <c r="S241" i="13" s="1"/>
  <c r="S226" i="13" a="1"/>
  <c r="S226" i="13" s="1"/>
  <c r="S225" i="13" a="1"/>
  <c r="S225" i="13" s="1"/>
  <c r="S328" i="13" a="1"/>
  <c r="S328" i="13" s="1"/>
  <c r="S291" i="13" a="1"/>
  <c r="S291" i="13" s="1"/>
  <c r="S259" i="13" a="1"/>
  <c r="S259" i="13" s="1"/>
  <c r="S251" i="13" a="1"/>
  <c r="S251" i="13" s="1"/>
  <c r="S250" i="13" a="1"/>
  <c r="S250" i="13" s="1"/>
  <c r="S262" i="13" a="1"/>
  <c r="S262" i="13" s="1"/>
  <c r="S288" i="13" a="1"/>
  <c r="S288" i="13" s="1"/>
  <c r="S267" i="13" a="1"/>
  <c r="S267" i="13" s="1"/>
  <c r="S266" i="13" a="1"/>
  <c r="S266" i="13" s="1"/>
  <c r="S255" i="13" a="1"/>
  <c r="S255" i="13" s="1"/>
  <c r="S254" i="13" a="1"/>
  <c r="S254" i="13" s="1"/>
  <c r="S258" i="13" a="1"/>
  <c r="S258" i="13" s="1"/>
  <c r="S292" i="13" a="1"/>
  <c r="S292" i="13" s="1"/>
  <c r="AM573" i="13" a="1"/>
  <c r="AM573" i="13" s="1"/>
  <c r="AM559" i="13" a="1"/>
  <c r="AM559" i="13" s="1"/>
  <c r="AM577" i="13" a="1"/>
  <c r="AM577" i="13" s="1"/>
  <c r="AM568" i="13" a="1"/>
  <c r="AM568" i="13" s="1"/>
  <c r="AM580" i="13" a="1"/>
  <c r="AM580" i="13" s="1"/>
  <c r="AM572" i="13" a="1"/>
  <c r="AM572" i="13" s="1"/>
  <c r="AM540" i="13" a="1"/>
  <c r="AM540" i="13" s="1"/>
  <c r="AM539" i="13" a="1"/>
  <c r="AM539" i="13" s="1"/>
  <c r="AM576" i="13" a="1"/>
  <c r="AM576" i="13" s="1"/>
  <c r="AM544" i="13" a="1"/>
  <c r="AM544" i="13" s="1"/>
  <c r="AM528" i="13" a="1"/>
  <c r="AM528" i="13" s="1"/>
  <c r="AM527" i="13" a="1"/>
  <c r="AM527" i="13" s="1"/>
  <c r="AM555" i="13" a="1"/>
  <c r="AM555" i="13" s="1"/>
  <c r="AM536" i="13" a="1"/>
  <c r="AM536" i="13" s="1"/>
  <c r="AM532" i="13" a="1"/>
  <c r="AM532" i="13" s="1"/>
  <c r="AM531" i="13" a="1"/>
  <c r="AM531" i="13" s="1"/>
  <c r="AM551" i="13" a="1"/>
  <c r="AM551" i="13" s="1"/>
  <c r="AM548" i="13" a="1"/>
  <c r="AM548" i="13" s="1"/>
  <c r="AM543" i="13" a="1"/>
  <c r="AM543" i="13" s="1"/>
  <c r="AM524" i="13" a="1"/>
  <c r="AM524" i="13" s="1"/>
  <c r="AM506" i="13" a="1"/>
  <c r="AM506" i="13" s="1"/>
  <c r="AM510" i="13" a="1"/>
  <c r="AM510" i="13" s="1"/>
  <c r="AM547" i="13" a="1"/>
  <c r="AM547" i="13" s="1"/>
  <c r="AM523" i="13" a="1"/>
  <c r="AM523" i="13" s="1"/>
  <c r="AM502" i="13" a="1"/>
  <c r="AM502" i="13" s="1"/>
  <c r="AM498" i="13" a="1"/>
  <c r="AM498" i="13" s="1"/>
  <c r="AM535" i="13" a="1"/>
  <c r="AM535" i="13" s="1"/>
  <c r="AM519" i="13" a="1"/>
  <c r="AM519" i="13" s="1"/>
  <c r="AM490" i="13" a="1"/>
  <c r="AM490" i="13" s="1"/>
  <c r="AM486" i="13" a="1"/>
  <c r="AM486" i="13" s="1"/>
  <c r="AM445" i="13" a="1"/>
  <c r="AM445" i="13" s="1"/>
  <c r="AM444" i="13" a="1"/>
  <c r="AM444" i="13" s="1"/>
  <c r="AM474" i="13" a="1"/>
  <c r="AM474" i="13" s="1"/>
  <c r="AM449" i="13" a="1"/>
  <c r="AM449" i="13" s="1"/>
  <c r="AM448" i="13" a="1"/>
  <c r="AM448" i="13" s="1"/>
  <c r="AM494" i="13" a="1"/>
  <c r="AM494" i="13" s="1"/>
  <c r="AM471" i="13" a="1"/>
  <c r="AM471" i="13" s="1"/>
  <c r="AM482" i="13" a="1"/>
  <c r="AM482" i="13" s="1"/>
  <c r="AM479" i="13" a="1"/>
  <c r="AM479" i="13" s="1"/>
  <c r="AM453" i="13" a="1"/>
  <c r="AM453" i="13" s="1"/>
  <c r="AM452" i="13" a="1"/>
  <c r="AM452" i="13" s="1"/>
  <c r="AM478" i="13" a="1"/>
  <c r="AM478" i="13" s="1"/>
  <c r="AM460" i="13" a="1"/>
  <c r="AM460" i="13" s="1"/>
  <c r="AM437" i="13" a="1"/>
  <c r="AM437" i="13" s="1"/>
  <c r="AM436" i="13" a="1"/>
  <c r="AM436" i="13" s="1"/>
  <c r="AM461" i="13" a="1"/>
  <c r="AM461" i="13" s="1"/>
  <c r="AM416" i="13" a="1"/>
  <c r="AM416" i="13" s="1"/>
  <c r="AM415" i="13" a="1"/>
  <c r="AM415" i="13" s="1"/>
  <c r="AM470" i="13" a="1"/>
  <c r="AM470" i="13" s="1"/>
  <c r="AM440" i="13" a="1"/>
  <c r="AM440" i="13" s="1"/>
  <c r="AM456" i="13" a="1"/>
  <c r="AM456" i="13" s="1"/>
  <c r="AM441" i="13" a="1"/>
  <c r="AM441" i="13" s="1"/>
  <c r="AM429" i="13" a="1"/>
  <c r="AM429" i="13" s="1"/>
  <c r="AM404" i="13" a="1"/>
  <c r="AM404" i="13" s="1"/>
  <c r="AM403" i="13" a="1"/>
  <c r="AM403" i="13" s="1"/>
  <c r="AM408" i="13" a="1"/>
  <c r="AM408" i="13" s="1"/>
  <c r="AM407" i="13" a="1"/>
  <c r="AM407" i="13" s="1"/>
  <c r="AM412" i="13" a="1"/>
  <c r="AM412" i="13" s="1"/>
  <c r="AM411" i="13" a="1"/>
  <c r="AM411" i="13" s="1"/>
  <c r="AM428" i="13" a="1"/>
  <c r="AM428" i="13" s="1"/>
  <c r="AM366" i="13" a="1"/>
  <c r="AM366" i="13" s="1"/>
  <c r="AM392" i="13" a="1"/>
  <c r="AM392" i="13" s="1"/>
  <c r="AM391" i="13" a="1"/>
  <c r="AM391" i="13" s="1"/>
  <c r="AM370" i="13" a="1"/>
  <c r="AM370" i="13" s="1"/>
  <c r="AM399" i="13" a="1"/>
  <c r="AM399" i="13" s="1"/>
  <c r="AM396" i="13" a="1"/>
  <c r="AM396" i="13" s="1"/>
  <c r="AM433" i="13" a="1"/>
  <c r="AM433" i="13" s="1"/>
  <c r="AM457" i="13" a="1"/>
  <c r="AM457" i="13" s="1"/>
  <c r="AM424" i="13" a="1"/>
  <c r="AM424" i="13" s="1"/>
  <c r="AM375" i="13" a="1"/>
  <c r="AM375" i="13" s="1"/>
  <c r="AM374" i="13" a="1"/>
  <c r="AM374" i="13" s="1"/>
  <c r="AM400" i="13" a="1"/>
  <c r="AM400" i="13" s="1"/>
  <c r="AM379" i="13" a="1"/>
  <c r="AM379" i="13" s="1"/>
  <c r="AM378" i="13" a="1"/>
  <c r="AM378" i="13" s="1"/>
  <c r="AM395" i="13" a="1"/>
  <c r="AM395" i="13" s="1"/>
  <c r="AM432" i="13" a="1"/>
  <c r="AM432" i="13" s="1"/>
  <c r="AM338" i="13" a="1"/>
  <c r="AM338" i="13" s="1"/>
  <c r="AM337" i="13" a="1"/>
  <c r="AM337" i="13" s="1"/>
  <c r="AM387" i="13" a="1"/>
  <c r="AM387" i="13" s="1"/>
  <c r="AM316" i="13" a="1"/>
  <c r="AM316" i="13" s="1"/>
  <c r="AM425" i="13" a="1"/>
  <c r="AM425" i="13" s="1"/>
  <c r="AM342" i="13" a="1"/>
  <c r="AM342" i="13" s="1"/>
  <c r="AM341" i="13" a="1"/>
  <c r="AM341" i="13" s="1"/>
  <c r="AM320" i="13" a="1"/>
  <c r="AM320" i="13" s="1"/>
  <c r="AM346" i="13" a="1"/>
  <c r="AM346" i="13" s="1"/>
  <c r="AM345" i="13" a="1"/>
  <c r="AM345" i="13" s="1"/>
  <c r="AM388" i="13" a="1"/>
  <c r="AM388" i="13" s="1"/>
  <c r="AM325" i="13" a="1"/>
  <c r="AM325" i="13" s="1"/>
  <c r="AM324" i="13" a="1"/>
  <c r="AM324" i="13" s="1"/>
  <c r="AM362" i="13" a="1"/>
  <c r="AM362" i="13" s="1"/>
  <c r="AM350" i="13" a="1"/>
  <c r="AM350" i="13" s="1"/>
  <c r="AM349" i="13" a="1"/>
  <c r="AM349" i="13" s="1"/>
  <c r="AM354" i="13" a="1"/>
  <c r="AM354" i="13" s="1"/>
  <c r="AM353" i="13" a="1"/>
  <c r="AM353" i="13" s="1"/>
  <c r="AM271" i="13" a="1"/>
  <c r="AM271" i="13" s="1"/>
  <c r="AM270" i="13" a="1"/>
  <c r="AM270" i="13" s="1"/>
  <c r="AM313" i="13" a="1"/>
  <c r="AM313" i="13" s="1"/>
  <c r="AM296" i="13" a="1"/>
  <c r="AM296" i="13" s="1"/>
  <c r="AM295" i="13" a="1"/>
  <c r="AM295" i="13" s="1"/>
  <c r="AM300" i="13" a="1"/>
  <c r="AM300" i="13" s="1"/>
  <c r="AM299" i="13" a="1"/>
  <c r="AM299" i="13" s="1"/>
  <c r="AM280" i="13" a="1"/>
  <c r="AM280" i="13" s="1"/>
  <c r="AM279" i="13" a="1"/>
  <c r="AM279" i="13" s="1"/>
  <c r="AM329" i="13" a="1"/>
  <c r="AM329" i="13" s="1"/>
  <c r="AM284" i="13" a="1"/>
  <c r="AM284" i="13" s="1"/>
  <c r="AM283" i="13" a="1"/>
  <c r="AM283" i="13" s="1"/>
  <c r="AM308" i="13" a="1"/>
  <c r="AM308" i="13" s="1"/>
  <c r="AM312" i="13" a="1"/>
  <c r="AM312" i="13" s="1"/>
  <c r="AM328" i="13" a="1"/>
  <c r="AM328" i="13" s="1"/>
  <c r="AM292" i="13" a="1"/>
  <c r="AM292" i="13" s="1"/>
  <c r="AM258" i="13" a="1"/>
  <c r="AM258" i="13" s="1"/>
  <c r="AM262" i="13" a="1"/>
  <c r="AM262" i="13" s="1"/>
  <c r="AM242" i="13" a="1"/>
  <c r="AM242" i="13" s="1"/>
  <c r="AM241" i="13" a="1"/>
  <c r="AM241" i="13" s="1"/>
  <c r="AM287" i="13" a="1"/>
  <c r="AM287" i="13" s="1"/>
  <c r="AM225" i="13" a="1"/>
  <c r="AM225" i="13" s="1"/>
  <c r="AM251" i="13" a="1"/>
  <c r="AM251" i="13" s="1"/>
  <c r="AM250" i="13" a="1"/>
  <c r="AM250" i="13" s="1"/>
  <c r="AM291" i="13" a="1"/>
  <c r="AM291" i="13" s="1"/>
  <c r="AM267" i="13" a="1"/>
  <c r="AM267" i="13" s="1"/>
  <c r="AM266" i="13" a="1"/>
  <c r="AM266" i="13" s="1"/>
  <c r="AM255" i="13" a="1"/>
  <c r="AM255" i="13" s="1"/>
  <c r="AM254" i="13" a="1"/>
  <c r="AM254" i="13" s="1"/>
  <c r="AM263" i="13" a="1"/>
  <c r="AM263" i="13" s="1"/>
  <c r="AM288" i="13" a="1"/>
  <c r="AM288" i="13" s="1"/>
  <c r="AM259" i="13" a="1"/>
  <c r="AM259" i="13" s="1"/>
  <c r="M221" i="13" a="1"/>
  <c r="M221" i="13" s="1"/>
  <c r="AG221" i="13" a="1"/>
  <c r="AG221" i="13" s="1"/>
  <c r="M222" i="13" a="1"/>
  <c r="M222" i="13" s="1"/>
  <c r="H225" i="13" a="1"/>
  <c r="H225" i="13" s="1"/>
  <c r="AF225" i="13" a="1"/>
  <c r="AF225" i="13" s="1"/>
  <c r="Y226" i="13" a="1"/>
  <c r="Y226" i="13" s="1"/>
  <c r="V229" i="13" a="1"/>
  <c r="V229" i="13" s="1"/>
  <c r="AJ229" i="13" a="1"/>
  <c r="AJ229" i="13" s="1"/>
  <c r="J230" i="13" a="1"/>
  <c r="J230" i="13" s="1"/>
  <c r="AI233" i="13" a="1"/>
  <c r="AI233" i="13" s="1"/>
  <c r="L241" i="13" a="1"/>
  <c r="L241" i="13" s="1"/>
  <c r="X255" i="13" a="1"/>
  <c r="X255" i="13" s="1"/>
  <c r="Z259" i="13" a="1"/>
  <c r="Z259" i="13" s="1"/>
  <c r="AG291" i="13" a="1"/>
  <c r="AG291" i="13" s="1"/>
  <c r="T576" i="13" a="1"/>
  <c r="T576" i="13" s="1"/>
  <c r="T580" i="13" a="1"/>
  <c r="T580" i="13" s="1"/>
  <c r="T572" i="13" a="1"/>
  <c r="T572" i="13" s="1"/>
  <c r="T573" i="13" a="1"/>
  <c r="T573" i="13" s="1"/>
  <c r="T568" i="13" a="1"/>
  <c r="T568" i="13" s="1"/>
  <c r="T544" i="13" a="1"/>
  <c r="T544" i="13" s="1"/>
  <c r="T543" i="13" a="1"/>
  <c r="T543" i="13" s="1"/>
  <c r="T548" i="13" a="1"/>
  <c r="T548" i="13" s="1"/>
  <c r="T547" i="13" a="1"/>
  <c r="T547" i="13" s="1"/>
  <c r="T559" i="13" a="1"/>
  <c r="T559" i="13" s="1"/>
  <c r="T532" i="13" a="1"/>
  <c r="T532" i="13" s="1"/>
  <c r="T531" i="13" a="1"/>
  <c r="T531" i="13" s="1"/>
  <c r="T551" i="13" a="1"/>
  <c r="T551" i="13" s="1"/>
  <c r="T540" i="13" a="1"/>
  <c r="T540" i="13" s="1"/>
  <c r="T539" i="13" a="1"/>
  <c r="T539" i="13" s="1"/>
  <c r="T535" i="13" a="1"/>
  <c r="T535" i="13" s="1"/>
  <c r="T577" i="13" a="1"/>
  <c r="T577" i="13" s="1"/>
  <c r="T555" i="13" a="1"/>
  <c r="T555" i="13" s="1"/>
  <c r="T506" i="13" a="1"/>
  <c r="T506" i="13" s="1"/>
  <c r="T523" i="13" a="1"/>
  <c r="T523" i="13" s="1"/>
  <c r="T524" i="13" a="1"/>
  <c r="T524" i="13" s="1"/>
  <c r="T510" i="13" a="1"/>
  <c r="T510" i="13" s="1"/>
  <c r="T527" i="13" a="1"/>
  <c r="T527" i="13" s="1"/>
  <c r="T536" i="13" a="1"/>
  <c r="T536" i="13" s="1"/>
  <c r="T528" i="13" a="1"/>
  <c r="T528" i="13" s="1"/>
  <c r="T494" i="13" a="1"/>
  <c r="T494" i="13" s="1"/>
  <c r="T498" i="13" a="1"/>
  <c r="T498" i="13" s="1"/>
  <c r="T519" i="13" a="1"/>
  <c r="T519" i="13" s="1"/>
  <c r="T502" i="13" a="1"/>
  <c r="T502" i="13" s="1"/>
  <c r="T471" i="13" a="1"/>
  <c r="T471" i="13" s="1"/>
  <c r="T470" i="13" a="1"/>
  <c r="T470" i="13" s="1"/>
  <c r="T479" i="13" a="1"/>
  <c r="T479" i="13" s="1"/>
  <c r="T478" i="13" a="1"/>
  <c r="T478" i="13" s="1"/>
  <c r="T486" i="13" a="1"/>
  <c r="T486" i="13" s="1"/>
  <c r="T490" i="13" a="1"/>
  <c r="T490" i="13" s="1"/>
  <c r="T445" i="13" a="1"/>
  <c r="T445" i="13" s="1"/>
  <c r="T444" i="13" a="1"/>
  <c r="T444" i="13" s="1"/>
  <c r="T449" i="13" a="1"/>
  <c r="T449" i="13" s="1"/>
  <c r="T448" i="13" a="1"/>
  <c r="T448" i="13" s="1"/>
  <c r="T482" i="13" a="1"/>
  <c r="T482" i="13" s="1"/>
  <c r="T453" i="13" a="1"/>
  <c r="T453" i="13" s="1"/>
  <c r="T452" i="13" a="1"/>
  <c r="T452" i="13" s="1"/>
  <c r="T474" i="13" a="1"/>
  <c r="T474" i="13" s="1"/>
  <c r="T461" i="13" a="1"/>
  <c r="T461" i="13" s="1"/>
  <c r="T460" i="13" a="1"/>
  <c r="T460" i="13" s="1"/>
  <c r="T437" i="13" a="1"/>
  <c r="T437" i="13" s="1"/>
  <c r="T436" i="13" a="1"/>
  <c r="T436" i="13" s="1"/>
  <c r="T457" i="13" a="1"/>
  <c r="T457" i="13" s="1"/>
  <c r="T456" i="13" a="1"/>
  <c r="T456" i="13" s="1"/>
  <c r="T416" i="13" a="1"/>
  <c r="T416" i="13" s="1"/>
  <c r="T415" i="13" a="1"/>
  <c r="T415" i="13" s="1"/>
  <c r="T440" i="13" a="1"/>
  <c r="T440" i="13" s="1"/>
  <c r="T441" i="13" a="1"/>
  <c r="T441" i="13" s="1"/>
  <c r="T425" i="13" a="1"/>
  <c r="T425" i="13" s="1"/>
  <c r="T433" i="13" a="1"/>
  <c r="T433" i="13" s="1"/>
  <c r="T432" i="13" a="1"/>
  <c r="T432" i="13" s="1"/>
  <c r="T408" i="13" a="1"/>
  <c r="T408" i="13" s="1"/>
  <c r="T407" i="13" a="1"/>
  <c r="T407" i="13" s="1"/>
  <c r="T424" i="13" a="1"/>
  <c r="T424" i="13" s="1"/>
  <c r="T412" i="13" a="1"/>
  <c r="T412" i="13" s="1"/>
  <c r="T411" i="13" a="1"/>
  <c r="T411" i="13" s="1"/>
  <c r="T428" i="13" a="1"/>
  <c r="T428" i="13" s="1"/>
  <c r="T396" i="13" a="1"/>
  <c r="T396" i="13" s="1"/>
  <c r="T395" i="13" a="1"/>
  <c r="T395" i="13" s="1"/>
  <c r="T392" i="13" a="1"/>
  <c r="T392" i="13" s="1"/>
  <c r="T391" i="13" a="1"/>
  <c r="T391" i="13" s="1"/>
  <c r="T429" i="13" a="1"/>
  <c r="T429" i="13" s="1"/>
  <c r="T371" i="13" a="1"/>
  <c r="T371" i="13" s="1"/>
  <c r="T403" i="13" a="1"/>
  <c r="T403" i="13" s="1"/>
  <c r="T399" i="13" a="1"/>
  <c r="T399" i="13" s="1"/>
  <c r="T400" i="13" a="1"/>
  <c r="T400" i="13" s="1"/>
  <c r="T374" i="13" a="1"/>
  <c r="T374" i="13" s="1"/>
  <c r="T379" i="13" a="1"/>
  <c r="T379" i="13" s="1"/>
  <c r="T378" i="13" a="1"/>
  <c r="T378" i="13" s="1"/>
  <c r="T404" i="13" a="1"/>
  <c r="T404" i="13" s="1"/>
  <c r="T388" i="13" a="1"/>
  <c r="T388" i="13" s="1"/>
  <c r="T387" i="13" a="1"/>
  <c r="T387" i="13" s="1"/>
  <c r="T367" i="13" a="1"/>
  <c r="T367" i="13" s="1"/>
  <c r="T316" i="13" a="1"/>
  <c r="T316" i="13" s="1"/>
  <c r="T363" i="13" a="1"/>
  <c r="T363" i="13" s="1"/>
  <c r="T342" i="13" a="1"/>
  <c r="T342" i="13" s="1"/>
  <c r="T341" i="13" a="1"/>
  <c r="T341" i="13" s="1"/>
  <c r="T320" i="13" a="1"/>
  <c r="T320" i="13" s="1"/>
  <c r="T346" i="13" a="1"/>
  <c r="T346" i="13" s="1"/>
  <c r="T345" i="13" a="1"/>
  <c r="T345" i="13" s="1"/>
  <c r="T325" i="13" a="1"/>
  <c r="T325" i="13" s="1"/>
  <c r="T324" i="13" a="1"/>
  <c r="T324" i="13" s="1"/>
  <c r="T350" i="13" a="1"/>
  <c r="T350" i="13" s="1"/>
  <c r="T349" i="13" a="1"/>
  <c r="T349" i="13" s="1"/>
  <c r="T329" i="13" a="1"/>
  <c r="T329" i="13" s="1"/>
  <c r="T328" i="13" a="1"/>
  <c r="T328" i="13" s="1"/>
  <c r="T354" i="13" a="1"/>
  <c r="T354" i="13" s="1"/>
  <c r="T353" i="13" a="1"/>
  <c r="T353" i="13" s="1"/>
  <c r="T366" i="13" a="1"/>
  <c r="T366" i="13" s="1"/>
  <c r="T370" i="13" a="1"/>
  <c r="T370" i="13" s="1"/>
  <c r="T362" i="13" a="1"/>
  <c r="T362" i="13" s="1"/>
  <c r="T296" i="13" a="1"/>
  <c r="T296" i="13" s="1"/>
  <c r="T295" i="13" a="1"/>
  <c r="T295" i="13" s="1"/>
  <c r="T300" i="13" a="1"/>
  <c r="T300" i="13" s="1"/>
  <c r="T299" i="13" a="1"/>
  <c r="T299" i="13" s="1"/>
  <c r="T337" i="13" a="1"/>
  <c r="T337" i="13" s="1"/>
  <c r="T280" i="13" a="1"/>
  <c r="T280" i="13" s="1"/>
  <c r="T279" i="13" a="1"/>
  <c r="T279" i="13" s="1"/>
  <c r="T284" i="13" a="1"/>
  <c r="T284" i="13" s="1"/>
  <c r="T283" i="13" a="1"/>
  <c r="T283" i="13" s="1"/>
  <c r="T308" i="13" a="1"/>
  <c r="T308" i="13" s="1"/>
  <c r="T291" i="13" a="1"/>
  <c r="T291" i="13" s="1"/>
  <c r="T259" i="13" a="1"/>
  <c r="T259" i="13" s="1"/>
  <c r="T251" i="13" a="1"/>
  <c r="T251" i="13" s="1"/>
  <c r="T250" i="13" a="1"/>
  <c r="T250" i="13" s="1"/>
  <c r="T338" i="13" a="1"/>
  <c r="T338" i="13" s="1"/>
  <c r="T262" i="13" a="1"/>
  <c r="T262" i="13" s="1"/>
  <c r="T288" i="13" a="1"/>
  <c r="T288" i="13" s="1"/>
  <c r="T271" i="13" a="1"/>
  <c r="T271" i="13" s="1"/>
  <c r="T270" i="13" a="1"/>
  <c r="T270" i="13" s="1"/>
  <c r="T267" i="13" a="1"/>
  <c r="T267" i="13" s="1"/>
  <c r="T266" i="13" a="1"/>
  <c r="T266" i="13" s="1"/>
  <c r="T255" i="13" a="1"/>
  <c r="T255" i="13" s="1"/>
  <c r="T254" i="13" a="1"/>
  <c r="T254" i="13" s="1"/>
  <c r="T263" i="13" a="1"/>
  <c r="T263" i="13" s="1"/>
  <c r="T233" i="13" a="1"/>
  <c r="T233" i="13" s="1"/>
  <c r="T258" i="13" a="1"/>
  <c r="T258" i="13" s="1"/>
  <c r="T312" i="13" a="1"/>
  <c r="T312" i="13" s="1"/>
  <c r="T287" i="13" a="1"/>
  <c r="T287" i="13" s="1"/>
  <c r="AN576" i="13" a="1"/>
  <c r="AN576" i="13" s="1"/>
  <c r="AN580" i="13" a="1"/>
  <c r="AN580" i="13" s="1"/>
  <c r="AN572" i="13" a="1"/>
  <c r="AN572" i="13" s="1"/>
  <c r="AN573" i="13" a="1"/>
  <c r="AN573" i="13" s="1"/>
  <c r="AN577" i="13" a="1"/>
  <c r="AN577" i="13" s="1"/>
  <c r="AN568" i="13" a="1"/>
  <c r="AN568" i="13" s="1"/>
  <c r="AN559" i="13" a="1"/>
  <c r="AN559" i="13" s="1"/>
  <c r="AN544" i="13" a="1"/>
  <c r="AN544" i="13" s="1"/>
  <c r="AN543" i="13" a="1"/>
  <c r="AN543" i="13" s="1"/>
  <c r="AN548" i="13" a="1"/>
  <c r="AN548" i="13" s="1"/>
  <c r="AN547" i="13" a="1"/>
  <c r="AN547" i="13" s="1"/>
  <c r="AN555" i="13" a="1"/>
  <c r="AN555" i="13" s="1"/>
  <c r="AN536" i="13" a="1"/>
  <c r="AN536" i="13" s="1"/>
  <c r="AN532" i="13" a="1"/>
  <c r="AN532" i="13" s="1"/>
  <c r="AN531" i="13" a="1"/>
  <c r="AN531" i="13" s="1"/>
  <c r="AN551" i="13" a="1"/>
  <c r="AN551" i="13" s="1"/>
  <c r="AN540" i="13" a="1"/>
  <c r="AN540" i="13" s="1"/>
  <c r="AN524" i="13" a="1"/>
  <c r="AN524" i="13" s="1"/>
  <c r="AN506" i="13" a="1"/>
  <c r="AN506" i="13" s="1"/>
  <c r="AN527" i="13" a="1"/>
  <c r="AN527" i="13" s="1"/>
  <c r="AN510" i="13" a="1"/>
  <c r="AN510" i="13" s="1"/>
  <c r="AN539" i="13" a="1"/>
  <c r="AN539" i="13" s="1"/>
  <c r="AN523" i="13" a="1"/>
  <c r="AN523" i="13" s="1"/>
  <c r="AN502" i="13" a="1"/>
  <c r="AN502" i="13" s="1"/>
  <c r="AN494" i="13" a="1"/>
  <c r="AN494" i="13" s="1"/>
  <c r="AN498" i="13" a="1"/>
  <c r="AN498" i="13" s="1"/>
  <c r="AN528" i="13" a="1"/>
  <c r="AN528" i="13" s="1"/>
  <c r="AN490" i="13" a="1"/>
  <c r="AN490" i="13" s="1"/>
  <c r="AN471" i="13" a="1"/>
  <c r="AN471" i="13" s="1"/>
  <c r="AN470" i="13" a="1"/>
  <c r="AN470" i="13" s="1"/>
  <c r="AN519" i="13" a="1"/>
  <c r="AN519" i="13" s="1"/>
  <c r="AN474" i="13" a="1"/>
  <c r="AN474" i="13" s="1"/>
  <c r="AN535" i="13" a="1"/>
  <c r="AN535" i="13" s="1"/>
  <c r="AN479" i="13" a="1"/>
  <c r="AN479" i="13" s="1"/>
  <c r="AN478" i="13" a="1"/>
  <c r="AN478" i="13" s="1"/>
  <c r="AN486" i="13" a="1"/>
  <c r="AN486" i="13" s="1"/>
  <c r="AN445" i="13" a="1"/>
  <c r="AN445" i="13" s="1"/>
  <c r="AN444" i="13" a="1"/>
  <c r="AN444" i="13" s="1"/>
  <c r="AN449" i="13" a="1"/>
  <c r="AN449" i="13" s="1"/>
  <c r="AN448" i="13" a="1"/>
  <c r="AN448" i="13" s="1"/>
  <c r="AN482" i="13" a="1"/>
  <c r="AN482" i="13" s="1"/>
  <c r="AN453" i="13" a="1"/>
  <c r="AN453" i="13" s="1"/>
  <c r="AN452" i="13" a="1"/>
  <c r="AN452" i="13" s="1"/>
  <c r="AN460" i="13" a="1"/>
  <c r="AN460" i="13" s="1"/>
  <c r="AN461" i="13" a="1"/>
  <c r="AN461" i="13" s="1"/>
  <c r="AN437" i="13" a="1"/>
  <c r="AN437" i="13" s="1"/>
  <c r="AN436" i="13" a="1"/>
  <c r="AN436" i="13" s="1"/>
  <c r="AN416" i="13" a="1"/>
  <c r="AN416" i="13" s="1"/>
  <c r="AN415" i="13" a="1"/>
  <c r="AN415" i="13" s="1"/>
  <c r="AN440" i="13" a="1"/>
  <c r="AN440" i="13" s="1"/>
  <c r="AN425" i="13" a="1"/>
  <c r="AN425" i="13" s="1"/>
  <c r="AN456" i="13" a="1"/>
  <c r="AN456" i="13" s="1"/>
  <c r="AN457" i="13" a="1"/>
  <c r="AN457" i="13" s="1"/>
  <c r="AN441" i="13" a="1"/>
  <c r="AN441" i="13" s="1"/>
  <c r="AN433" i="13" a="1"/>
  <c r="AN433" i="13" s="1"/>
  <c r="AN432" i="13" a="1"/>
  <c r="AN432" i="13" s="1"/>
  <c r="AN408" i="13" a="1"/>
  <c r="AN408" i="13" s="1"/>
  <c r="AN407" i="13" a="1"/>
  <c r="AN407" i="13" s="1"/>
  <c r="AN412" i="13" a="1"/>
  <c r="AN412" i="13" s="1"/>
  <c r="AN411" i="13" a="1"/>
  <c r="AN411" i="13" s="1"/>
  <c r="AN428" i="13" a="1"/>
  <c r="AN428" i="13" s="1"/>
  <c r="AN396" i="13" a="1"/>
  <c r="AN396" i="13" s="1"/>
  <c r="AN395" i="13" a="1"/>
  <c r="AN395" i="13" s="1"/>
  <c r="AN392" i="13" a="1"/>
  <c r="AN392" i="13" s="1"/>
  <c r="AN391" i="13" a="1"/>
  <c r="AN391" i="13" s="1"/>
  <c r="AN399" i="13" a="1"/>
  <c r="AN399" i="13" s="1"/>
  <c r="AN374" i="13" a="1"/>
  <c r="AN374" i="13" s="1"/>
  <c r="AN424" i="13" a="1"/>
  <c r="AN424" i="13" s="1"/>
  <c r="AN403" i="13" a="1"/>
  <c r="AN403" i="13" s="1"/>
  <c r="AN400" i="13" a="1"/>
  <c r="AN400" i="13" s="1"/>
  <c r="AN379" i="13" a="1"/>
  <c r="AN379" i="13" s="1"/>
  <c r="AN378" i="13" a="1"/>
  <c r="AN378" i="13" s="1"/>
  <c r="AN404" i="13" a="1"/>
  <c r="AN404" i="13" s="1"/>
  <c r="AN388" i="13" a="1"/>
  <c r="AN388" i="13" s="1"/>
  <c r="AN387" i="13" a="1"/>
  <c r="AN387" i="13" s="1"/>
  <c r="AN429" i="13" a="1"/>
  <c r="AN429" i="13" s="1"/>
  <c r="AN316" i="13" a="1"/>
  <c r="AN316" i="13" s="1"/>
  <c r="AN342" i="13" a="1"/>
  <c r="AN342" i="13" s="1"/>
  <c r="AN341" i="13" a="1"/>
  <c r="AN341" i="13" s="1"/>
  <c r="AN320" i="13" a="1"/>
  <c r="AN320" i="13" s="1"/>
  <c r="AN346" i="13" a="1"/>
  <c r="AN346" i="13" s="1"/>
  <c r="AN345" i="13" a="1"/>
  <c r="AN345" i="13" s="1"/>
  <c r="AN366" i="13" a="1"/>
  <c r="AN366" i="13" s="1"/>
  <c r="AN325" i="13" a="1"/>
  <c r="AN325" i="13" s="1"/>
  <c r="AN324" i="13" a="1"/>
  <c r="AN324" i="13" s="1"/>
  <c r="AN362" i="13" a="1"/>
  <c r="AN362" i="13" s="1"/>
  <c r="AN350" i="13" a="1"/>
  <c r="AN350" i="13" s="1"/>
  <c r="AN349" i="13" a="1"/>
  <c r="AN349" i="13" s="1"/>
  <c r="AN329" i="13" a="1"/>
  <c r="AN329" i="13" s="1"/>
  <c r="AN328" i="13" a="1"/>
  <c r="AN328" i="13" s="1"/>
  <c r="AN367" i="13" a="1"/>
  <c r="AN367" i="13" s="1"/>
  <c r="AN354" i="13" a="1"/>
  <c r="AN354" i="13" s="1"/>
  <c r="AN353" i="13" a="1"/>
  <c r="AN353" i="13" s="1"/>
  <c r="AN370" i="13" a="1"/>
  <c r="AN370" i="13" s="1"/>
  <c r="AN363" i="13" a="1"/>
  <c r="AN363" i="13" s="1"/>
  <c r="AN338" i="13" a="1"/>
  <c r="AN338" i="13" s="1"/>
  <c r="AN296" i="13" a="1"/>
  <c r="AN296" i="13" s="1"/>
  <c r="AN295" i="13" a="1"/>
  <c r="AN295" i="13" s="1"/>
  <c r="AN300" i="13" a="1"/>
  <c r="AN300" i="13" s="1"/>
  <c r="AN299" i="13" a="1"/>
  <c r="AN299" i="13" s="1"/>
  <c r="AN280" i="13" a="1"/>
  <c r="AN280" i="13" s="1"/>
  <c r="AN279" i="13" a="1"/>
  <c r="AN279" i="13" s="1"/>
  <c r="AN337" i="13" a="1"/>
  <c r="AN337" i="13" s="1"/>
  <c r="AN284" i="13" a="1"/>
  <c r="AN284" i="13" s="1"/>
  <c r="AN283" i="13" a="1"/>
  <c r="AN283" i="13" s="1"/>
  <c r="AN308" i="13" a="1"/>
  <c r="AN308" i="13" s="1"/>
  <c r="AN287" i="13" a="1"/>
  <c r="AN287" i="13" s="1"/>
  <c r="AN251" i="13" a="1"/>
  <c r="AN251" i="13" s="1"/>
  <c r="AN250" i="13" a="1"/>
  <c r="AN250" i="13" s="1"/>
  <c r="AN271" i="13" a="1"/>
  <c r="AN271" i="13" s="1"/>
  <c r="AN270" i="13" a="1"/>
  <c r="AN270" i="13" s="1"/>
  <c r="AN312" i="13" a="1"/>
  <c r="AN312" i="13" s="1"/>
  <c r="AN291" i="13" a="1"/>
  <c r="AN291" i="13" s="1"/>
  <c r="AN267" i="13" a="1"/>
  <c r="AN267" i="13" s="1"/>
  <c r="AN266" i="13" a="1"/>
  <c r="AN266" i="13" s="1"/>
  <c r="AN255" i="13" a="1"/>
  <c r="AN255" i="13" s="1"/>
  <c r="AN254" i="13" a="1"/>
  <c r="AN254" i="13" s="1"/>
  <c r="AN263" i="13" a="1"/>
  <c r="AN263" i="13" s="1"/>
  <c r="AN233" i="13" a="1"/>
  <c r="AN233" i="13" s="1"/>
  <c r="AN288" i="13" a="1"/>
  <c r="AN288" i="13" s="1"/>
  <c r="AN292" i="13" a="1"/>
  <c r="AN292" i="13" s="1"/>
  <c r="AN258" i="13" a="1"/>
  <c r="AN258" i="13" s="1"/>
  <c r="R225" i="13" a="1"/>
  <c r="R225" i="13" s="1"/>
  <c r="P226" i="13" a="1"/>
  <c r="P226" i="13" s="1"/>
  <c r="L229" i="13" a="1"/>
  <c r="L229" i="13" s="1"/>
  <c r="W229" i="13" a="1"/>
  <c r="W229" i="13" s="1"/>
  <c r="K230" i="13" a="1"/>
  <c r="K230" i="13" s="1"/>
  <c r="J233" i="13" a="1"/>
  <c r="J233" i="13" s="1"/>
  <c r="J234" i="13" a="1"/>
  <c r="J234" i="13" s="1"/>
  <c r="Q237" i="13" a="1"/>
  <c r="Q237" i="13" s="1"/>
  <c r="AG237" i="13" a="1"/>
  <c r="AG237" i="13" s="1"/>
  <c r="L238" i="13" a="1"/>
  <c r="L238" i="13" s="1"/>
  <c r="AG241" i="13" a="1"/>
  <c r="AG241" i="13" s="1"/>
  <c r="P242" i="13" a="1"/>
  <c r="P242" i="13" s="1"/>
  <c r="AK250" i="13" a="1"/>
  <c r="AK250" i="13" s="1"/>
  <c r="P254" i="13" a="1"/>
  <c r="P254" i="13" s="1"/>
  <c r="Z255" i="13" a="1"/>
  <c r="Z255" i="13" s="1"/>
  <c r="M292" i="13" a="1"/>
  <c r="M292" i="13" s="1"/>
  <c r="U559" i="13" a="1"/>
  <c r="U559" i="13" s="1"/>
  <c r="U576" i="13" a="1"/>
  <c r="U576" i="13" s="1"/>
  <c r="U577" i="13" a="1"/>
  <c r="U577" i="13" s="1"/>
  <c r="U580" i="13" a="1"/>
  <c r="U580" i="13" s="1"/>
  <c r="U572" i="13" a="1"/>
  <c r="U572" i="13" s="1"/>
  <c r="U573" i="13" a="1"/>
  <c r="U573" i="13" s="1"/>
  <c r="U568" i="13" a="1"/>
  <c r="U568" i="13" s="1"/>
  <c r="U544" i="13" a="1"/>
  <c r="U544" i="13" s="1"/>
  <c r="U543" i="13" a="1"/>
  <c r="U543" i="13" s="1"/>
  <c r="U548" i="13" a="1"/>
  <c r="U548" i="13" s="1"/>
  <c r="U547" i="13" a="1"/>
  <c r="U547" i="13" s="1"/>
  <c r="U551" i="13" a="1"/>
  <c r="U551" i="13" s="1"/>
  <c r="U555" i="13" a="1"/>
  <c r="U555" i="13" s="1"/>
  <c r="U532" i="13" a="1"/>
  <c r="U532" i="13" s="1"/>
  <c r="U531" i="13" a="1"/>
  <c r="U531" i="13" s="1"/>
  <c r="U540" i="13" a="1"/>
  <c r="U540" i="13" s="1"/>
  <c r="U539" i="13" a="1"/>
  <c r="U539" i="13" s="1"/>
  <c r="U535" i="13" a="1"/>
  <c r="U535" i="13" s="1"/>
  <c r="U523" i="13" a="1"/>
  <c r="U523" i="13" s="1"/>
  <c r="U524" i="13" a="1"/>
  <c r="U524" i="13" s="1"/>
  <c r="U510" i="13" a="1"/>
  <c r="U510" i="13" s="1"/>
  <c r="U527" i="13" a="1"/>
  <c r="U527" i="13" s="1"/>
  <c r="U528" i="13" a="1"/>
  <c r="U528" i="13" s="1"/>
  <c r="U490" i="13" a="1"/>
  <c r="U490" i="13" s="1"/>
  <c r="U506" i="13" a="1"/>
  <c r="U506" i="13" s="1"/>
  <c r="U494" i="13" a="1"/>
  <c r="U494" i="13" s="1"/>
  <c r="U498" i="13" a="1"/>
  <c r="U498" i="13" s="1"/>
  <c r="U519" i="13" a="1"/>
  <c r="U519" i="13" s="1"/>
  <c r="U536" i="13" a="1"/>
  <c r="U536" i="13" s="1"/>
  <c r="U502" i="13" a="1"/>
  <c r="U502" i="13" s="1"/>
  <c r="U474" i="13" a="1"/>
  <c r="U474" i="13" s="1"/>
  <c r="U479" i="13" a="1"/>
  <c r="U479" i="13" s="1"/>
  <c r="U478" i="13" a="1"/>
  <c r="U478" i="13" s="1"/>
  <c r="U486" i="13" a="1"/>
  <c r="U486" i="13" s="1"/>
  <c r="U471" i="13" a="1"/>
  <c r="U471" i="13" s="1"/>
  <c r="U449" i="13" a="1"/>
  <c r="U449" i="13" s="1"/>
  <c r="U448" i="13" a="1"/>
  <c r="U448" i="13" s="1"/>
  <c r="U482" i="13" a="1"/>
  <c r="U482" i="13" s="1"/>
  <c r="U470" i="13" a="1"/>
  <c r="U470" i="13" s="1"/>
  <c r="U453" i="13" a="1"/>
  <c r="U453" i="13" s="1"/>
  <c r="U452" i="13" a="1"/>
  <c r="U452" i="13" s="1"/>
  <c r="U457" i="13" a="1"/>
  <c r="U457" i="13" s="1"/>
  <c r="U456" i="13" a="1"/>
  <c r="U456" i="13" s="1"/>
  <c r="U461" i="13" a="1"/>
  <c r="U461" i="13" s="1"/>
  <c r="U460" i="13" a="1"/>
  <c r="U460" i="13" s="1"/>
  <c r="U416" i="13" a="1"/>
  <c r="U416" i="13" s="1"/>
  <c r="U415" i="13" a="1"/>
  <c r="U415" i="13" s="1"/>
  <c r="U440" i="13" a="1"/>
  <c r="U440" i="13" s="1"/>
  <c r="U445" i="13" a="1"/>
  <c r="U445" i="13" s="1"/>
  <c r="U441" i="13" a="1"/>
  <c r="U441" i="13" s="1"/>
  <c r="U425" i="13" a="1"/>
  <c r="U425" i="13" s="1"/>
  <c r="U424" i="13" a="1"/>
  <c r="U424" i="13" s="1"/>
  <c r="U429" i="13" a="1"/>
  <c r="U429" i="13" s="1"/>
  <c r="U428" i="13" a="1"/>
  <c r="U428" i="13" s="1"/>
  <c r="U437" i="13" a="1"/>
  <c r="U437" i="13" s="1"/>
  <c r="U436" i="13" a="1"/>
  <c r="U436" i="13" s="1"/>
  <c r="U444" i="13" a="1"/>
  <c r="U444" i="13" s="1"/>
  <c r="U412" i="13" a="1"/>
  <c r="U412" i="13" s="1"/>
  <c r="U411" i="13" a="1"/>
  <c r="U411" i="13" s="1"/>
  <c r="U433" i="13" a="1"/>
  <c r="U433" i="13" s="1"/>
  <c r="U432" i="13" a="1"/>
  <c r="U432" i="13" s="1"/>
  <c r="U400" i="13" a="1"/>
  <c r="U400" i="13" s="1"/>
  <c r="U399" i="13" a="1"/>
  <c r="U399" i="13" s="1"/>
  <c r="U371" i="13" a="1"/>
  <c r="U371" i="13" s="1"/>
  <c r="U370" i="13" a="1"/>
  <c r="U370" i="13" s="1"/>
  <c r="U403" i="13" a="1"/>
  <c r="U403" i="13" s="1"/>
  <c r="U375" i="13" a="1"/>
  <c r="U375" i="13" s="1"/>
  <c r="U374" i="13" a="1"/>
  <c r="U374" i="13" s="1"/>
  <c r="U379" i="13" a="1"/>
  <c r="U379" i="13" s="1"/>
  <c r="U378" i="13" a="1"/>
  <c r="U378" i="13" s="1"/>
  <c r="U407" i="13" a="1"/>
  <c r="U407" i="13" s="1"/>
  <c r="U396" i="13" a="1"/>
  <c r="U396" i="13" s="1"/>
  <c r="U404" i="13" a="1"/>
  <c r="U404" i="13" s="1"/>
  <c r="U392" i="13" a="1"/>
  <c r="U392" i="13" s="1"/>
  <c r="U391" i="13" a="1"/>
  <c r="U391" i="13" s="1"/>
  <c r="U408" i="13" a="1"/>
  <c r="U408" i="13" s="1"/>
  <c r="U395" i="13" a="1"/>
  <c r="U395" i="13" s="1"/>
  <c r="U320" i="13" a="1"/>
  <c r="U320" i="13" s="1"/>
  <c r="U346" i="13" a="1"/>
  <c r="U346" i="13" s="1"/>
  <c r="U345" i="13" a="1"/>
  <c r="U345" i="13" s="1"/>
  <c r="U325" i="13" a="1"/>
  <c r="U325" i="13" s="1"/>
  <c r="U324" i="13" a="1"/>
  <c r="U324" i="13" s="1"/>
  <c r="U387" i="13" a="1"/>
  <c r="U387" i="13" s="1"/>
  <c r="U350" i="13" a="1"/>
  <c r="U350" i="13" s="1"/>
  <c r="U349" i="13" a="1"/>
  <c r="U349" i="13" s="1"/>
  <c r="U329" i="13" a="1"/>
  <c r="U329" i="13" s="1"/>
  <c r="U328" i="13" a="1"/>
  <c r="U328" i="13" s="1"/>
  <c r="U354" i="13" a="1"/>
  <c r="U354" i="13" s="1"/>
  <c r="U353" i="13" a="1"/>
  <c r="U353" i="13" s="1"/>
  <c r="U366" i="13" a="1"/>
  <c r="U366" i="13" s="1"/>
  <c r="U388" i="13" a="1"/>
  <c r="U388" i="13" s="1"/>
  <c r="U338" i="13" a="1"/>
  <c r="U338" i="13" s="1"/>
  <c r="U362" i="13" a="1"/>
  <c r="U362" i="13" s="1"/>
  <c r="U367" i="13" a="1"/>
  <c r="U367" i="13" s="1"/>
  <c r="U363" i="13" a="1"/>
  <c r="U363" i="13" s="1"/>
  <c r="U342" i="13" a="1"/>
  <c r="U342" i="13" s="1"/>
  <c r="U341" i="13" a="1"/>
  <c r="U341" i="13" s="1"/>
  <c r="U300" i="13" a="1"/>
  <c r="U300" i="13" s="1"/>
  <c r="U299" i="13" a="1"/>
  <c r="U299" i="13" s="1"/>
  <c r="U337" i="13" a="1"/>
  <c r="U337" i="13" s="1"/>
  <c r="U280" i="13" a="1"/>
  <c r="U280" i="13" s="1"/>
  <c r="U279" i="13" a="1"/>
  <c r="U279" i="13" s="1"/>
  <c r="U317" i="13" a="1"/>
  <c r="U317" i="13" s="1"/>
  <c r="U284" i="13" a="1"/>
  <c r="U284" i="13" s="1"/>
  <c r="U283" i="13" a="1"/>
  <c r="U283" i="13" s="1"/>
  <c r="U309" i="13" a="1"/>
  <c r="U309" i="13" s="1"/>
  <c r="U308" i="13" a="1"/>
  <c r="U308" i="13" s="1"/>
  <c r="U263" i="13" a="1"/>
  <c r="U263" i="13" s="1"/>
  <c r="U288" i="13" a="1"/>
  <c r="U288" i="13" s="1"/>
  <c r="U287" i="13" a="1"/>
  <c r="U287" i="13" s="1"/>
  <c r="U313" i="13" a="1"/>
  <c r="U313" i="13" s="1"/>
  <c r="U312" i="13" a="1"/>
  <c r="U312" i="13" s="1"/>
  <c r="U316" i="13" a="1"/>
  <c r="U316" i="13" s="1"/>
  <c r="U296" i="13" a="1"/>
  <c r="U296" i="13" s="1"/>
  <c r="U226" i="13" a="1"/>
  <c r="U226" i="13" s="1"/>
  <c r="U225" i="13" a="1"/>
  <c r="U225" i="13" s="1"/>
  <c r="U291" i="13" a="1"/>
  <c r="U291" i="13" s="1"/>
  <c r="U259" i="13" a="1"/>
  <c r="U259" i="13" s="1"/>
  <c r="U251" i="13" a="1"/>
  <c r="U251" i="13" s="1"/>
  <c r="U250" i="13" a="1"/>
  <c r="U250" i="13" s="1"/>
  <c r="U262" i="13" a="1"/>
  <c r="U262" i="13" s="1"/>
  <c r="U271" i="13" a="1"/>
  <c r="U271" i="13" s="1"/>
  <c r="U230" i="13" a="1"/>
  <c r="U230" i="13" s="1"/>
  <c r="U229" i="13" a="1"/>
  <c r="U229" i="13" s="1"/>
  <c r="U270" i="13" a="1"/>
  <c r="U270" i="13" s="1"/>
  <c r="U267" i="13" a="1"/>
  <c r="U267" i="13" s="1"/>
  <c r="U266" i="13" a="1"/>
  <c r="U266" i="13" s="1"/>
  <c r="U255" i="13" a="1"/>
  <c r="U255" i="13" s="1"/>
  <c r="U254" i="13" a="1"/>
  <c r="U254" i="13" s="1"/>
  <c r="U258" i="13" a="1"/>
  <c r="U258" i="13" s="1"/>
  <c r="U295" i="13" a="1"/>
  <c r="U295" i="13" s="1"/>
  <c r="U292" i="13" a="1"/>
  <c r="U292" i="13" s="1"/>
  <c r="AO559" i="13" a="1"/>
  <c r="AO559" i="13" s="1"/>
  <c r="AO576" i="13" a="1"/>
  <c r="AO576" i="13" s="1"/>
  <c r="AO577" i="13" a="1"/>
  <c r="AO577" i="13" s="1"/>
  <c r="AO580" i="13" a="1"/>
  <c r="AO580" i="13" s="1"/>
  <c r="AO572" i="13" a="1"/>
  <c r="AO572" i="13" s="1"/>
  <c r="AO573" i="13" a="1"/>
  <c r="AO573" i="13" s="1"/>
  <c r="AO544" i="13" a="1"/>
  <c r="AO544" i="13" s="1"/>
  <c r="AO543" i="13" a="1"/>
  <c r="AO543" i="13" s="1"/>
  <c r="AO568" i="13" a="1"/>
  <c r="AO568" i="13" s="1"/>
  <c r="AO548" i="13" a="1"/>
  <c r="AO548" i="13" s="1"/>
  <c r="AO547" i="13" a="1"/>
  <c r="AO547" i="13" s="1"/>
  <c r="AO551" i="13" a="1"/>
  <c r="AO551" i="13" s="1"/>
  <c r="AO555" i="13" a="1"/>
  <c r="AO555" i="13" s="1"/>
  <c r="AO532" i="13" a="1"/>
  <c r="AO532" i="13" s="1"/>
  <c r="AO531" i="13" a="1"/>
  <c r="AO531" i="13" s="1"/>
  <c r="AO535" i="13" a="1"/>
  <c r="AO535" i="13" s="1"/>
  <c r="AO536" i="13" a="1"/>
  <c r="AO536" i="13" s="1"/>
  <c r="AO527" i="13" a="1"/>
  <c r="AO527" i="13" s="1"/>
  <c r="AO510" i="13" a="1"/>
  <c r="AO510" i="13" s="1"/>
  <c r="AO540" i="13" a="1"/>
  <c r="AO540" i="13" s="1"/>
  <c r="AO539" i="13" a="1"/>
  <c r="AO539" i="13" s="1"/>
  <c r="AO528" i="13" a="1"/>
  <c r="AO528" i="13" s="1"/>
  <c r="AO523" i="13" a="1"/>
  <c r="AO523" i="13" s="1"/>
  <c r="AO502" i="13" a="1"/>
  <c r="AO502" i="13" s="1"/>
  <c r="AO490" i="13" a="1"/>
  <c r="AO490" i="13" s="1"/>
  <c r="AO494" i="13" a="1"/>
  <c r="AO494" i="13" s="1"/>
  <c r="AO498" i="13" a="1"/>
  <c r="AO498" i="13" s="1"/>
  <c r="AO524" i="13" a="1"/>
  <c r="AO524" i="13" s="1"/>
  <c r="AO506" i="13" a="1"/>
  <c r="AO506" i="13" s="1"/>
  <c r="AO519" i="13" a="1"/>
  <c r="AO519" i="13" s="1"/>
  <c r="AO474" i="13" a="1"/>
  <c r="AO474" i="13" s="1"/>
  <c r="AO479" i="13" a="1"/>
  <c r="AO479" i="13" s="1"/>
  <c r="AO478" i="13" a="1"/>
  <c r="AO478" i="13" s="1"/>
  <c r="AO449" i="13" a="1"/>
  <c r="AO449" i="13" s="1"/>
  <c r="AO448" i="13" a="1"/>
  <c r="AO448" i="13" s="1"/>
  <c r="AO453" i="13" a="1"/>
  <c r="AO453" i="13" s="1"/>
  <c r="AO452" i="13" a="1"/>
  <c r="AO452" i="13" s="1"/>
  <c r="AO482" i="13" a="1"/>
  <c r="AO482" i="13" s="1"/>
  <c r="AO471" i="13" a="1"/>
  <c r="AO471" i="13" s="1"/>
  <c r="AO457" i="13" a="1"/>
  <c r="AO457" i="13" s="1"/>
  <c r="AO456" i="13" a="1"/>
  <c r="AO456" i="13" s="1"/>
  <c r="AO470" i="13" a="1"/>
  <c r="AO470" i="13" s="1"/>
  <c r="AO460" i="13" a="1"/>
  <c r="AO460" i="13" s="1"/>
  <c r="AO486" i="13" a="1"/>
  <c r="AO486" i="13" s="1"/>
  <c r="AO416" i="13" a="1"/>
  <c r="AO416" i="13" s="1"/>
  <c r="AO415" i="13" a="1"/>
  <c r="AO415" i="13" s="1"/>
  <c r="AO440" i="13" a="1"/>
  <c r="AO440" i="13" s="1"/>
  <c r="AO461" i="13" a="1"/>
  <c r="AO461" i="13" s="1"/>
  <c r="AO425" i="13" a="1"/>
  <c r="AO425" i="13" s="1"/>
  <c r="AO424" i="13" a="1"/>
  <c r="AO424" i="13" s="1"/>
  <c r="AO444" i="13" a="1"/>
  <c r="AO444" i="13" s="1"/>
  <c r="AO441" i="13" a="1"/>
  <c r="AO441" i="13" s="1"/>
  <c r="AO429" i="13" a="1"/>
  <c r="AO429" i="13" s="1"/>
  <c r="AO428" i="13" a="1"/>
  <c r="AO428" i="13" s="1"/>
  <c r="AO437" i="13" a="1"/>
  <c r="AO437" i="13" s="1"/>
  <c r="AO436" i="13" a="1"/>
  <c r="AO436" i="13" s="1"/>
  <c r="AO412" i="13" a="1"/>
  <c r="AO412" i="13" s="1"/>
  <c r="AO411" i="13" a="1"/>
  <c r="AO411" i="13" s="1"/>
  <c r="AO396" i="13" a="1"/>
  <c r="AO396" i="13" s="1"/>
  <c r="AO433" i="13" a="1"/>
  <c r="AO433" i="13" s="1"/>
  <c r="AO400" i="13" a="1"/>
  <c r="AO400" i="13" s="1"/>
  <c r="AO399" i="13" a="1"/>
  <c r="AO399" i="13" s="1"/>
  <c r="AO432" i="13" a="1"/>
  <c r="AO432" i="13" s="1"/>
  <c r="AO445" i="13" a="1"/>
  <c r="AO445" i="13" s="1"/>
  <c r="AO370" i="13" a="1"/>
  <c r="AO370" i="13" s="1"/>
  <c r="AO374" i="13" a="1"/>
  <c r="AO374" i="13" s="1"/>
  <c r="AO403" i="13" a="1"/>
  <c r="AO403" i="13" s="1"/>
  <c r="AO408" i="13" a="1"/>
  <c r="AO408" i="13" s="1"/>
  <c r="AO378" i="13" a="1"/>
  <c r="AO378" i="13" s="1"/>
  <c r="AO407" i="13" a="1"/>
  <c r="AO407" i="13" s="1"/>
  <c r="AO392" i="13" a="1"/>
  <c r="AO392" i="13" s="1"/>
  <c r="AO391" i="13" a="1"/>
  <c r="AO391" i="13" s="1"/>
  <c r="AO387" i="13" a="1"/>
  <c r="AO387" i="13" s="1"/>
  <c r="AO320" i="13" a="1"/>
  <c r="AO320" i="13" s="1"/>
  <c r="AO346" i="13" a="1"/>
  <c r="AO346" i="13" s="1"/>
  <c r="AO345" i="13" a="1"/>
  <c r="AO345" i="13" s="1"/>
  <c r="AO366" i="13" a="1"/>
  <c r="AO366" i="13" s="1"/>
  <c r="AO325" i="13" a="1"/>
  <c r="AO325" i="13" s="1"/>
  <c r="AO324" i="13" a="1"/>
  <c r="AO324" i="13" s="1"/>
  <c r="AO362" i="13" a="1"/>
  <c r="AO362" i="13" s="1"/>
  <c r="AO350" i="13" a="1"/>
  <c r="AO350" i="13" s="1"/>
  <c r="AO349" i="13" a="1"/>
  <c r="AO349" i="13" s="1"/>
  <c r="AO388" i="13" a="1"/>
  <c r="AO388" i="13" s="1"/>
  <c r="AO329" i="13" a="1"/>
  <c r="AO329" i="13" s="1"/>
  <c r="AO328" i="13" a="1"/>
  <c r="AO328" i="13" s="1"/>
  <c r="AO354" i="13" a="1"/>
  <c r="AO354" i="13" s="1"/>
  <c r="AO353" i="13" a="1"/>
  <c r="AO353" i="13" s="1"/>
  <c r="AO363" i="13" a="1"/>
  <c r="AO363" i="13" s="1"/>
  <c r="AO395" i="13" a="1"/>
  <c r="AO395" i="13" s="1"/>
  <c r="AO338" i="13" a="1"/>
  <c r="AO338" i="13" s="1"/>
  <c r="AO404" i="13" a="1"/>
  <c r="AO404" i="13" s="1"/>
  <c r="AO300" i="13" a="1"/>
  <c r="AO300" i="13" s="1"/>
  <c r="AO299" i="13" a="1"/>
  <c r="AO299" i="13" s="1"/>
  <c r="AO280" i="13" a="1"/>
  <c r="AO280" i="13" s="1"/>
  <c r="AO279" i="13" a="1"/>
  <c r="AO279" i="13" s="1"/>
  <c r="AO259" i="13" a="1"/>
  <c r="AO259" i="13" s="1"/>
  <c r="AO337" i="13" a="1"/>
  <c r="AO337" i="13" s="1"/>
  <c r="AO284" i="13" a="1"/>
  <c r="AO284" i="13" s="1"/>
  <c r="AO283" i="13" a="1"/>
  <c r="AO283" i="13" s="1"/>
  <c r="AO316" i="13" a="1"/>
  <c r="AO316" i="13" s="1"/>
  <c r="AO308" i="13" a="1"/>
  <c r="AO308" i="13" s="1"/>
  <c r="AO342" i="13" a="1"/>
  <c r="AO342" i="13" s="1"/>
  <c r="AO263" i="13" a="1"/>
  <c r="AO263" i="13" s="1"/>
  <c r="AO341" i="13" a="1"/>
  <c r="AO341" i="13" s="1"/>
  <c r="AO288" i="13" a="1"/>
  <c r="AO288" i="13" s="1"/>
  <c r="AO287" i="13" a="1"/>
  <c r="AO287" i="13" s="1"/>
  <c r="AO312" i="13" a="1"/>
  <c r="AO312" i="13" s="1"/>
  <c r="AO296" i="13" a="1"/>
  <c r="AO296" i="13" s="1"/>
  <c r="AO295" i="13" a="1"/>
  <c r="AO295" i="13" s="1"/>
  <c r="AO225" i="13" a="1"/>
  <c r="AO225" i="13" s="1"/>
  <c r="AO251" i="13" a="1"/>
  <c r="AO251" i="13" s="1"/>
  <c r="AO250" i="13" a="1"/>
  <c r="AO250" i="13" s="1"/>
  <c r="AO271" i="13" a="1"/>
  <c r="AO271" i="13" s="1"/>
  <c r="AO270" i="13" a="1"/>
  <c r="AO270" i="13" s="1"/>
  <c r="AO229" i="13" a="1"/>
  <c r="AO229" i="13" s="1"/>
  <c r="AO291" i="13" a="1"/>
  <c r="AO291" i="13" s="1"/>
  <c r="AO267" i="13" a="1"/>
  <c r="AO267" i="13" s="1"/>
  <c r="AO266" i="13" a="1"/>
  <c r="AO266" i="13" s="1"/>
  <c r="AO255" i="13" a="1"/>
  <c r="AO255" i="13" s="1"/>
  <c r="AO254" i="13" a="1"/>
  <c r="AO254" i="13" s="1"/>
  <c r="AO292" i="13" a="1"/>
  <c r="AO292" i="13" s="1"/>
  <c r="AO258" i="13" a="1"/>
  <c r="AO258" i="13" s="1"/>
  <c r="AO262" i="13" a="1"/>
  <c r="AO262" i="13" s="1"/>
  <c r="AO242" i="13" a="1"/>
  <c r="AO242" i="13" s="1"/>
  <c r="N221" i="13" a="1"/>
  <c r="N221" i="13" s="1"/>
  <c r="AH221" i="13" a="1"/>
  <c r="AH221" i="13" s="1"/>
  <c r="W222" i="13" a="1"/>
  <c r="W222" i="13" s="1"/>
  <c r="I225" i="13" a="1"/>
  <c r="I225" i="13" s="1"/>
  <c r="AK229" i="13" a="1"/>
  <c r="AK229" i="13" s="1"/>
  <c r="U233" i="13" a="1"/>
  <c r="U233" i="13" s="1"/>
  <c r="R237" i="13" a="1"/>
  <c r="R237" i="13" s="1"/>
  <c r="M241" i="13" a="1"/>
  <c r="M241" i="13" s="1"/>
  <c r="AH241" i="13" a="1"/>
  <c r="AH241" i="13" s="1"/>
  <c r="R254" i="13" a="1"/>
  <c r="R254" i="13" s="1"/>
  <c r="AL259" i="13" a="1"/>
  <c r="AL259" i="13" s="1"/>
  <c r="L266" i="13" a="1"/>
  <c r="L266" i="13" s="1"/>
  <c r="T292" i="13" a="1"/>
  <c r="T292" i="13" s="1"/>
  <c r="F584" i="13" a="1"/>
  <c r="F584" i="13" s="1"/>
  <c r="V577" i="13" a="1"/>
  <c r="V577" i="13" s="1"/>
  <c r="V580" i="13" a="1"/>
  <c r="V580" i="13" s="1"/>
  <c r="V572" i="13" a="1"/>
  <c r="V572" i="13" s="1"/>
  <c r="V573" i="13" a="1"/>
  <c r="V573" i="13" s="1"/>
  <c r="V548" i="13" a="1"/>
  <c r="V548" i="13" s="1"/>
  <c r="V547" i="13" a="1"/>
  <c r="V547" i="13" s="1"/>
  <c r="V551" i="13" a="1"/>
  <c r="V551" i="13" s="1"/>
  <c r="V559" i="13" a="1"/>
  <c r="V559" i="13" s="1"/>
  <c r="V555" i="13" a="1"/>
  <c r="V555" i="13" s="1"/>
  <c r="V576" i="13" a="1"/>
  <c r="V576" i="13" s="1"/>
  <c r="V540" i="13" a="1"/>
  <c r="V540" i="13" s="1"/>
  <c r="V539" i="13" a="1"/>
  <c r="V539" i="13" s="1"/>
  <c r="V535" i="13" a="1"/>
  <c r="V535" i="13" s="1"/>
  <c r="V544" i="13" a="1"/>
  <c r="V544" i="13" s="1"/>
  <c r="V543" i="13" a="1"/>
  <c r="V543" i="13" s="1"/>
  <c r="V568" i="13" a="1"/>
  <c r="V568" i="13" s="1"/>
  <c r="V524" i="13" a="1"/>
  <c r="V524" i="13" s="1"/>
  <c r="V527" i="13" a="1"/>
  <c r="V527" i="13" s="1"/>
  <c r="V519" i="13" a="1"/>
  <c r="V519" i="13" s="1"/>
  <c r="V528" i="13" a="1"/>
  <c r="V528" i="13" s="1"/>
  <c r="V531" i="13" a="1"/>
  <c r="V531" i="13" s="1"/>
  <c r="V510" i="13" a="1"/>
  <c r="V510" i="13" s="1"/>
  <c r="V506" i="13" a="1"/>
  <c r="V506" i="13" s="1"/>
  <c r="V494" i="13" a="1"/>
  <c r="V494" i="13" s="1"/>
  <c r="V498" i="13" a="1"/>
  <c r="V498" i="13" s="1"/>
  <c r="V502" i="13" a="1"/>
  <c r="V502" i="13" s="1"/>
  <c r="V532" i="13" a="1"/>
  <c r="V532" i="13" s="1"/>
  <c r="V474" i="13" a="1"/>
  <c r="V474" i="13" s="1"/>
  <c r="V479" i="13" a="1"/>
  <c r="V479" i="13" s="1"/>
  <c r="V478" i="13" a="1"/>
  <c r="V478" i="13" s="1"/>
  <c r="V486" i="13" a="1"/>
  <c r="V486" i="13" s="1"/>
  <c r="V536" i="13" a="1"/>
  <c r="V536" i="13" s="1"/>
  <c r="V523" i="13" a="1"/>
  <c r="V523" i="13" s="1"/>
  <c r="V490" i="13" a="1"/>
  <c r="V490" i="13" s="1"/>
  <c r="V482" i="13" a="1"/>
  <c r="V482" i="13" s="1"/>
  <c r="V470" i="13" a="1"/>
  <c r="V470" i="13" s="1"/>
  <c r="V453" i="13" a="1"/>
  <c r="V453" i="13" s="1"/>
  <c r="V452" i="13" a="1"/>
  <c r="V452" i="13" s="1"/>
  <c r="V457" i="13" a="1"/>
  <c r="V457" i="13" s="1"/>
  <c r="V456" i="13" a="1"/>
  <c r="V456" i="13" s="1"/>
  <c r="V461" i="13" a="1"/>
  <c r="V461" i="13" s="1"/>
  <c r="V460" i="13" a="1"/>
  <c r="V460" i="13" s="1"/>
  <c r="V471" i="13" a="1"/>
  <c r="V471" i="13" s="1"/>
  <c r="V445" i="13" a="1"/>
  <c r="V445" i="13" s="1"/>
  <c r="V441" i="13" a="1"/>
  <c r="V441" i="13" s="1"/>
  <c r="V429" i="13" a="1"/>
  <c r="V429" i="13" s="1"/>
  <c r="V449" i="13" a="1"/>
  <c r="V449" i="13" s="1"/>
  <c r="V448" i="13" a="1"/>
  <c r="V448" i="13" s="1"/>
  <c r="V437" i="13" a="1"/>
  <c r="V437" i="13" s="1"/>
  <c r="V436" i="13" a="1"/>
  <c r="V436" i="13" s="1"/>
  <c r="V444" i="13" a="1"/>
  <c r="V444" i="13" s="1"/>
  <c r="V424" i="13" a="1"/>
  <c r="V424" i="13" s="1"/>
  <c r="V412" i="13" a="1"/>
  <c r="V412" i="13" s="1"/>
  <c r="V411" i="13" a="1"/>
  <c r="V411" i="13" s="1"/>
  <c r="V433" i="13" a="1"/>
  <c r="V433" i="13" s="1"/>
  <c r="V415" i="13" a="1"/>
  <c r="V415" i="13" s="1"/>
  <c r="V396" i="13" a="1"/>
  <c r="V396" i="13" s="1"/>
  <c r="V395" i="13" a="1"/>
  <c r="V395" i="13" s="1"/>
  <c r="V428" i="13" a="1"/>
  <c r="V428" i="13" s="1"/>
  <c r="V416" i="13" a="1"/>
  <c r="V416" i="13" s="1"/>
  <c r="V432" i="13" a="1"/>
  <c r="V432" i="13" s="1"/>
  <c r="V400" i="13" a="1"/>
  <c r="V400" i="13" s="1"/>
  <c r="V408" i="13" a="1"/>
  <c r="V408" i="13" s="1"/>
  <c r="V425" i="13" a="1"/>
  <c r="V425" i="13" s="1"/>
  <c r="V399" i="13" a="1"/>
  <c r="V399" i="13" s="1"/>
  <c r="V375" i="13" a="1"/>
  <c r="V375" i="13" s="1"/>
  <c r="V374" i="13" a="1"/>
  <c r="V374" i="13" s="1"/>
  <c r="V379" i="13" a="1"/>
  <c r="V379" i="13" s="1"/>
  <c r="V378" i="13" a="1"/>
  <c r="V378" i="13" s="1"/>
  <c r="V407" i="13" a="1"/>
  <c r="V407" i="13" s="1"/>
  <c r="V404" i="13" a="1"/>
  <c r="V404" i="13" s="1"/>
  <c r="V388" i="13" a="1"/>
  <c r="V388" i="13" s="1"/>
  <c r="V387" i="13" a="1"/>
  <c r="V387" i="13" s="1"/>
  <c r="V392" i="13" a="1"/>
  <c r="V392" i="13" s="1"/>
  <c r="V391" i="13" a="1"/>
  <c r="V391" i="13" s="1"/>
  <c r="V440" i="13" a="1"/>
  <c r="V440" i="13" s="1"/>
  <c r="V403" i="13" a="1"/>
  <c r="V403" i="13" s="1"/>
  <c r="V346" i="13" a="1"/>
  <c r="V346" i="13" s="1"/>
  <c r="V345" i="13" a="1"/>
  <c r="V345" i="13" s="1"/>
  <c r="V325" i="13" a="1"/>
  <c r="V325" i="13" s="1"/>
  <c r="V324" i="13" a="1"/>
  <c r="V324" i="13" s="1"/>
  <c r="V350" i="13" a="1"/>
  <c r="V350" i="13" s="1"/>
  <c r="V349" i="13" a="1"/>
  <c r="V349" i="13" s="1"/>
  <c r="V329" i="13" a="1"/>
  <c r="V329" i="13" s="1"/>
  <c r="V328" i="13" a="1"/>
  <c r="V328" i="13" s="1"/>
  <c r="V354" i="13" a="1"/>
  <c r="V354" i="13" s="1"/>
  <c r="V353" i="13" a="1"/>
  <c r="V353" i="13" s="1"/>
  <c r="V366" i="13" a="1"/>
  <c r="V366" i="13" s="1"/>
  <c r="V370" i="13" a="1"/>
  <c r="V370" i="13" s="1"/>
  <c r="V367" i="13" a="1"/>
  <c r="V367" i="13" s="1"/>
  <c r="V371" i="13" a="1"/>
  <c r="V371" i="13" s="1"/>
  <c r="V363" i="13" a="1"/>
  <c r="V363" i="13" s="1"/>
  <c r="V342" i="13" a="1"/>
  <c r="V342" i="13" s="1"/>
  <c r="V341" i="13" a="1"/>
  <c r="V341" i="13" s="1"/>
  <c r="V337" i="13" a="1"/>
  <c r="V337" i="13" s="1"/>
  <c r="V280" i="13" a="1"/>
  <c r="V280" i="13" s="1"/>
  <c r="V279" i="13" a="1"/>
  <c r="V279" i="13" s="1"/>
  <c r="V317" i="13" a="1"/>
  <c r="V317" i="13" s="1"/>
  <c r="V320" i="13" a="1"/>
  <c r="V320" i="13" s="1"/>
  <c r="V284" i="13" a="1"/>
  <c r="V284" i="13" s="1"/>
  <c r="V283" i="13" a="1"/>
  <c r="V283" i="13" s="1"/>
  <c r="V308" i="13" a="1"/>
  <c r="V308" i="13" s="1"/>
  <c r="V362" i="13" a="1"/>
  <c r="V362" i="13" s="1"/>
  <c r="V288" i="13" a="1"/>
  <c r="V288" i="13" s="1"/>
  <c r="V287" i="13" a="1"/>
  <c r="V287" i="13" s="1"/>
  <c r="V313" i="13" a="1"/>
  <c r="V313" i="13" s="1"/>
  <c r="V312" i="13" a="1"/>
  <c r="V312" i="13" s="1"/>
  <c r="V338" i="13" a="1"/>
  <c r="V338" i="13" s="1"/>
  <c r="V292" i="13" a="1"/>
  <c r="V292" i="13" s="1"/>
  <c r="V291" i="13" a="1"/>
  <c r="V291" i="13" s="1"/>
  <c r="V296" i="13" a="1"/>
  <c r="V296" i="13" s="1"/>
  <c r="V295" i="13" a="1"/>
  <c r="V295" i="13" s="1"/>
  <c r="V300" i="13" a="1"/>
  <c r="V300" i="13" s="1"/>
  <c r="V299" i="13" a="1"/>
  <c r="V299" i="13" s="1"/>
  <c r="V251" i="13" a="1"/>
  <c r="V251" i="13" s="1"/>
  <c r="V250" i="13" a="1"/>
  <c r="V250" i="13" s="1"/>
  <c r="V262" i="13" a="1"/>
  <c r="V262" i="13" s="1"/>
  <c r="V259" i="13" a="1"/>
  <c r="V259" i="13" s="1"/>
  <c r="V271" i="13" a="1"/>
  <c r="V271" i="13" s="1"/>
  <c r="V270" i="13" a="1"/>
  <c r="V270" i="13" s="1"/>
  <c r="V267" i="13" a="1"/>
  <c r="V267" i="13" s="1"/>
  <c r="V266" i="13" a="1"/>
  <c r="V266" i="13" s="1"/>
  <c r="V255" i="13" a="1"/>
  <c r="V255" i="13" s="1"/>
  <c r="V254" i="13" a="1"/>
  <c r="V254" i="13" s="1"/>
  <c r="V233" i="13" a="1"/>
  <c r="V233" i="13" s="1"/>
  <c r="V258" i="13" a="1"/>
  <c r="V258" i="13" s="1"/>
  <c r="V263" i="13" a="1"/>
  <c r="V263" i="13" s="1"/>
  <c r="V316" i="13" a="1"/>
  <c r="V316" i="13" s="1"/>
  <c r="V238" i="13" a="1"/>
  <c r="V238" i="13" s="1"/>
  <c r="V237" i="13" a="1"/>
  <c r="V237" i="13" s="1"/>
  <c r="T225" i="13" a="1"/>
  <c r="T225" i="13" s="1"/>
  <c r="AH225" i="13" a="1"/>
  <c r="AH225" i="13" s="1"/>
  <c r="Q226" i="13" a="1"/>
  <c r="Q226" i="13" s="1"/>
  <c r="N229" i="13" a="1"/>
  <c r="N229" i="13" s="1"/>
  <c r="X229" i="13" a="1"/>
  <c r="X229" i="13" s="1"/>
  <c r="K233" i="13" a="1"/>
  <c r="K233" i="13" s="1"/>
  <c r="AK233" i="13" a="1"/>
  <c r="AK233" i="13" s="1"/>
  <c r="AK237" i="13" a="1"/>
  <c r="AK237" i="13" s="1"/>
  <c r="M238" i="13" a="1"/>
  <c r="M238" i="13" s="1"/>
  <c r="AF238" i="13" a="1"/>
  <c r="AF238" i="13" s="1"/>
  <c r="N241" i="13" a="1"/>
  <c r="N241" i="13" s="1"/>
  <c r="T242" i="13" a="1"/>
  <c r="T242" i="13" s="1"/>
  <c r="AJ255" i="13" a="1"/>
  <c r="AJ255" i="13" s="1"/>
  <c r="AN259" i="13" a="1"/>
  <c r="AN259" i="13" s="1"/>
  <c r="AN262" i="13" a="1"/>
  <c r="AN262" i="13" s="1"/>
  <c r="N266" i="13" a="1"/>
  <c r="N266" i="13" s="1"/>
  <c r="G569" i="13" a="1"/>
  <c r="G569" i="13" s="1"/>
  <c r="G568" i="13" a="1"/>
  <c r="G568" i="13" s="1"/>
  <c r="G580" i="13" a="1"/>
  <c r="G580" i="13" s="1"/>
  <c r="G581" i="13" a="1"/>
  <c r="G581" i="13" s="1"/>
  <c r="G572" i="13" a="1"/>
  <c r="G572" i="13" s="1"/>
  <c r="G573" i="13" a="1"/>
  <c r="G573" i="13" s="1"/>
  <c r="G560" i="13" a="1"/>
  <c r="G560" i="13" s="1"/>
  <c r="G577" i="13" a="1"/>
  <c r="G577" i="13" s="1"/>
  <c r="G576" i="13" a="1"/>
  <c r="G576" i="13" s="1"/>
  <c r="G552" i="13" a="1"/>
  <c r="G552" i="13" s="1"/>
  <c r="G551" i="13" a="1"/>
  <c r="G551" i="13" s="1"/>
  <c r="G556" i="13" a="1"/>
  <c r="G556" i="13" s="1"/>
  <c r="G555" i="13" a="1"/>
  <c r="G555" i="13" s="1"/>
  <c r="G547" i="13" a="1"/>
  <c r="G547" i="13" s="1"/>
  <c r="G536" i="13" a="1"/>
  <c r="G536" i="13" s="1"/>
  <c r="G540" i="13" a="1"/>
  <c r="G540" i="13" s="1"/>
  <c r="G559" i="13" a="1"/>
  <c r="G559" i="13" s="1"/>
  <c r="G548" i="13" a="1"/>
  <c r="G548" i="13" s="1"/>
  <c r="G520" i="13" a="1"/>
  <c r="G520" i="13" s="1"/>
  <c r="G519" i="13" a="1"/>
  <c r="G519" i="13" s="1"/>
  <c r="G524" i="13" a="1"/>
  <c r="G524" i="13" s="1"/>
  <c r="G527" i="13" a="1"/>
  <c r="G527" i="13" s="1"/>
  <c r="G539" i="13" a="1"/>
  <c r="G539" i="13" s="1"/>
  <c r="G523" i="13" a="1"/>
  <c r="G523" i="13" s="1"/>
  <c r="G535" i="13" a="1"/>
  <c r="G535" i="13" s="1"/>
  <c r="G528" i="13" a="1"/>
  <c r="G528" i="13" s="1"/>
  <c r="G531" i="13" a="1"/>
  <c r="G531" i="13" s="1"/>
  <c r="G544" i="13" a="1"/>
  <c r="G544" i="13" s="1"/>
  <c r="G543" i="13" a="1"/>
  <c r="G543" i="13" s="1"/>
  <c r="G510" i="13" a="1"/>
  <c r="G510" i="13" s="1"/>
  <c r="G506" i="13" a="1"/>
  <c r="G506" i="13" s="1"/>
  <c r="G502" i="13" a="1"/>
  <c r="G502" i="13" s="1"/>
  <c r="G507" i="13" a="1"/>
  <c r="G507" i="13" s="1"/>
  <c r="G503" i="13" a="1"/>
  <c r="G503" i="13" s="1"/>
  <c r="G532" i="13" a="1"/>
  <c r="G532" i="13" s="1"/>
  <c r="G479" i="13" a="1"/>
  <c r="G479" i="13" s="1"/>
  <c r="G478" i="13" a="1"/>
  <c r="G478" i="13" s="1"/>
  <c r="G483" i="13" a="1"/>
  <c r="G483" i="13" s="1"/>
  <c r="G482" i="13" a="1"/>
  <c r="G482" i="13" s="1"/>
  <c r="G511" i="13" a="1"/>
  <c r="G511" i="13" s="1"/>
  <c r="G494" i="13" a="1"/>
  <c r="G494" i="13" s="1"/>
  <c r="G474" i="13" a="1"/>
  <c r="G474" i="13" s="1"/>
  <c r="G453" i="13" a="1"/>
  <c r="G453" i="13" s="1"/>
  <c r="G452" i="13" a="1"/>
  <c r="G452" i="13" s="1"/>
  <c r="G457" i="13" a="1"/>
  <c r="G457" i="13" s="1"/>
  <c r="G456" i="13" a="1"/>
  <c r="G456" i="13" s="1"/>
  <c r="G486" i="13" a="1"/>
  <c r="G486" i="13" s="1"/>
  <c r="G471" i="13" a="1"/>
  <c r="G471" i="13" s="1"/>
  <c r="G461" i="13" a="1"/>
  <c r="G461" i="13" s="1"/>
  <c r="G460" i="13" a="1"/>
  <c r="G460" i="13" s="1"/>
  <c r="G490" i="13" a="1"/>
  <c r="G490" i="13" s="1"/>
  <c r="G491" i="13" a="1"/>
  <c r="G491" i="13" s="1"/>
  <c r="G498" i="13" a="1"/>
  <c r="G498" i="13" s="1"/>
  <c r="G470" i="13" a="1"/>
  <c r="G470" i="13" s="1"/>
  <c r="G425" i="13" a="1"/>
  <c r="G425" i="13" s="1"/>
  <c r="G424" i="13" a="1"/>
  <c r="G424" i="13" s="1"/>
  <c r="G444" i="13" a="1"/>
  <c r="G444" i="13" s="1"/>
  <c r="G445" i="13" a="1"/>
  <c r="G445" i="13" s="1"/>
  <c r="G429" i="13" a="1"/>
  <c r="G429" i="13" s="1"/>
  <c r="G428" i="13" a="1"/>
  <c r="G428" i="13" s="1"/>
  <c r="G449" i="13" a="1"/>
  <c r="G449" i="13" s="1"/>
  <c r="G448" i="13" a="1"/>
  <c r="G448" i="13" s="1"/>
  <c r="G433" i="13" a="1"/>
  <c r="G433" i="13" s="1"/>
  <c r="G432" i="13" a="1"/>
  <c r="G432" i="13" s="1"/>
  <c r="G437" i="13" a="1"/>
  <c r="G437" i="13" s="1"/>
  <c r="G441" i="13" a="1"/>
  <c r="G441" i="13" s="1"/>
  <c r="G440" i="13" a="1"/>
  <c r="G440" i="13" s="1"/>
  <c r="G436" i="13" a="1"/>
  <c r="G436" i="13" s="1"/>
  <c r="G400" i="13" a="1"/>
  <c r="G400" i="13" s="1"/>
  <c r="G399" i="13" a="1"/>
  <c r="G399" i="13" s="1"/>
  <c r="G415" i="13" a="1"/>
  <c r="G415" i="13" s="1"/>
  <c r="G404" i="13" a="1"/>
  <c r="G404" i="13" s="1"/>
  <c r="G403" i="13" a="1"/>
  <c r="G403" i="13" s="1"/>
  <c r="G416" i="13" a="1"/>
  <c r="G416" i="13" s="1"/>
  <c r="G412" i="13" a="1"/>
  <c r="G412" i="13" s="1"/>
  <c r="G411" i="13" a="1"/>
  <c r="G411" i="13" s="1"/>
  <c r="G395" i="13" a="1"/>
  <c r="G395" i="13" s="1"/>
  <c r="G379" i="13" a="1"/>
  <c r="G379" i="13" s="1"/>
  <c r="G378" i="13" a="1"/>
  <c r="G378" i="13" s="1"/>
  <c r="G408" i="13" a="1"/>
  <c r="G408" i="13" s="1"/>
  <c r="G388" i="13" a="1"/>
  <c r="G388" i="13" s="1"/>
  <c r="G387" i="13" a="1"/>
  <c r="G387" i="13" s="1"/>
  <c r="G396" i="13" a="1"/>
  <c r="G396" i="13" s="1"/>
  <c r="G392" i="13" a="1"/>
  <c r="G392" i="13" s="1"/>
  <c r="G391" i="13" a="1"/>
  <c r="G391" i="13" s="1"/>
  <c r="G407" i="13" a="1"/>
  <c r="G407" i="13" s="1"/>
  <c r="G374" i="13" a="1"/>
  <c r="G374" i="13" s="1"/>
  <c r="G367" i="13" a="1"/>
  <c r="G367" i="13" s="1"/>
  <c r="G325" i="13" a="1"/>
  <c r="G325" i="13" s="1"/>
  <c r="G324" i="13" a="1"/>
  <c r="G324" i="13" s="1"/>
  <c r="G363" i="13" a="1"/>
  <c r="G363" i="13" s="1"/>
  <c r="G350" i="13" a="1"/>
  <c r="G350" i="13" s="1"/>
  <c r="G349" i="13" a="1"/>
  <c r="G349" i="13" s="1"/>
  <c r="G329" i="13" a="1"/>
  <c r="G329" i="13" s="1"/>
  <c r="G328" i="13" a="1"/>
  <c r="G328" i="13" s="1"/>
  <c r="G354" i="13" a="1"/>
  <c r="G354" i="13" s="1"/>
  <c r="G353" i="13" a="1"/>
  <c r="G353" i="13" s="1"/>
  <c r="G371" i="13" a="1"/>
  <c r="G371" i="13" s="1"/>
  <c r="G338" i="13" a="1"/>
  <c r="G338" i="13" s="1"/>
  <c r="G337" i="13" a="1"/>
  <c r="G337" i="13" s="1"/>
  <c r="G362" i="13" a="1"/>
  <c r="G362" i="13" s="1"/>
  <c r="G366" i="13" a="1"/>
  <c r="G366" i="13" s="1"/>
  <c r="G370" i="13" a="1"/>
  <c r="G370" i="13" s="1"/>
  <c r="G346" i="13" a="1"/>
  <c r="G346" i="13" s="1"/>
  <c r="G345" i="13" a="1"/>
  <c r="G345" i="13" s="1"/>
  <c r="G375" i="13" a="1"/>
  <c r="G375" i="13" s="1"/>
  <c r="G259" i="13" a="1"/>
  <c r="G259" i="13" s="1"/>
  <c r="G284" i="13" a="1"/>
  <c r="G284" i="13" s="1"/>
  <c r="G283" i="13" a="1"/>
  <c r="G283" i="13" s="1"/>
  <c r="G317" i="13" a="1"/>
  <c r="G317" i="13" s="1"/>
  <c r="G309" i="13" a="1"/>
  <c r="G309" i="13" s="1"/>
  <c r="G308" i="13" a="1"/>
  <c r="G308" i="13" s="1"/>
  <c r="G263" i="13" a="1"/>
  <c r="G263" i="13" s="1"/>
  <c r="G262" i="13" a="1"/>
  <c r="G262" i="13" s="1"/>
  <c r="G321" i="13" a="1"/>
  <c r="G321" i="13" s="1"/>
  <c r="G288" i="13" a="1"/>
  <c r="G288" i="13" s="1"/>
  <c r="G287" i="13" a="1"/>
  <c r="G287" i="13" s="1"/>
  <c r="G313" i="13" a="1"/>
  <c r="G313" i="13" s="1"/>
  <c r="G312" i="13" a="1"/>
  <c r="G312" i="13" s="1"/>
  <c r="G342" i="13" a="1"/>
  <c r="G342" i="13" s="1"/>
  <c r="G267" i="13" a="1"/>
  <c r="G267" i="13" s="1"/>
  <c r="G266" i="13" a="1"/>
  <c r="G266" i="13" s="1"/>
  <c r="G341" i="13" a="1"/>
  <c r="G341" i="13" s="1"/>
  <c r="G292" i="13" a="1"/>
  <c r="G292" i="13" s="1"/>
  <c r="G291" i="13" a="1"/>
  <c r="G291" i="13" s="1"/>
  <c r="G296" i="13" a="1"/>
  <c r="G296" i="13" s="1"/>
  <c r="G298" i="13" s="1"/>
  <c r="G320" i="13" a="1"/>
  <c r="G320" i="13" s="1"/>
  <c r="G300" i="13" a="1"/>
  <c r="G300" i="13" s="1"/>
  <c r="G299" i="13" a="1"/>
  <c r="G299" i="13" s="1"/>
  <c r="G316" i="13" a="1"/>
  <c r="G316" i="13" s="1"/>
  <c r="G271" i="13" a="1"/>
  <c r="G271" i="13" s="1"/>
  <c r="G270" i="13" a="1"/>
  <c r="G270" i="13" s="1"/>
  <c r="G255" i="13" a="1"/>
  <c r="G255" i="13" s="1"/>
  <c r="G254" i="13" a="1"/>
  <c r="G254" i="13" s="1"/>
  <c r="G280" i="13" a="1"/>
  <c r="G280" i="13" s="1"/>
  <c r="G279" i="13" a="1"/>
  <c r="G279" i="13" s="1"/>
  <c r="G258" i="13" a="1"/>
  <c r="G258" i="13" s="1"/>
  <c r="G238" i="13" a="1"/>
  <c r="G238" i="13" s="1"/>
  <c r="G237" i="13" a="1"/>
  <c r="G237" i="13" s="1"/>
  <c r="G242" i="13" a="1"/>
  <c r="G242" i="13" s="1"/>
  <c r="G241" i="13" a="1"/>
  <c r="G241" i="13" s="1"/>
  <c r="G251" i="13" a="1"/>
  <c r="G251" i="13" s="1"/>
  <c r="G250" i="13" a="1"/>
  <c r="G250" i="13" s="1"/>
  <c r="W568" i="13" a="1"/>
  <c r="W568" i="13" s="1"/>
  <c r="W580" i="13" a="1"/>
  <c r="W580" i="13" s="1"/>
  <c r="W572" i="13" a="1"/>
  <c r="W572" i="13" s="1"/>
  <c r="W573" i="13" a="1"/>
  <c r="W573" i="13" s="1"/>
  <c r="W559" i="13" a="1"/>
  <c r="W559" i="13" s="1"/>
  <c r="W551" i="13" a="1"/>
  <c r="W551" i="13" s="1"/>
  <c r="W555" i="13" a="1"/>
  <c r="W555" i="13" s="1"/>
  <c r="W577" i="13" a="1"/>
  <c r="W577" i="13" s="1"/>
  <c r="W576" i="13" a="1"/>
  <c r="W576" i="13" s="1"/>
  <c r="W547" i="13" a="1"/>
  <c r="W547" i="13" s="1"/>
  <c r="W540" i="13" a="1"/>
  <c r="W540" i="13" s="1"/>
  <c r="W539" i="13" a="1"/>
  <c r="W539" i="13" s="1"/>
  <c r="W535" i="13" a="1"/>
  <c r="W535" i="13" s="1"/>
  <c r="W544" i="13" a="1"/>
  <c r="W544" i="13" s="1"/>
  <c r="W543" i="13" a="1"/>
  <c r="W543" i="13" s="1"/>
  <c r="W536" i="13" a="1"/>
  <c r="W536" i="13" s="1"/>
  <c r="W548" i="13" a="1"/>
  <c r="W548" i="13" s="1"/>
  <c r="W527" i="13" a="1"/>
  <c r="W527" i="13" s="1"/>
  <c r="W519" i="13" a="1"/>
  <c r="W519" i="13" s="1"/>
  <c r="W532" i="13" a="1"/>
  <c r="W532" i="13" s="1"/>
  <c r="W528" i="13" a="1"/>
  <c r="W528" i="13" s="1"/>
  <c r="W531" i="13" a="1"/>
  <c r="W531" i="13" s="1"/>
  <c r="W523" i="13" a="1"/>
  <c r="W523" i="13" s="1"/>
  <c r="W502" i="13" a="1"/>
  <c r="W502" i="13" s="1"/>
  <c r="W510" i="13" a="1"/>
  <c r="W510" i="13" s="1"/>
  <c r="W506" i="13" a="1"/>
  <c r="W506" i="13" s="1"/>
  <c r="W524" i="13" a="1"/>
  <c r="W524" i="13" s="1"/>
  <c r="W498" i="13" a="1"/>
  <c r="W498" i="13" s="1"/>
  <c r="W479" i="13" a="1"/>
  <c r="W479" i="13" s="1"/>
  <c r="W478" i="13" a="1"/>
  <c r="W478" i="13" s="1"/>
  <c r="W486" i="13" a="1"/>
  <c r="W486" i="13" s="1"/>
  <c r="W490" i="13" a="1"/>
  <c r="W490" i="13" s="1"/>
  <c r="W482" i="13" a="1"/>
  <c r="W482" i="13" s="1"/>
  <c r="W494" i="13" a="1"/>
  <c r="W494" i="13" s="1"/>
  <c r="W470" i="13" a="1"/>
  <c r="W470" i="13" s="1"/>
  <c r="W453" i="13" a="1"/>
  <c r="W453" i="13" s="1"/>
  <c r="W452" i="13" a="1"/>
  <c r="W452" i="13" s="1"/>
  <c r="W457" i="13" a="1"/>
  <c r="W457" i="13" s="1"/>
  <c r="W456" i="13" a="1"/>
  <c r="W456" i="13" s="1"/>
  <c r="W474" i="13" a="1"/>
  <c r="W474" i="13" s="1"/>
  <c r="W461" i="13" a="1"/>
  <c r="W461" i="13" s="1"/>
  <c r="W460" i="13" a="1"/>
  <c r="W460" i="13" s="1"/>
  <c r="W471" i="13" a="1"/>
  <c r="W471" i="13" s="1"/>
  <c r="W425" i="13" a="1"/>
  <c r="W425" i="13" s="1"/>
  <c r="W424" i="13" a="1"/>
  <c r="W424" i="13" s="1"/>
  <c r="W429" i="13" a="1"/>
  <c r="W429" i="13" s="1"/>
  <c r="W428" i="13" a="1"/>
  <c r="W428" i="13" s="1"/>
  <c r="W449" i="13" a="1"/>
  <c r="W449" i="13" s="1"/>
  <c r="W448" i="13" a="1"/>
  <c r="W448" i="13" s="1"/>
  <c r="W433" i="13" a="1"/>
  <c r="W433" i="13" s="1"/>
  <c r="W432" i="13" a="1"/>
  <c r="W432" i="13" s="1"/>
  <c r="W437" i="13" a="1"/>
  <c r="W437" i="13" s="1"/>
  <c r="W440" i="13" a="1"/>
  <c r="W440" i="13" s="1"/>
  <c r="W445" i="13" a="1"/>
  <c r="W445" i="13" s="1"/>
  <c r="W441" i="13" a="1"/>
  <c r="W441" i="13" s="1"/>
  <c r="W415" i="13" a="1"/>
  <c r="W415" i="13" s="1"/>
  <c r="W416" i="13" a="1"/>
  <c r="W416" i="13" s="1"/>
  <c r="W444" i="13" a="1"/>
  <c r="W444" i="13" s="1"/>
  <c r="W400" i="13" a="1"/>
  <c r="W400" i="13" s="1"/>
  <c r="W399" i="13" a="1"/>
  <c r="W399" i="13" s="1"/>
  <c r="W436" i="13" a="1"/>
  <c r="W436" i="13" s="1"/>
  <c r="W404" i="13" a="1"/>
  <c r="W404" i="13" s="1"/>
  <c r="W403" i="13" a="1"/>
  <c r="W403" i="13" s="1"/>
  <c r="W379" i="13" a="1"/>
  <c r="W379" i="13" s="1"/>
  <c r="W378" i="13" a="1"/>
  <c r="W378" i="13" s="1"/>
  <c r="W407" i="13" a="1"/>
  <c r="W407" i="13" s="1"/>
  <c r="W396" i="13" a="1"/>
  <c r="W396" i="13" s="1"/>
  <c r="W388" i="13" a="1"/>
  <c r="W388" i="13" s="1"/>
  <c r="W387" i="13" a="1"/>
  <c r="W387" i="13" s="1"/>
  <c r="W412" i="13" a="1"/>
  <c r="W412" i="13" s="1"/>
  <c r="W411" i="13" a="1"/>
  <c r="W411" i="13" s="1"/>
  <c r="W392" i="13" a="1"/>
  <c r="W392" i="13" s="1"/>
  <c r="W391" i="13" a="1"/>
  <c r="W391" i="13" s="1"/>
  <c r="W408" i="13" a="1"/>
  <c r="W408" i="13" s="1"/>
  <c r="W395" i="13" a="1"/>
  <c r="W395" i="13" s="1"/>
  <c r="W325" i="13" a="1"/>
  <c r="W325" i="13" s="1"/>
  <c r="W324" i="13" a="1"/>
  <c r="W324" i="13" s="1"/>
  <c r="W350" i="13" a="1"/>
  <c r="W350" i="13" s="1"/>
  <c r="W349" i="13" a="1"/>
  <c r="W349" i="13" s="1"/>
  <c r="W329" i="13" a="1"/>
  <c r="W329" i="13" s="1"/>
  <c r="W328" i="13" a="1"/>
  <c r="W328" i="13" s="1"/>
  <c r="W354" i="13" a="1"/>
  <c r="W354" i="13" s="1"/>
  <c r="W353" i="13" a="1"/>
  <c r="W353" i="13" s="1"/>
  <c r="W366" i="13" a="1"/>
  <c r="W366" i="13" s="1"/>
  <c r="W374" i="13" a="1"/>
  <c r="W374" i="13" s="1"/>
  <c r="W338" i="13" a="1"/>
  <c r="W338" i="13" s="1"/>
  <c r="W337" i="13" a="1"/>
  <c r="W337" i="13" s="1"/>
  <c r="W362" i="13" a="1"/>
  <c r="W362" i="13" s="1"/>
  <c r="W370" i="13" a="1"/>
  <c r="W370" i="13" s="1"/>
  <c r="W367" i="13" a="1"/>
  <c r="W367" i="13" s="1"/>
  <c r="W346" i="13" a="1"/>
  <c r="W346" i="13" s="1"/>
  <c r="W345" i="13" a="1"/>
  <c r="W345" i="13" s="1"/>
  <c r="W259" i="13" a="1"/>
  <c r="W259" i="13" s="1"/>
  <c r="W320" i="13" a="1"/>
  <c r="W320" i="13" s="1"/>
  <c r="W284" i="13" a="1"/>
  <c r="W284" i="13" s="1"/>
  <c r="W283" i="13" a="1"/>
  <c r="W283" i="13" s="1"/>
  <c r="W363" i="13" a="1"/>
  <c r="W363" i="13" s="1"/>
  <c r="W308" i="13" a="1"/>
  <c r="W308" i="13" s="1"/>
  <c r="W263" i="13" a="1"/>
  <c r="W263" i="13" s="1"/>
  <c r="W262" i="13" a="1"/>
  <c r="W262" i="13" s="1"/>
  <c r="W288" i="13" a="1"/>
  <c r="W288" i="13" s="1"/>
  <c r="W287" i="13" a="1"/>
  <c r="W287" i="13" s="1"/>
  <c r="W371" i="13" a="1"/>
  <c r="W371" i="13" s="1"/>
  <c r="W312" i="13" a="1"/>
  <c r="W312" i="13" s="1"/>
  <c r="W267" i="13" a="1"/>
  <c r="W267" i="13" s="1"/>
  <c r="W266" i="13" a="1"/>
  <c r="W266" i="13" s="1"/>
  <c r="W292" i="13" a="1"/>
  <c r="W292" i="13" s="1"/>
  <c r="W291" i="13" a="1"/>
  <c r="W291" i="13" s="1"/>
  <c r="W316" i="13" a="1"/>
  <c r="W316" i="13" s="1"/>
  <c r="W296" i="13" a="1"/>
  <c r="W296" i="13" s="1"/>
  <c r="W295" i="13" a="1"/>
  <c r="W295" i="13" s="1"/>
  <c r="W300" i="13" a="1"/>
  <c r="W300" i="13" s="1"/>
  <c r="W299" i="13" a="1"/>
  <c r="W299" i="13" s="1"/>
  <c r="W342" i="13" a="1"/>
  <c r="W342" i="13" s="1"/>
  <c r="W341" i="13" a="1"/>
  <c r="W341" i="13" s="1"/>
  <c r="W271" i="13" a="1"/>
  <c r="W271" i="13" s="1"/>
  <c r="W270" i="13" a="1"/>
  <c r="W270" i="13" s="1"/>
  <c r="W255" i="13" a="1"/>
  <c r="W255" i="13" s="1"/>
  <c r="W254" i="13" a="1"/>
  <c r="W254" i="13" s="1"/>
  <c r="W280" i="13" a="1"/>
  <c r="W280" i="13" s="1"/>
  <c r="W279" i="13" a="1"/>
  <c r="W279" i="13" s="1"/>
  <c r="W258" i="13" a="1"/>
  <c r="W258" i="13" s="1"/>
  <c r="W238" i="13" a="1"/>
  <c r="W238" i="13" s="1"/>
  <c r="W237" i="13" a="1"/>
  <c r="W237" i="13" s="1"/>
  <c r="W242" i="13" a="1"/>
  <c r="W242" i="13" s="1"/>
  <c r="W241" i="13" a="1"/>
  <c r="W241" i="13" s="1"/>
  <c r="W251" i="13" a="1"/>
  <c r="W251" i="13" s="1"/>
  <c r="W250" i="13" a="1"/>
  <c r="W250" i="13" s="1"/>
  <c r="G221" i="13" a="1"/>
  <c r="G221" i="13" s="1"/>
  <c r="O221" i="13" a="1"/>
  <c r="O221" i="13" s="1"/>
  <c r="W221" i="13" a="1"/>
  <c r="W221" i="13" s="1"/>
  <c r="AI221" i="13" a="1"/>
  <c r="AI221" i="13" s="1"/>
  <c r="G222" i="13" a="1"/>
  <c r="G222" i="13" s="1"/>
  <c r="O222" i="13" a="1"/>
  <c r="O222" i="13" s="1"/>
  <c r="J225" i="13" a="1"/>
  <c r="J225" i="13" s="1"/>
  <c r="H226" i="13" a="1"/>
  <c r="H226" i="13" s="1"/>
  <c r="O229" i="13" a="1"/>
  <c r="O229" i="13" s="1"/>
  <c r="AL229" i="13" a="1"/>
  <c r="AL229" i="13" s="1"/>
  <c r="W233" i="13" a="1"/>
  <c r="W233" i="13" s="1"/>
  <c r="S237" i="13" a="1"/>
  <c r="S237" i="13" s="1"/>
  <c r="AL237" i="13" a="1"/>
  <c r="AL237" i="13" s="1"/>
  <c r="AJ241" i="13" a="1"/>
  <c r="AJ241" i="13" s="1"/>
  <c r="U242" i="13" a="1"/>
  <c r="U242" i="13" s="1"/>
  <c r="I251" i="13" a="1"/>
  <c r="I251" i="13" s="1"/>
  <c r="X254" i="13" a="1"/>
  <c r="X254" i="13" s="1"/>
  <c r="AL255" i="13" a="1"/>
  <c r="AL255" i="13" s="1"/>
  <c r="O46" i="14"/>
  <c r="O52" i="14"/>
  <c r="O44" i="14"/>
  <c r="K50" i="14"/>
  <c r="K48" i="14"/>
  <c r="K45" i="14"/>
  <c r="K51" i="14"/>
  <c r="K49" i="14"/>
  <c r="K46" i="14"/>
  <c r="K52" i="14"/>
  <c r="K43" i="14"/>
  <c r="K47" i="14"/>
  <c r="K44" i="14"/>
  <c r="G23" i="14"/>
  <c r="M48" i="14"/>
  <c r="M45" i="14"/>
  <c r="M51" i="14"/>
  <c r="M49" i="14"/>
  <c r="M46" i="14"/>
  <c r="M52" i="14"/>
  <c r="M43" i="14"/>
  <c r="M47" i="14"/>
  <c r="M44" i="14"/>
  <c r="M50" i="14"/>
  <c r="H83" i="15"/>
  <c r="G41" i="14"/>
  <c r="L44" i="14"/>
  <c r="F46" i="14"/>
  <c r="P48" i="14"/>
  <c r="L53" i="14"/>
  <c r="H43" i="14"/>
  <c r="L47" i="14"/>
  <c r="F49" i="14"/>
  <c r="N50" i="14"/>
  <c r="H52" i="14"/>
  <c r="N44" i="14"/>
  <c r="H46" i="14"/>
  <c r="N53" i="14"/>
  <c r="P44" i="14"/>
  <c r="J46" i="14"/>
  <c r="F51" i="14"/>
  <c r="P53" i="14"/>
  <c r="L43" i="14"/>
  <c r="J49" i="14"/>
  <c r="L52" i="14"/>
  <c r="L46" i="14"/>
  <c r="F48" i="14"/>
  <c r="H51" i="14"/>
  <c r="N43" i="14"/>
  <c r="H45" i="14"/>
  <c r="L49" i="14"/>
  <c r="N52" i="14"/>
  <c r="G3" i="14"/>
  <c r="I9" i="14"/>
  <c r="N46" i="14"/>
  <c r="H48" i="14"/>
  <c r="J51" i="14"/>
  <c r="P43" i="14"/>
  <c r="J45" i="14"/>
  <c r="N49" i="14"/>
  <c r="P52" i="14"/>
  <c r="F44" i="14"/>
  <c r="P46" i="14"/>
  <c r="J48" i="14"/>
  <c r="L51" i="14"/>
  <c r="F53" i="14"/>
  <c r="F5" i="14" a="1"/>
  <c r="F5" i="14" s="1"/>
  <c r="F7" i="14" s="1"/>
  <c r="F2" i="14" s="1"/>
  <c r="L45" i="14"/>
  <c r="P49" i="14"/>
  <c r="H44" i="14"/>
  <c r="N51" i="14"/>
  <c r="H53" i="14"/>
  <c r="N45" i="14"/>
  <c r="J50" i="14"/>
  <c r="J44" i="14"/>
  <c r="AK164" i="1"/>
  <c r="BD302" i="11"/>
  <c r="BP127" i="11"/>
  <c r="BX45" i="11"/>
  <c r="BK248" i="11"/>
  <c r="BD340" i="11"/>
  <c r="AR9" i="6"/>
  <c r="BD111" i="11"/>
  <c r="AL189" i="1"/>
  <c r="AL173" i="1"/>
  <c r="AN153" i="1"/>
  <c r="AL249" i="1"/>
  <c r="BU344" i="11"/>
  <c r="BI91" i="11"/>
  <c r="BN10" i="11"/>
  <c r="AR305" i="1"/>
  <c r="AV293" i="1"/>
  <c r="AJ41" i="1"/>
  <c r="AM379" i="1"/>
  <c r="BI207" i="11"/>
  <c r="AL7" i="6"/>
  <c r="AH52" i="6"/>
  <c r="AK273" i="1"/>
  <c r="AN322" i="1"/>
  <c r="AK378" i="1"/>
  <c r="AO166" i="1"/>
  <c r="AL172" i="1"/>
  <c r="BK278" i="11"/>
  <c r="BJ49" i="11"/>
  <c r="BQ18" i="11"/>
  <c r="AV171" i="1"/>
  <c r="AS293" i="1"/>
  <c r="AL141" i="1"/>
  <c r="AI136" i="1"/>
  <c r="AK223" i="1"/>
  <c r="BR173" i="11"/>
  <c r="AW175" i="1"/>
  <c r="AT379" i="1"/>
  <c r="AL222" i="1"/>
  <c r="AM261" i="1"/>
  <c r="AR226" i="1"/>
  <c r="AR215" i="1"/>
  <c r="AK225" i="1"/>
  <c r="AW152" i="1"/>
  <c r="AP331" i="1"/>
  <c r="AK175" i="1"/>
  <c r="BI45" i="11"/>
  <c r="AS331" i="1"/>
  <c r="AQ269" i="1"/>
  <c r="AP379" i="1"/>
  <c r="AP293" i="1"/>
  <c r="AK379" i="1"/>
  <c r="AN250" i="1"/>
  <c r="AL215" i="1"/>
  <c r="AL228" i="1"/>
  <c r="AK331" i="1"/>
  <c r="BI286" i="11"/>
  <c r="BE183" i="11"/>
  <c r="CV48" i="6"/>
  <c r="AP28" i="6"/>
  <c r="AM289" i="1"/>
  <c r="BH91" i="11"/>
  <c r="AL164" i="1"/>
  <c r="AL170" i="1"/>
  <c r="BH61" i="11"/>
  <c r="AO213" i="1"/>
  <c r="BX215" i="11"/>
  <c r="BK254" i="11"/>
  <c r="AV359" i="1"/>
  <c r="BY282" i="11"/>
  <c r="BL298" i="11"/>
  <c r="AT256" i="1"/>
  <c r="BD254" i="11"/>
  <c r="AM303" i="1"/>
  <c r="AN182" i="1"/>
  <c r="AQ168" i="1"/>
  <c r="AM301" i="1"/>
  <c r="BL336" i="11"/>
  <c r="BJ34" i="11"/>
  <c r="BW320" i="11"/>
  <c r="BL228" i="11"/>
  <c r="AG53" i="6"/>
  <c r="AL137" i="1"/>
  <c r="BP286" i="11"/>
  <c r="BQ286" i="11"/>
  <c r="BQ10" i="11"/>
  <c r="BK191" i="11"/>
  <c r="AV226" i="1"/>
  <c r="AT143" i="1"/>
  <c r="BE26" i="11"/>
  <c r="CU24" i="6"/>
  <c r="BF22" i="11"/>
  <c r="BI85" i="11"/>
  <c r="AL213" i="1"/>
  <c r="AR57" i="6"/>
  <c r="AN301" i="1"/>
  <c r="AI17" i="6"/>
  <c r="AK244" i="1"/>
  <c r="AM184" i="1"/>
  <c r="CW35" i="6"/>
  <c r="BN34" i="11"/>
  <c r="AT160" i="1"/>
  <c r="AP292" i="1"/>
  <c r="AN187" i="1"/>
  <c r="BO77" i="11"/>
  <c r="BU254" i="11"/>
  <c r="AM189" i="1"/>
  <c r="BK18" i="11"/>
  <c r="CU53" i="6"/>
  <c r="BV151" i="11"/>
  <c r="BY81" i="11"/>
  <c r="AN229" i="1"/>
  <c r="AL165" i="1"/>
  <c r="BJ41" i="11"/>
  <c r="AG15" i="6"/>
  <c r="BR234" i="11"/>
  <c r="BF131" i="11"/>
  <c r="AG31" i="6"/>
  <c r="AW141" i="1"/>
  <c r="BN145" i="11"/>
  <c r="BL91" i="11"/>
  <c r="CS64" i="6"/>
  <c r="BW183" i="11"/>
  <c r="BM320" i="11"/>
  <c r="BJ336" i="11"/>
  <c r="BJ26" i="11"/>
  <c r="AS269" i="1"/>
  <c r="AN234" i="1"/>
  <c r="AN123" i="1"/>
  <c r="AR192" i="1"/>
  <c r="AN255" i="1"/>
  <c r="AU269" i="1"/>
  <c r="BU85" i="11"/>
  <c r="AJ38" i="1"/>
  <c r="AM326" i="1"/>
  <c r="AV168" i="1"/>
  <c r="AN257" i="1"/>
  <c r="AN169" i="1"/>
  <c r="AM305" i="1"/>
  <c r="BO242" i="11"/>
  <c r="AV259" i="1"/>
  <c r="AO255" i="1"/>
  <c r="BE69" i="11"/>
  <c r="AP144" i="1"/>
  <c r="AM193" i="1"/>
  <c r="BE77" i="11"/>
  <c r="BV10" i="11"/>
  <c r="BV320" i="11"/>
  <c r="AP146" i="1"/>
  <c r="AK123" i="1"/>
  <c r="AP185" i="1"/>
  <c r="AN143" i="1"/>
  <c r="AS152" i="1"/>
  <c r="AQ331" i="1"/>
  <c r="AL149" i="1"/>
  <c r="BD77" i="11"/>
  <c r="AI351" i="1"/>
  <c r="AL248" i="1"/>
  <c r="AR248" i="1"/>
  <c r="AN306" i="1"/>
  <c r="AN160" i="1"/>
  <c r="AK356" i="1"/>
  <c r="AR269" i="1"/>
  <c r="AS291" i="1"/>
  <c r="AW255" i="1"/>
  <c r="BF105" i="11"/>
  <c r="CW31" i="6"/>
  <c r="AL207" i="1"/>
  <c r="AR261" i="1"/>
  <c r="AR331" i="1"/>
  <c r="AM206" i="1"/>
  <c r="AK387" i="1"/>
  <c r="BV177" i="11"/>
  <c r="BX30" i="11"/>
  <c r="AN320" i="1"/>
  <c r="AV255" i="1"/>
  <c r="AN379" i="1"/>
  <c r="AL289" i="1"/>
  <c r="AN124" i="1"/>
  <c r="BH187" i="11"/>
  <c r="AM134" i="1"/>
  <c r="BH26" i="11"/>
  <c r="AM290" i="1"/>
  <c r="AS160" i="1"/>
  <c r="AM122" i="1"/>
  <c r="AM182" i="1"/>
  <c r="AM243" i="1"/>
  <c r="AM351" i="1"/>
  <c r="BO95" i="11"/>
  <c r="AM330" i="1"/>
  <c r="AK270" i="1"/>
  <c r="AK358" i="1"/>
  <c r="AP147" i="1"/>
  <c r="AL244" i="1"/>
  <c r="AW271" i="1"/>
  <c r="AU293" i="1"/>
  <c r="AM232" i="1"/>
  <c r="AK155" i="1"/>
  <c r="AP306" i="1"/>
  <c r="BW220" i="11"/>
  <c r="BH324" i="11"/>
  <c r="AM161" i="1"/>
  <c r="BM45" i="11"/>
  <c r="AJ37" i="1"/>
  <c r="AM141" i="1"/>
  <c r="BR340" i="11"/>
  <c r="AU206" i="1"/>
  <c r="BY274" i="11"/>
  <c r="BW207" i="11"/>
  <c r="AL34" i="6"/>
  <c r="BW14" i="11"/>
  <c r="AO32" i="6"/>
  <c r="BN242" i="11"/>
  <c r="AK321" i="1"/>
  <c r="AW168" i="1"/>
  <c r="BJ344" i="11"/>
  <c r="AM175" i="1"/>
  <c r="AO143" i="1"/>
  <c r="AI8" i="6"/>
  <c r="BP161" i="11"/>
  <c r="BR274" i="11"/>
  <c r="AM233" i="1"/>
  <c r="BK105" i="11"/>
  <c r="AI352" i="1"/>
  <c r="AL323" i="1"/>
  <c r="BP258" i="11"/>
  <c r="AQ228" i="1"/>
  <c r="BT177" i="11"/>
  <c r="AG14" i="6"/>
  <c r="CU48" i="6"/>
  <c r="AL16" i="6"/>
  <c r="AP35" i="6"/>
  <c r="AH34" i="6"/>
  <c r="BT258" i="11"/>
  <c r="BY316" i="11"/>
  <c r="AK185" i="1"/>
  <c r="BJ203" i="11"/>
  <c r="BE238" i="11"/>
  <c r="BS316" i="11"/>
  <c r="BT123" i="11"/>
  <c r="AK262" i="1"/>
  <c r="AL337" i="1"/>
  <c r="BI254" i="11"/>
  <c r="AS244" i="1"/>
  <c r="AO24" i="6"/>
  <c r="AU222" i="1"/>
  <c r="AN288" i="1"/>
  <c r="BW141" i="11"/>
  <c r="AR168" i="1"/>
  <c r="AW289" i="1"/>
  <c r="AS255" i="1"/>
  <c r="AN302" i="1"/>
  <c r="BE41" i="11"/>
  <c r="BN191" i="11"/>
  <c r="BG69" i="11"/>
  <c r="AL307" i="1"/>
  <c r="AS226" i="1"/>
  <c r="BS173" i="11"/>
  <c r="AP305" i="1"/>
  <c r="AK143" i="1"/>
  <c r="BF145" i="11"/>
  <c r="AJ42" i="1"/>
  <c r="AM195" i="1"/>
  <c r="AQ185" i="1"/>
  <c r="BQ282" i="11"/>
  <c r="AM358" i="1"/>
  <c r="AQ145" i="1"/>
  <c r="BP99" i="11"/>
  <c r="AK188" i="1"/>
  <c r="AN211" i="1"/>
  <c r="AN331" i="1"/>
  <c r="AQ155" i="1"/>
  <c r="AT293" i="1"/>
  <c r="AK249" i="1"/>
  <c r="AK271" i="1"/>
  <c r="BU332" i="11"/>
  <c r="AT226" i="1"/>
  <c r="AQ33" i="6"/>
  <c r="BR177" i="11"/>
  <c r="AM334" i="1"/>
  <c r="AO290" i="1"/>
  <c r="AN247" i="1"/>
  <c r="BV30" i="11"/>
  <c r="BO228" i="11"/>
  <c r="AV330" i="1"/>
  <c r="AP358" i="1"/>
  <c r="BI248" i="11"/>
  <c r="AM187" i="1"/>
  <c r="BN53" i="11"/>
  <c r="CT16" i="6"/>
  <c r="AM297" i="1"/>
  <c r="AW256" i="1"/>
  <c r="AK328" i="1"/>
  <c r="BD145" i="11"/>
  <c r="BH173" i="11"/>
  <c r="BV57" i="11"/>
  <c r="AK170" i="1"/>
  <c r="AU143" i="1"/>
  <c r="AM307" i="1"/>
  <c r="BR22" i="11"/>
  <c r="AK135" i="1"/>
  <c r="BR111" i="11"/>
  <c r="BH316" i="11"/>
  <c r="BX26" i="11"/>
  <c r="BI278" i="11"/>
  <c r="AN59" i="6"/>
  <c r="BL65" i="11"/>
  <c r="AM321" i="1"/>
  <c r="AK190" i="1"/>
  <c r="BX141" i="11"/>
  <c r="AM145" i="1"/>
  <c r="AV305" i="1"/>
  <c r="CR52" i="6"/>
  <c r="BV34" i="11"/>
  <c r="BT57" i="11"/>
  <c r="AM223" i="1"/>
  <c r="BL312" i="11"/>
  <c r="BM302" i="11"/>
  <c r="AP161" i="1"/>
  <c r="BV324" i="11"/>
  <c r="AP261" i="1"/>
  <c r="AL162" i="1"/>
  <c r="AL282" i="1"/>
  <c r="BR294" i="11"/>
  <c r="AQ35" i="6"/>
  <c r="BM294" i="11"/>
  <c r="BX324" i="11"/>
  <c r="BU197" i="11"/>
  <c r="AG7" i="6"/>
  <c r="AR222" i="1"/>
  <c r="AL225" i="1"/>
  <c r="BN270" i="11"/>
  <c r="BK115" i="11"/>
  <c r="BN173" i="11"/>
  <c r="BM95" i="11"/>
  <c r="BN332" i="11"/>
  <c r="AH25" i="6"/>
  <c r="AM27" i="6"/>
  <c r="BO141" i="11"/>
  <c r="AJ7" i="6"/>
  <c r="BN57" i="11"/>
  <c r="AM257" i="1"/>
  <c r="BV115" i="11"/>
  <c r="BP203" i="11"/>
  <c r="AM359" i="1"/>
  <c r="AN122" i="1"/>
  <c r="BS258" i="11"/>
  <c r="BX34" i="11"/>
  <c r="BW123" i="11"/>
  <c r="AK258" i="1"/>
  <c r="BN215" i="11"/>
  <c r="BL254" i="11"/>
  <c r="AL219" i="1"/>
  <c r="AP291" i="1"/>
  <c r="BW270" i="11"/>
  <c r="AK11" i="6"/>
  <c r="BV312" i="11"/>
  <c r="BN286" i="11"/>
  <c r="AR147" i="1"/>
  <c r="AK235" i="1"/>
  <c r="AO27" i="6"/>
  <c r="BQ302" i="11"/>
  <c r="CW16" i="6"/>
  <c r="BI57" i="11"/>
  <c r="BP290" i="11"/>
  <c r="AK148" i="1"/>
  <c r="AM149" i="1"/>
  <c r="BY306" i="11"/>
  <c r="AU290" i="1"/>
  <c r="BX282" i="11"/>
  <c r="AN17" i="6"/>
  <c r="BX238" i="11"/>
  <c r="BN99" i="11"/>
  <c r="AI59" i="6"/>
  <c r="AW145" i="1"/>
  <c r="AI355" i="1"/>
  <c r="AK173" i="1"/>
  <c r="AL217" i="1"/>
  <c r="BU41" i="11"/>
  <c r="BL30" i="11"/>
  <c r="BT242" i="11"/>
  <c r="AM281" i="1"/>
  <c r="AK282" i="1"/>
  <c r="AV144" i="1"/>
  <c r="AM279" i="1"/>
  <c r="AL210" i="1"/>
  <c r="BN18" i="11"/>
  <c r="BR238" i="11"/>
  <c r="AT145" i="1"/>
  <c r="AO174" i="1"/>
  <c r="AO185" i="1"/>
  <c r="AV151" i="1"/>
  <c r="AK281" i="1"/>
  <c r="BN30" i="11"/>
  <c r="AQ18" i="6"/>
  <c r="AL263" i="1"/>
  <c r="AM267" i="1"/>
  <c r="AW269" i="1"/>
  <c r="AN214" i="1"/>
  <c r="AW185" i="1"/>
  <c r="BY302" i="11"/>
  <c r="CV18" i="6"/>
  <c r="AL227" i="1"/>
  <c r="AR26" i="6"/>
  <c r="BI270" i="11"/>
  <c r="AH10" i="6"/>
  <c r="BR115" i="11"/>
  <c r="BK294" i="11"/>
  <c r="BT332" i="11"/>
  <c r="AN15" i="6"/>
  <c r="AM166" i="1"/>
  <c r="AL152" i="1"/>
  <c r="AM277" i="1"/>
  <c r="AL226" i="1"/>
  <c r="BD177" i="11"/>
  <c r="BG157" i="11"/>
  <c r="BJ22" i="11"/>
  <c r="BX298" i="11"/>
  <c r="BF224" i="11"/>
  <c r="BO49" i="11"/>
  <c r="BO278" i="11"/>
  <c r="AT146" i="1"/>
  <c r="AK256" i="1"/>
  <c r="AL125" i="1"/>
  <c r="AM214" i="1"/>
  <c r="AQ144" i="1"/>
  <c r="AS143" i="1"/>
  <c r="BF306" i="11"/>
  <c r="BG85" i="11"/>
  <c r="BE286" i="11"/>
  <c r="AN163" i="1"/>
  <c r="BM57" i="11"/>
  <c r="BU336" i="11"/>
  <c r="AU188" i="1"/>
  <c r="AL203" i="1"/>
  <c r="AU248" i="1"/>
  <c r="AM317" i="1"/>
  <c r="AK304" i="1"/>
  <c r="AN359" i="1"/>
  <c r="AK279" i="1"/>
  <c r="BL99" i="11"/>
  <c r="BT26" i="11"/>
  <c r="AJ24" i="6"/>
  <c r="AL31" i="6"/>
  <c r="AN125" i="1"/>
  <c r="AW228" i="1"/>
  <c r="AL195" i="1"/>
  <c r="AL197" i="1"/>
  <c r="BT312" i="11"/>
  <c r="AT171" i="1"/>
  <c r="AK237" i="1"/>
  <c r="AM234" i="1"/>
  <c r="AN309" i="1"/>
  <c r="BQ161" i="11"/>
  <c r="AL161" i="1"/>
  <c r="AT292" i="1"/>
  <c r="AM272" i="1"/>
  <c r="AP143" i="1"/>
  <c r="AK196" i="1"/>
  <c r="BN115" i="11"/>
  <c r="AP32" i="6"/>
  <c r="AV271" i="1"/>
  <c r="AO141" i="1"/>
  <c r="AM262" i="1"/>
  <c r="AN149" i="1"/>
  <c r="AK300" i="1"/>
  <c r="AS271" i="1"/>
  <c r="BV215" i="11"/>
  <c r="AN173" i="1"/>
  <c r="AL277" i="1"/>
  <c r="BN183" i="11"/>
  <c r="AK243" i="1"/>
  <c r="AK204" i="1"/>
  <c r="AL327" i="1"/>
  <c r="BU306" i="11"/>
  <c r="AK184" i="1"/>
  <c r="AM335" i="1"/>
  <c r="BK34" i="11"/>
  <c r="AO293" i="1"/>
  <c r="AL256" i="1"/>
  <c r="AT212" i="1"/>
  <c r="BK306" i="11"/>
  <c r="AM256" i="1"/>
  <c r="BN151" i="11"/>
  <c r="BV105" i="11"/>
  <c r="BI22" i="11"/>
  <c r="BM65" i="11"/>
  <c r="BO254" i="11"/>
  <c r="BD65" i="11"/>
  <c r="BE95" i="11"/>
  <c r="AM249" i="1"/>
  <c r="AS147" i="1"/>
  <c r="AO164" i="1"/>
  <c r="AL185" i="1"/>
  <c r="AU212" i="1"/>
  <c r="AU259" i="1"/>
  <c r="BW145" i="11"/>
  <c r="CR59" i="6"/>
  <c r="AK272" i="1"/>
  <c r="BY77" i="11"/>
  <c r="AV306" i="1"/>
  <c r="AS330" i="1"/>
  <c r="AL354" i="1"/>
  <c r="AL154" i="1"/>
  <c r="AJ65" i="1"/>
  <c r="AR293" i="1"/>
  <c r="AK316" i="1"/>
  <c r="BW131" i="11"/>
  <c r="BL290" i="11"/>
  <c r="AN205" i="1"/>
  <c r="AJ16" i="1"/>
  <c r="AK227" i="1"/>
  <c r="AO291" i="1"/>
  <c r="AK329" i="1"/>
  <c r="AL309" i="1"/>
  <c r="BO320" i="11"/>
  <c r="AM250" i="1"/>
  <c r="AI123" i="1"/>
  <c r="AM28" i="6"/>
  <c r="BJ91" i="11"/>
  <c r="AM203" i="1"/>
  <c r="AL328" i="1"/>
  <c r="AP192" i="1"/>
  <c r="AK25" i="6"/>
  <c r="AW161" i="1"/>
  <c r="AM213" i="1"/>
  <c r="AM167" i="1"/>
  <c r="AN262" i="1"/>
  <c r="AR203" i="1"/>
  <c r="AL257" i="1"/>
  <c r="BY49" i="11"/>
  <c r="AI135" i="1"/>
  <c r="AT228" i="1"/>
  <c r="AM273" i="1"/>
  <c r="BH161" i="11"/>
  <c r="AS212" i="1"/>
  <c r="AU185" i="1"/>
  <c r="AM210" i="1"/>
  <c r="AN145" i="1"/>
  <c r="BQ77" i="11"/>
  <c r="BK85" i="11"/>
  <c r="BW151" i="11"/>
  <c r="BL111" i="11"/>
  <c r="AK195" i="1"/>
  <c r="AM125" i="1"/>
  <c r="AL136" i="1"/>
  <c r="AR259" i="1"/>
  <c r="BT95" i="11"/>
  <c r="AL322" i="1"/>
  <c r="AK290" i="1"/>
  <c r="AK8" i="6"/>
  <c r="BQ45" i="11"/>
  <c r="BT49" i="11"/>
  <c r="AV161" i="1"/>
  <c r="AN150" i="1"/>
  <c r="AM150" i="1"/>
  <c r="AK307" i="1"/>
  <c r="AK293" i="1"/>
  <c r="BT65" i="11"/>
  <c r="AV331" i="1"/>
  <c r="AI33" i="6"/>
  <c r="AO146" i="1"/>
  <c r="AK205" i="1"/>
  <c r="BD115" i="11"/>
  <c r="AK208" i="1"/>
  <c r="AM204" i="1"/>
  <c r="BR306" i="11"/>
  <c r="AM169" i="1"/>
  <c r="BE248" i="11"/>
  <c r="AK306" i="1"/>
  <c r="BE115" i="11"/>
  <c r="BR324" i="11"/>
  <c r="AJ11" i="6"/>
  <c r="AT305" i="1"/>
  <c r="BG131" i="11"/>
  <c r="AM146" i="1"/>
  <c r="AQ291" i="1"/>
  <c r="AI356" i="1"/>
  <c r="AQ359" i="1"/>
  <c r="AR48" i="6"/>
  <c r="BD187" i="11"/>
  <c r="BK207" i="11"/>
  <c r="BG151" i="11"/>
  <c r="CU18" i="6"/>
  <c r="AM224" i="1"/>
  <c r="AM170" i="1"/>
  <c r="BR332" i="11"/>
  <c r="BV258" i="11"/>
  <c r="AR144" i="1"/>
  <c r="BT316" i="11"/>
  <c r="BF18" i="11"/>
  <c r="BM224" i="11"/>
  <c r="AI28" i="6"/>
  <c r="BQ111" i="11"/>
  <c r="AL287" i="1"/>
  <c r="AO171" i="1"/>
  <c r="BW53" i="11"/>
  <c r="BY95" i="11"/>
  <c r="CU47" i="6"/>
  <c r="AL163" i="1"/>
  <c r="AU291" i="1"/>
  <c r="BP34" i="11"/>
  <c r="BT169" i="11"/>
  <c r="AN232" i="1"/>
  <c r="AN57" i="6"/>
  <c r="BH336" i="11"/>
  <c r="AK182" i="1"/>
  <c r="AQ146" i="1"/>
  <c r="BS220" i="11"/>
  <c r="BT234" i="11"/>
  <c r="AL315" i="1"/>
  <c r="BY298" i="11"/>
  <c r="BT228" i="11"/>
  <c r="AQ330" i="1"/>
  <c r="AL279" i="1"/>
  <c r="BI316" i="11"/>
  <c r="BV65" i="11"/>
  <c r="AK336" i="1"/>
  <c r="AV213" i="1"/>
  <c r="AL148" i="1"/>
  <c r="AQ49" i="6"/>
  <c r="BS266" i="11"/>
  <c r="AM15" i="6"/>
  <c r="BO34" i="11"/>
  <c r="BG274" i="11"/>
  <c r="AW203" i="1"/>
  <c r="BS203" i="11"/>
  <c r="AK330" i="1"/>
  <c r="AL211" i="1"/>
  <c r="AN235" i="1"/>
  <c r="AU144" i="1"/>
  <c r="AS151" i="1"/>
  <c r="AM52" i="6"/>
  <c r="CR54" i="6"/>
  <c r="AP330" i="1"/>
  <c r="AU289" i="1"/>
  <c r="AL188" i="1"/>
  <c r="AN305" i="1"/>
  <c r="AN268" i="1"/>
  <c r="BF81" i="11"/>
  <c r="BE215" i="11"/>
  <c r="AW213" i="1"/>
  <c r="AM136" i="1"/>
  <c r="AM258" i="1"/>
  <c r="AM158" i="1"/>
  <c r="AM124" i="1"/>
  <c r="AQ248" i="1"/>
  <c r="CV9" i="6"/>
  <c r="BG65" i="11"/>
  <c r="AK351" i="1"/>
  <c r="AJ62" i="1"/>
  <c r="AR212" i="1"/>
  <c r="AT188" i="1"/>
  <c r="BS53" i="11"/>
  <c r="AI10" i="6"/>
  <c r="AP10" i="6"/>
  <c r="AV360" i="1"/>
  <c r="AT166" i="1"/>
  <c r="AW291" i="1"/>
  <c r="AN144" i="1"/>
  <c r="BG197" i="11"/>
  <c r="BV183" i="11"/>
  <c r="BT111" i="11"/>
  <c r="AN148" i="1"/>
  <c r="AL168" i="1"/>
  <c r="AL271" i="1"/>
  <c r="BR99" i="11"/>
  <c r="AN291" i="1"/>
  <c r="AL297" i="1"/>
  <c r="AL191" i="1"/>
  <c r="AW211" i="1"/>
  <c r="AW379" i="1"/>
  <c r="AO58" i="6"/>
  <c r="BO10" i="11"/>
  <c r="AN316" i="1"/>
  <c r="AM157" i="1"/>
  <c r="BL278" i="11"/>
  <c r="AK125" i="1"/>
  <c r="BV224" i="11"/>
  <c r="AS305" i="1"/>
  <c r="BU242" i="11"/>
  <c r="AM174" i="1"/>
  <c r="AR290" i="1"/>
  <c r="BN248" i="11"/>
  <c r="BD312" i="11"/>
  <c r="BP22" i="11"/>
  <c r="BR69" i="11"/>
  <c r="AP290" i="1"/>
  <c r="AR164" i="1"/>
  <c r="AR306" i="1"/>
  <c r="AK158" i="1"/>
  <c r="AP212" i="1"/>
  <c r="AV211" i="1"/>
  <c r="BF69" i="11"/>
  <c r="BK49" i="11"/>
  <c r="BM41" i="11"/>
  <c r="BS45" i="11"/>
  <c r="AP24" i="6"/>
  <c r="AO358" i="1"/>
  <c r="AM142" i="1"/>
  <c r="BS123" i="11"/>
  <c r="AM229" i="1"/>
  <c r="CU11" i="6"/>
  <c r="BH99" i="11"/>
  <c r="AM57" i="6"/>
  <c r="BK111" i="11"/>
  <c r="BP77" i="11"/>
  <c r="BV191" i="11"/>
  <c r="AT261" i="1"/>
  <c r="AO145" i="1"/>
  <c r="BO61" i="11"/>
  <c r="BP242" i="11"/>
  <c r="AL223" i="1"/>
  <c r="AW226" i="1"/>
  <c r="BF266" i="11"/>
  <c r="BF91" i="11"/>
  <c r="BD344" i="11"/>
  <c r="BV111" i="11"/>
  <c r="BR30" i="11"/>
  <c r="BU14" i="11"/>
  <c r="AS292" i="1"/>
  <c r="AN307" i="1"/>
  <c r="AR49" i="6"/>
  <c r="AU379" i="1"/>
  <c r="BM127" i="11"/>
  <c r="BY248" i="11"/>
  <c r="BT14" i="11"/>
  <c r="AW174" i="1"/>
  <c r="AN335" i="1"/>
  <c r="BD270" i="11"/>
  <c r="AO306" i="1"/>
  <c r="AK310" i="1"/>
  <c r="BS270" i="11"/>
  <c r="AK174" i="1"/>
  <c r="BX187" i="11"/>
  <c r="AM271" i="1"/>
  <c r="BE157" i="11"/>
  <c r="BM228" i="11"/>
  <c r="AL269" i="1"/>
  <c r="AL358" i="1"/>
  <c r="BX197" i="11"/>
  <c r="BG328" i="11"/>
  <c r="CS18" i="6"/>
  <c r="BR141" i="11"/>
  <c r="AK150" i="1"/>
  <c r="BM105" i="11"/>
  <c r="AH36" i="6"/>
  <c r="BI332" i="11"/>
  <c r="AT164" i="1"/>
  <c r="AN360" i="1"/>
  <c r="AK297" i="1"/>
  <c r="AM353" i="1"/>
  <c r="AQ290" i="1"/>
  <c r="AL360" i="1"/>
  <c r="BV127" i="11"/>
  <c r="AO203" i="1"/>
  <c r="AM205" i="1"/>
  <c r="AT259" i="1"/>
  <c r="AK124" i="1"/>
  <c r="BR137" i="11"/>
  <c r="BX65" i="11"/>
  <c r="BP278" i="11"/>
  <c r="AL299" i="1"/>
  <c r="AK212" i="1"/>
  <c r="AT360" i="1"/>
  <c r="BG324" i="11"/>
  <c r="BW49" i="11"/>
  <c r="AM227" i="1"/>
  <c r="BJ99" i="11"/>
  <c r="BQ14" i="11"/>
  <c r="AN193" i="1"/>
  <c r="BV207" i="11"/>
  <c r="AG52" i="6"/>
  <c r="AL329" i="1"/>
  <c r="AJ66" i="1"/>
  <c r="BN266" i="11"/>
  <c r="AK238" i="1"/>
  <c r="BT30" i="11"/>
  <c r="BI294" i="11"/>
  <c r="BD151" i="11"/>
  <c r="AK259" i="1"/>
  <c r="AL300" i="1"/>
  <c r="BR270" i="11"/>
  <c r="AL169" i="1"/>
  <c r="BF151" i="11"/>
  <c r="CT31" i="6"/>
  <c r="BV161" i="11"/>
  <c r="BI95" i="11"/>
  <c r="AH9" i="6"/>
  <c r="AM212" i="1"/>
  <c r="BY336" i="11"/>
  <c r="BT290" i="11"/>
  <c r="BF258" i="11"/>
  <c r="BM69" i="11"/>
  <c r="BJ95" i="11"/>
  <c r="BF141" i="11"/>
  <c r="AM207" i="1"/>
  <c r="AU360" i="1"/>
  <c r="AK157" i="1"/>
  <c r="AK160" i="1"/>
  <c r="AR15" i="6"/>
  <c r="AK151" i="1"/>
  <c r="BW22" i="11"/>
  <c r="CR9" i="6"/>
  <c r="AQ59" i="6"/>
  <c r="BI312" i="11"/>
  <c r="BI26" i="11"/>
  <c r="AN28" i="6"/>
  <c r="AT269" i="1"/>
  <c r="AK386" i="1"/>
  <c r="AU203" i="1"/>
  <c r="BR187" i="11"/>
  <c r="BO169" i="11"/>
  <c r="AT151" i="1"/>
  <c r="AN357" i="1"/>
  <c r="AV290" i="1"/>
  <c r="AL234" i="1"/>
  <c r="AM260" i="1"/>
  <c r="AU155" i="1"/>
  <c r="AT306" i="1"/>
  <c r="BO187" i="11"/>
  <c r="BO99" i="11"/>
  <c r="AL176" i="1"/>
  <c r="AU171" i="1"/>
  <c r="BD183" i="11"/>
  <c r="BL131" i="11"/>
  <c r="AK122" i="1"/>
  <c r="BM99" i="11"/>
  <c r="BF312" i="11"/>
  <c r="BQ145" i="11"/>
  <c r="BG282" i="11"/>
  <c r="AK289" i="1"/>
  <c r="BV234" i="11"/>
  <c r="AM245" i="1"/>
  <c r="BP131" i="11"/>
  <c r="BP81" i="11"/>
  <c r="AL28" i="6"/>
  <c r="AM259" i="1"/>
  <c r="AP145" i="1"/>
  <c r="AL216" i="1"/>
  <c r="BW161" i="11"/>
  <c r="BY294" i="11"/>
  <c r="AI57" i="6"/>
  <c r="BU282" i="11"/>
  <c r="AW188" i="1"/>
  <c r="BG187" i="11"/>
  <c r="AJ14" i="6"/>
  <c r="AN215" i="1"/>
  <c r="BR77" i="11"/>
  <c r="AT206" i="1"/>
  <c r="AN14" i="6"/>
  <c r="CV54" i="6"/>
  <c r="AW359" i="1"/>
  <c r="BR45" i="11"/>
  <c r="BN274" i="11"/>
  <c r="AS206" i="1"/>
  <c r="AM352" i="1"/>
  <c r="AL353" i="1"/>
  <c r="AN259" i="1"/>
  <c r="AM24" i="6"/>
  <c r="AJ74" i="1"/>
  <c r="BJ81" i="11"/>
  <c r="BT254" i="11"/>
  <c r="BT270" i="11"/>
  <c r="BN41" i="11"/>
  <c r="AN204" i="1"/>
  <c r="BF254" i="11"/>
  <c r="AL124" i="1"/>
  <c r="CT47" i="6"/>
  <c r="BJ302" i="11"/>
  <c r="BQ157" i="11"/>
  <c r="AN326" i="1"/>
  <c r="BG105" i="11"/>
  <c r="BP177" i="11"/>
  <c r="BG238" i="11"/>
  <c r="BU220" i="11"/>
  <c r="AQ48" i="6"/>
  <c r="AO152" i="1"/>
  <c r="AK144" i="1"/>
  <c r="BK328" i="11"/>
  <c r="BO197" i="11"/>
  <c r="BO111" i="11"/>
  <c r="BX85" i="11"/>
  <c r="BQ197" i="11"/>
  <c r="BD336" i="11"/>
  <c r="BP266" i="11"/>
  <c r="BX266" i="11"/>
  <c r="BH57" i="11"/>
  <c r="BG127" i="11"/>
  <c r="BT99" i="11"/>
  <c r="BK332" i="11"/>
  <c r="CU28" i="6"/>
  <c r="BL215" i="11"/>
  <c r="BO91" i="11"/>
  <c r="BX95" i="11"/>
  <c r="AM31" i="6"/>
  <c r="BF45" i="11"/>
  <c r="CT7" i="6"/>
  <c r="BD324" i="11"/>
  <c r="AK276" i="1"/>
  <c r="AU145" i="1"/>
  <c r="BG26" i="11"/>
  <c r="CV27" i="6"/>
  <c r="AP211" i="1"/>
  <c r="BM254" i="11"/>
  <c r="BJ105" i="11"/>
  <c r="AL35" i="6"/>
  <c r="BW173" i="11"/>
  <c r="AU256" i="1"/>
  <c r="BH312" i="11"/>
  <c r="AM16" i="6"/>
  <c r="AL159" i="1"/>
  <c r="AL212" i="1"/>
  <c r="AQ6" i="6"/>
  <c r="BR215" i="11"/>
  <c r="BP91" i="11"/>
  <c r="BO248" i="11"/>
  <c r="AL304" i="1"/>
  <c r="CS15" i="6"/>
  <c r="BV282" i="11"/>
  <c r="AP160" i="1"/>
  <c r="AI35" i="6"/>
  <c r="AQ10" i="6"/>
  <c r="AK7" i="6"/>
  <c r="AM219" i="1"/>
  <c r="BN157" i="11"/>
  <c r="AL379" i="1"/>
  <c r="AN324" i="1"/>
  <c r="BH95" i="11"/>
  <c r="BQ324" i="11"/>
  <c r="AP188" i="1"/>
  <c r="AQ244" i="1"/>
  <c r="BO161" i="11"/>
  <c r="AU164" i="1"/>
  <c r="AW144" i="1"/>
  <c r="BH238" i="11"/>
  <c r="CW64" i="6"/>
  <c r="AM237" i="1"/>
  <c r="AW360" i="1"/>
  <c r="AN304" i="1"/>
  <c r="AK183" i="1"/>
  <c r="AQ151" i="1"/>
  <c r="AU151" i="1"/>
  <c r="BP282" i="11"/>
  <c r="AN245" i="1"/>
  <c r="AL324" i="1"/>
  <c r="AK326" i="1"/>
  <c r="AS144" i="1"/>
  <c r="AV292" i="1"/>
  <c r="BQ274" i="11"/>
  <c r="AN210" i="1"/>
  <c r="BJ177" i="11"/>
  <c r="AM270" i="1"/>
  <c r="AT141" i="1"/>
  <c r="AK147" i="1"/>
  <c r="BM77" i="11"/>
  <c r="BE324" i="11"/>
  <c r="BD105" i="11"/>
  <c r="AK194" i="1"/>
  <c r="BG228" i="11"/>
  <c r="AK146" i="1"/>
  <c r="AS259" i="1"/>
  <c r="CR49" i="6"/>
  <c r="BY91" i="11"/>
  <c r="BQ151" i="11"/>
  <c r="AM176" i="1"/>
  <c r="AM355" i="1"/>
  <c r="AM308" i="1"/>
  <c r="BO53" i="11"/>
  <c r="BP298" i="11"/>
  <c r="BH177" i="11"/>
  <c r="AQ31" i="6"/>
  <c r="AO215" i="1"/>
  <c r="AJ8" i="6"/>
  <c r="BG234" i="11"/>
  <c r="AN142" i="1"/>
  <c r="BY254" i="11"/>
  <c r="BE151" i="11"/>
  <c r="BT207" i="11"/>
  <c r="BW254" i="11"/>
  <c r="BG298" i="11"/>
  <c r="AN317" i="1"/>
  <c r="AQ152" i="1"/>
  <c r="AJ69" i="1"/>
  <c r="BL266" i="11"/>
  <c r="AM152" i="1"/>
  <c r="AN279" i="1"/>
  <c r="BN320" i="11"/>
  <c r="AP203" i="1"/>
  <c r="AN260" i="1"/>
  <c r="BW81" i="11"/>
  <c r="BW234" i="11"/>
  <c r="BI306" i="11"/>
  <c r="AR289" i="1"/>
  <c r="AJ58" i="6"/>
  <c r="BS161" i="11"/>
  <c r="BV254" i="11"/>
  <c r="BH169" i="11"/>
  <c r="AL158" i="1"/>
  <c r="BR123" i="11"/>
  <c r="BF41" i="11"/>
  <c r="BT298" i="11"/>
  <c r="AO168" i="1"/>
  <c r="BR282" i="11"/>
  <c r="AK59" i="6"/>
  <c r="AN228" i="1"/>
  <c r="BJ278" i="11"/>
  <c r="BM238" i="11"/>
  <c r="BR258" i="11"/>
  <c r="CR14" i="6"/>
  <c r="BF197" i="11"/>
  <c r="BO41" i="11"/>
  <c r="BV26" i="11"/>
  <c r="BQ298" i="11"/>
  <c r="AM316" i="1"/>
  <c r="AQ58" i="6"/>
  <c r="AO52" i="6"/>
  <c r="BV41" i="11"/>
  <c r="BH123" i="11"/>
  <c r="BG191" i="11"/>
  <c r="BJ137" i="11"/>
  <c r="AO31" i="6"/>
  <c r="BY320" i="11"/>
  <c r="AK169" i="1"/>
  <c r="CR25" i="6"/>
  <c r="AL11" i="6"/>
  <c r="AP57" i="6"/>
  <c r="AL153" i="1"/>
  <c r="BN234" i="11"/>
  <c r="BN294" i="11"/>
  <c r="BX220" i="11"/>
  <c r="AK383" i="1"/>
  <c r="AM304" i="1"/>
  <c r="AK357" i="1"/>
  <c r="AN281" i="1"/>
  <c r="AO10" i="6"/>
  <c r="AI137" i="1"/>
  <c r="AL298" i="1"/>
  <c r="AR33" i="6"/>
  <c r="AP248" i="1"/>
  <c r="AN310" i="1"/>
  <c r="BW177" i="11"/>
  <c r="AO192" i="1"/>
  <c r="AR166" i="1"/>
  <c r="BU34" i="11"/>
  <c r="BS169" i="11"/>
  <c r="AL143" i="1"/>
  <c r="AW292" i="1"/>
  <c r="AL140" i="1"/>
  <c r="BV85" i="11"/>
  <c r="AL184" i="1"/>
  <c r="AT271" i="1"/>
  <c r="AS379" i="1"/>
  <c r="AJ26" i="1"/>
  <c r="AU147" i="1"/>
  <c r="BK312" i="11"/>
  <c r="AR360" i="1"/>
  <c r="AK187" i="1"/>
  <c r="AS215" i="1"/>
  <c r="AQ306" i="1"/>
  <c r="BD91" i="11"/>
  <c r="AK359" i="1"/>
  <c r="BI234" i="11"/>
  <c r="BD157" i="11"/>
  <c r="BD224" i="11"/>
  <c r="AJ70" i="1"/>
  <c r="AT330" i="1"/>
  <c r="BO105" i="11"/>
  <c r="AM337" i="1"/>
  <c r="BT191" i="11"/>
  <c r="BX248" i="11"/>
  <c r="AS166" i="1"/>
  <c r="AP141" i="1"/>
  <c r="BE34" i="11"/>
  <c r="AJ16" i="6"/>
  <c r="AN209" i="1"/>
  <c r="CU34" i="6"/>
  <c r="BS344" i="11"/>
  <c r="AR146" i="1"/>
  <c r="BW30" i="11"/>
  <c r="BL191" i="11"/>
  <c r="BI61" i="11"/>
  <c r="BD169" i="11"/>
  <c r="BJ157" i="11"/>
  <c r="BE278" i="11"/>
  <c r="BH45" i="11"/>
  <c r="AL134" i="1"/>
  <c r="BL61" i="11"/>
  <c r="AK287" i="1"/>
  <c r="AL233" i="1"/>
  <c r="AN351" i="1"/>
  <c r="AU358" i="1"/>
  <c r="AM226" i="1"/>
  <c r="BU320" i="11"/>
  <c r="AN276" i="1"/>
  <c r="AM151" i="1"/>
  <c r="BR34" i="11"/>
  <c r="BE105" i="11"/>
  <c r="BT141" i="11"/>
  <c r="BK141" i="11"/>
  <c r="AK34" i="6"/>
  <c r="BR131" i="11"/>
  <c r="AL262" i="1"/>
  <c r="AJ28" i="6"/>
  <c r="AO359" i="1"/>
  <c r="AS359" i="1"/>
  <c r="BW286" i="11"/>
  <c r="AK334" i="1"/>
  <c r="BY290" i="11"/>
  <c r="AL14" i="6"/>
  <c r="BO127" i="11"/>
  <c r="AJ71" i="1"/>
  <c r="AM208" i="1"/>
  <c r="BW191" i="11"/>
  <c r="CV7" i="6"/>
  <c r="AO48" i="6"/>
  <c r="AO35" i="6"/>
  <c r="CT57" i="6"/>
  <c r="AL48" i="6"/>
  <c r="BN228" i="11"/>
  <c r="AP360" i="1"/>
  <c r="CR17" i="6"/>
  <c r="BG344" i="11"/>
  <c r="BR151" i="11"/>
  <c r="AP9" i="6"/>
  <c r="BW242" i="11"/>
  <c r="BM151" i="11"/>
  <c r="BL187" i="11"/>
  <c r="BM131" i="11"/>
  <c r="BE224" i="11"/>
  <c r="BS282" i="11"/>
  <c r="BL10" i="11"/>
  <c r="AO26" i="6"/>
  <c r="AU166" i="1"/>
  <c r="BH10" i="11"/>
  <c r="BK26" i="11"/>
  <c r="BN340" i="11"/>
  <c r="AN206" i="1"/>
  <c r="BK137" i="11"/>
  <c r="CU7" i="6"/>
  <c r="BO57" i="11"/>
  <c r="BX294" i="11"/>
  <c r="AK17" i="6"/>
  <c r="BY10" i="11"/>
  <c r="BY69" i="11"/>
  <c r="AT255" i="1"/>
  <c r="AT144" i="1"/>
  <c r="BT324" i="11"/>
  <c r="BP141" i="11"/>
  <c r="BK177" i="11"/>
  <c r="AM26" i="6"/>
  <c r="AI357" i="1"/>
  <c r="BO286" i="11"/>
  <c r="BY169" i="11"/>
  <c r="AK159" i="1"/>
  <c r="BE85" i="11"/>
  <c r="BP115" i="11"/>
  <c r="AM292" i="1"/>
  <c r="AT168" i="1"/>
  <c r="BH286" i="11"/>
  <c r="CR34" i="6"/>
  <c r="AM329" i="1"/>
  <c r="AS360" i="1"/>
  <c r="AN141" i="1"/>
  <c r="AT248" i="1"/>
  <c r="AN157" i="1"/>
  <c r="BI336" i="11"/>
  <c r="AO212" i="1"/>
  <c r="AT222" i="1"/>
  <c r="AN271" i="1"/>
  <c r="BI220" i="11"/>
  <c r="AK215" i="1"/>
  <c r="BY41" i="11"/>
  <c r="AN191" i="1"/>
  <c r="BJ215" i="11"/>
  <c r="BY203" i="11"/>
  <c r="AN332" i="1"/>
  <c r="AM333" i="1"/>
  <c r="AU331" i="1"/>
  <c r="AR171" i="1"/>
  <c r="AO289" i="1"/>
  <c r="AR10" i="6"/>
  <c r="AN155" i="1"/>
  <c r="AV164" i="1"/>
  <c r="AK381" i="1"/>
  <c r="BQ248" i="11"/>
  <c r="BJ328" i="11"/>
  <c r="CW58" i="6"/>
  <c r="BL203" i="11"/>
  <c r="AK149" i="1"/>
  <c r="AQ261" i="1"/>
  <c r="AL190" i="1"/>
  <c r="AJ18" i="6"/>
  <c r="AS203" i="1"/>
  <c r="AH14" i="6"/>
  <c r="AU192" i="1"/>
  <c r="AK335" i="1"/>
  <c r="BE316" i="11"/>
  <c r="AT215" i="1"/>
  <c r="AL171" i="1"/>
  <c r="CU27" i="6"/>
  <c r="BS238" i="11"/>
  <c r="AR28" i="6"/>
  <c r="AK233" i="1"/>
  <c r="BG61" i="11"/>
  <c r="AP18" i="6"/>
  <c r="AP164" i="1"/>
  <c r="AW290" i="1"/>
  <c r="AN165" i="1"/>
  <c r="BF238" i="11"/>
  <c r="AM286" i="1"/>
  <c r="AO331" i="1"/>
  <c r="BF10" i="11"/>
  <c r="AR358" i="1"/>
  <c r="AK210" i="1"/>
  <c r="BP173" i="11"/>
  <c r="AN196" i="1"/>
  <c r="BW278" i="11"/>
  <c r="BW69" i="11"/>
  <c r="AL224" i="1"/>
  <c r="AK317" i="1"/>
  <c r="BD238" i="11"/>
  <c r="BU302" i="11"/>
  <c r="BW115" i="11"/>
  <c r="AQ255" i="1"/>
  <c r="BJ115" i="11"/>
  <c r="AH26" i="6"/>
  <c r="BT187" i="11"/>
  <c r="CW9" i="6"/>
  <c r="BJ77" i="11"/>
  <c r="BN161" i="11"/>
  <c r="BH302" i="11"/>
  <c r="BV169" i="11"/>
  <c r="BI53" i="11"/>
  <c r="BS191" i="11"/>
  <c r="AP36" i="6"/>
  <c r="AL144" i="1"/>
  <c r="AN303" i="1"/>
  <c r="AR25" i="6"/>
  <c r="BL282" i="11"/>
  <c r="CU9" i="6"/>
  <c r="AG47" i="6"/>
  <c r="BU177" i="11"/>
  <c r="BO282" i="11"/>
  <c r="BW169" i="11"/>
  <c r="AM327" i="1"/>
  <c r="BH278" i="11"/>
  <c r="BK22" i="11"/>
  <c r="BY131" i="11"/>
  <c r="BJ282" i="11"/>
  <c r="AN277" i="1"/>
  <c r="BY242" i="11"/>
  <c r="AL305" i="1"/>
  <c r="AJ53" i="6"/>
  <c r="AU271" i="1"/>
  <c r="BN14" i="11"/>
  <c r="BU294" i="11"/>
  <c r="BW294" i="11"/>
  <c r="AU305" i="1"/>
  <c r="BF191" i="11"/>
  <c r="BU324" i="11"/>
  <c r="AL10" i="6"/>
  <c r="AN333" i="1"/>
  <c r="AP256" i="1"/>
  <c r="BG248" i="11"/>
  <c r="BX286" i="11"/>
  <c r="BF157" i="11"/>
  <c r="AK35" i="6"/>
  <c r="BL340" i="11"/>
  <c r="BU141" i="11"/>
  <c r="BO336" i="11"/>
  <c r="AR151" i="1"/>
  <c r="AU213" i="1"/>
  <c r="BP344" i="11"/>
  <c r="AN194" i="1"/>
  <c r="BV123" i="11"/>
  <c r="AP269" i="1"/>
  <c r="BS127" i="11"/>
  <c r="AK189" i="1"/>
  <c r="AN290" i="1"/>
  <c r="BG45" i="11"/>
  <c r="AK140" i="1"/>
  <c r="AV244" i="1"/>
  <c r="AL273" i="1"/>
  <c r="BN111" i="11"/>
  <c r="AM323" i="1"/>
  <c r="AQ171" i="1"/>
  <c r="AN224" i="1"/>
  <c r="BD328" i="11"/>
  <c r="AK36" i="6"/>
  <c r="AK216" i="1"/>
  <c r="AL332" i="1"/>
  <c r="BI187" i="11"/>
  <c r="AQ206" i="1"/>
  <c r="BF294" i="11"/>
  <c r="AR213" i="1"/>
  <c r="AL331" i="1"/>
  <c r="AL156" i="1"/>
  <c r="AO160" i="1"/>
  <c r="BM183" i="11"/>
  <c r="AJ17" i="6"/>
  <c r="AP25" i="6"/>
  <c r="BK161" i="11"/>
  <c r="AK207" i="1"/>
  <c r="AN217" i="1"/>
  <c r="BH14" i="11"/>
  <c r="BR169" i="11"/>
  <c r="CU6" i="6"/>
  <c r="BV203" i="11"/>
  <c r="BT266" i="11"/>
  <c r="BV278" i="11"/>
  <c r="AH24" i="6"/>
  <c r="AN172" i="1"/>
  <c r="AO228" i="1"/>
  <c r="AL151" i="1"/>
  <c r="BQ85" i="11"/>
  <c r="AN175" i="1"/>
  <c r="AL326" i="1"/>
  <c r="BE306" i="11"/>
  <c r="BQ266" i="11"/>
  <c r="AL182" i="1"/>
  <c r="AR291" i="1"/>
  <c r="AM163" i="1"/>
  <c r="AN203" i="1"/>
  <c r="AK382" i="1"/>
  <c r="BH298" i="11"/>
  <c r="BN26" i="11"/>
  <c r="AJ29" i="1"/>
  <c r="AM244" i="1"/>
  <c r="BD215" i="11"/>
  <c r="AM269" i="1"/>
  <c r="AL288" i="1"/>
  <c r="AK324" i="1"/>
  <c r="AV256" i="1"/>
  <c r="AN212" i="1"/>
  <c r="BW203" i="11"/>
  <c r="AN140" i="1"/>
  <c r="AJ36" i="1"/>
  <c r="AN299" i="1"/>
  <c r="AI49" i="6"/>
  <c r="AK248" i="1"/>
  <c r="AK10" i="6"/>
  <c r="BD53" i="11"/>
  <c r="AM25" i="6"/>
  <c r="AT244" i="1"/>
  <c r="BO215" i="11"/>
  <c r="AW147" i="1"/>
  <c r="BT18" i="11"/>
  <c r="BO312" i="11"/>
  <c r="BU69" i="11"/>
  <c r="AG24" i="6"/>
  <c r="AR185" i="1"/>
  <c r="AK353" i="1"/>
  <c r="BU187" i="11"/>
  <c r="AP53" i="6"/>
  <c r="BW282" i="11"/>
  <c r="BY45" i="11"/>
  <c r="BS141" i="11"/>
  <c r="AM165" i="1"/>
  <c r="BG266" i="11"/>
  <c r="AO206" i="1"/>
  <c r="BM10" i="11"/>
  <c r="AS155" i="1"/>
  <c r="BE177" i="11"/>
  <c r="BJ45" i="11"/>
  <c r="AP27" i="6"/>
  <c r="AP174" i="1"/>
  <c r="BI137" i="11"/>
  <c r="BW10" i="11"/>
  <c r="AN158" i="1"/>
  <c r="AK323" i="1"/>
  <c r="BR316" i="11"/>
  <c r="AL196" i="1"/>
  <c r="AN298" i="1"/>
  <c r="BM328" i="11"/>
  <c r="BN224" i="11"/>
  <c r="BL344" i="11"/>
  <c r="BO30" i="11"/>
  <c r="BQ316" i="11"/>
  <c r="BX127" i="11"/>
  <c r="AP271" i="1"/>
  <c r="BU203" i="11"/>
  <c r="BJ340" i="11"/>
  <c r="BI14" i="11"/>
  <c r="BF336" i="11"/>
  <c r="AV358" i="1"/>
  <c r="BX344" i="11"/>
  <c r="AK291" i="1"/>
  <c r="AN218" i="1"/>
  <c r="BD85" i="11"/>
  <c r="BY105" i="11"/>
  <c r="BM197" i="11"/>
  <c r="BU123" i="11"/>
  <c r="BI238" i="11"/>
  <c r="BV286" i="11"/>
  <c r="BW45" i="11"/>
  <c r="BT344" i="11"/>
  <c r="AP215" i="1"/>
  <c r="BX157" i="11"/>
  <c r="AO59" i="6"/>
  <c r="AK226" i="1"/>
  <c r="BH49" i="11"/>
  <c r="BP332" i="11"/>
  <c r="CT10" i="6"/>
  <c r="BY123" i="11"/>
  <c r="AK380" i="1"/>
  <c r="BI18" i="11"/>
  <c r="AM315" i="1"/>
  <c r="AQ166" i="1"/>
  <c r="AR155" i="1"/>
  <c r="AJ48" i="6"/>
  <c r="CV24" i="6"/>
  <c r="BN131" i="11"/>
  <c r="AK136" i="1"/>
  <c r="BP105" i="11"/>
  <c r="AS228" i="1"/>
  <c r="AH18" i="6"/>
  <c r="BK336" i="11"/>
  <c r="BQ34" i="11"/>
  <c r="AV212" i="1"/>
  <c r="AK260" i="1"/>
  <c r="AP152" i="1"/>
  <c r="AK303" i="1"/>
  <c r="BI274" i="11"/>
  <c r="AN208" i="1"/>
  <c r="AU255" i="1"/>
  <c r="AV248" i="1"/>
  <c r="AN192" i="1"/>
  <c r="AN243" i="1"/>
  <c r="AJ49" i="6"/>
  <c r="AU146" i="1"/>
  <c r="AL235" i="1"/>
  <c r="BQ95" i="11"/>
  <c r="AJ31" i="6"/>
  <c r="AS171" i="1"/>
  <c r="AK292" i="1"/>
  <c r="BS278" i="11"/>
  <c r="BR65" i="11"/>
  <c r="AW171" i="1"/>
  <c r="AK228" i="1"/>
  <c r="BS95" i="11"/>
  <c r="BU137" i="11"/>
  <c r="AM171" i="1"/>
  <c r="BP340" i="11"/>
  <c r="BP197" i="11"/>
  <c r="AH49" i="6"/>
  <c r="AM53" i="6"/>
  <c r="AH33" i="6"/>
  <c r="AL135" i="1"/>
  <c r="AM35" i="6"/>
  <c r="AM222" i="1"/>
  <c r="BX77" i="11"/>
  <c r="AL183" i="1"/>
  <c r="AL237" i="1"/>
  <c r="AL174" i="1"/>
  <c r="AP6" i="6"/>
  <c r="BJ294" i="11"/>
  <c r="AK320" i="1"/>
  <c r="AO15" i="6"/>
  <c r="BL197" i="11"/>
  <c r="BD258" i="11"/>
  <c r="AV155" i="1"/>
  <c r="BM316" i="11"/>
  <c r="BD137" i="11"/>
  <c r="BS336" i="11"/>
  <c r="BD316" i="11"/>
  <c r="AT290" i="1"/>
  <c r="AL36" i="6"/>
  <c r="AK16" i="6"/>
  <c r="BG220" i="11"/>
  <c r="CW18" i="6"/>
  <c r="AK172" i="1"/>
  <c r="CW33" i="6"/>
  <c r="AM9" i="6"/>
  <c r="BS91" i="11"/>
  <c r="AP228" i="1"/>
  <c r="AK137" i="1"/>
  <c r="CS7" i="6"/>
  <c r="BR254" i="11"/>
  <c r="BK57" i="11"/>
  <c r="AQ256" i="1"/>
  <c r="BS286" i="11"/>
  <c r="CW24" i="6"/>
  <c r="BQ61" i="11"/>
  <c r="AJ72" i="1"/>
  <c r="AH35" i="6"/>
  <c r="AP168" i="1"/>
  <c r="AM162" i="1"/>
  <c r="AO188" i="1"/>
  <c r="BM340" i="11"/>
  <c r="BO344" i="11"/>
  <c r="AM356" i="1"/>
  <c r="CS16" i="6"/>
  <c r="AK186" i="1"/>
  <c r="BQ294" i="11"/>
  <c r="AK214" i="1"/>
  <c r="AG33" i="6"/>
  <c r="AL52" i="6"/>
  <c r="AM238" i="1"/>
  <c r="AS174" i="1"/>
  <c r="BD234" i="11"/>
  <c r="AK268" i="1"/>
  <c r="AS192" i="1"/>
  <c r="BV274" i="11"/>
  <c r="CT6" i="6"/>
  <c r="AN327" i="1"/>
  <c r="AL291" i="1"/>
  <c r="BG258" i="11"/>
  <c r="AL122" i="1"/>
  <c r="AU152" i="1"/>
  <c r="AL194" i="1"/>
  <c r="AS358" i="1"/>
  <c r="BD26" i="11"/>
  <c r="BV248" i="11"/>
  <c r="BL234" i="11"/>
  <c r="CU14" i="6"/>
  <c r="BV99" i="11"/>
  <c r="AN292" i="1"/>
  <c r="AK219" i="1"/>
  <c r="AN336" i="1"/>
  <c r="AR59" i="6"/>
  <c r="BI69" i="11"/>
  <c r="AL281" i="1"/>
  <c r="BY278" i="11"/>
  <c r="BX312" i="11"/>
  <c r="AM188" i="1"/>
  <c r="AN213" i="1"/>
  <c r="CS47" i="6"/>
  <c r="BQ320" i="11"/>
  <c r="AN269" i="1"/>
  <c r="AM282" i="1"/>
  <c r="AQ211" i="1"/>
  <c r="BV141" i="11"/>
  <c r="AK302" i="1"/>
  <c r="AJ33" i="6"/>
  <c r="AU175" i="1"/>
  <c r="BM123" i="11"/>
  <c r="AO14" i="6"/>
  <c r="BO224" i="11"/>
  <c r="BG340" i="11"/>
  <c r="AK247" i="1"/>
  <c r="BV187" i="11"/>
  <c r="AW160" i="1"/>
  <c r="AK211" i="1"/>
  <c r="BX10" i="11"/>
  <c r="AR206" i="1"/>
  <c r="AN287" i="1"/>
  <c r="CU15" i="6"/>
  <c r="AL147" i="1"/>
  <c r="BR207" i="11"/>
  <c r="AP49" i="6"/>
  <c r="CV35" i="6"/>
  <c r="AK142" i="1"/>
  <c r="BU270" i="11"/>
  <c r="BM187" i="11"/>
  <c r="BS248" i="11"/>
  <c r="BP10" i="11"/>
  <c r="AK53" i="6"/>
  <c r="CV64" i="6"/>
  <c r="BU312" i="11"/>
  <c r="BY57" i="11"/>
  <c r="BV173" i="11"/>
  <c r="AK153" i="1"/>
  <c r="AN186" i="1"/>
  <c r="BT248" i="11"/>
  <c r="BH22" i="11"/>
  <c r="AL355" i="1"/>
  <c r="BP137" i="11"/>
  <c r="BO18" i="11"/>
  <c r="BG332" i="11"/>
  <c r="AR53" i="6"/>
  <c r="BM203" i="11"/>
  <c r="BH137" i="11"/>
  <c r="AN171" i="1"/>
  <c r="AP15" i="6"/>
  <c r="BD282" i="11"/>
  <c r="AL247" i="1"/>
  <c r="AW305" i="1"/>
  <c r="BV332" i="11"/>
  <c r="AS164" i="1"/>
  <c r="AM143" i="1"/>
  <c r="AL316" i="1"/>
  <c r="CW34" i="6"/>
  <c r="AV166" i="1"/>
  <c r="BO298" i="11"/>
  <c r="CS14" i="6"/>
  <c r="AL145" i="1"/>
  <c r="BH85" i="11"/>
  <c r="BN187" i="11"/>
  <c r="BM18" i="11"/>
  <c r="CW32" i="6"/>
  <c r="AN58" i="6"/>
  <c r="CT36" i="6"/>
  <c r="AW261" i="1"/>
  <c r="BN85" i="11"/>
  <c r="BQ81" i="11"/>
  <c r="BN91" i="11"/>
  <c r="BE344" i="11"/>
  <c r="AR141" i="1"/>
  <c r="AL146" i="1"/>
  <c r="AL123" i="1"/>
  <c r="BY191" i="11"/>
  <c r="BK234" i="11"/>
  <c r="AM255" i="1"/>
  <c r="BO22" i="11"/>
  <c r="CR36" i="6"/>
  <c r="AM191" i="1"/>
  <c r="BS234" i="11"/>
  <c r="AJ57" i="6"/>
  <c r="AN238" i="1"/>
  <c r="AV261" i="1"/>
  <c r="BG215" i="11"/>
  <c r="BD248" i="11"/>
  <c r="AQ53" i="6"/>
  <c r="AK156" i="1"/>
  <c r="BJ127" i="11"/>
  <c r="BV228" i="11"/>
  <c r="BS187" i="11"/>
  <c r="BV77" i="11"/>
  <c r="BN302" i="11"/>
  <c r="AT289" i="1"/>
  <c r="BE298" i="11"/>
  <c r="BG286" i="11"/>
  <c r="BH228" i="11"/>
  <c r="AM54" i="6"/>
  <c r="AQ161" i="1"/>
  <c r="BV336" i="11"/>
  <c r="BH131" i="11"/>
  <c r="BL302" i="11"/>
  <c r="AR160" i="1"/>
  <c r="BM258" i="11"/>
  <c r="BK95" i="11"/>
  <c r="BM207" i="11"/>
  <c r="BS131" i="11"/>
  <c r="BR228" i="11"/>
  <c r="BP228" i="11"/>
  <c r="AM48" i="6"/>
  <c r="AP59" i="6"/>
  <c r="AR11" i="6"/>
  <c r="AO18" i="6"/>
  <c r="BW238" i="11"/>
  <c r="BS215" i="11"/>
  <c r="BS157" i="11"/>
  <c r="AI54" i="6"/>
  <c r="AK288" i="1"/>
  <c r="BR61" i="11"/>
  <c r="AK145" i="1"/>
  <c r="BE328" i="11"/>
  <c r="AJ15" i="6"/>
  <c r="BQ65" i="11"/>
  <c r="AO33" i="6"/>
  <c r="AP54" i="6"/>
  <c r="BT69" i="11"/>
  <c r="BL320" i="11"/>
  <c r="AQ57" i="6"/>
  <c r="BL137" i="11"/>
  <c r="BT294" i="11"/>
  <c r="AI9" i="6"/>
  <c r="BI99" i="11"/>
  <c r="BP95" i="11"/>
  <c r="AH57" i="6"/>
  <c r="BY61" i="11"/>
  <c r="AL175" i="1"/>
  <c r="BL85" i="11"/>
  <c r="AK54" i="6"/>
  <c r="AR7" i="6"/>
  <c r="BD332" i="11"/>
  <c r="BR49" i="11"/>
  <c r="AQ360" i="1"/>
  <c r="AH32" i="6"/>
  <c r="BT53" i="11"/>
  <c r="AU174" i="1"/>
  <c r="AN10" i="6"/>
  <c r="BO332" i="11"/>
  <c r="BI77" i="11"/>
  <c r="AO144" i="1"/>
  <c r="BN258" i="11"/>
  <c r="BU49" i="11"/>
  <c r="BH306" i="11"/>
  <c r="BE228" i="11"/>
  <c r="BK99" i="11"/>
  <c r="AK352" i="1"/>
  <c r="AM263" i="1"/>
  <c r="AM298" i="1"/>
  <c r="BX69" i="11"/>
  <c r="BW57" i="11"/>
  <c r="BD228" i="11"/>
  <c r="BM324" i="11"/>
  <c r="AL209" i="1"/>
  <c r="BK203" i="11"/>
  <c r="BQ57" i="11"/>
  <c r="BS85" i="11"/>
  <c r="AM216" i="1"/>
  <c r="AN185" i="1"/>
  <c r="AS222" i="1"/>
  <c r="AM293" i="1"/>
  <c r="AM173" i="1"/>
  <c r="AU244" i="1"/>
  <c r="CU36" i="6"/>
  <c r="BD69" i="11"/>
  <c r="BK228" i="11"/>
  <c r="AK255" i="1"/>
  <c r="BH270" i="11"/>
  <c r="AR255" i="1"/>
  <c r="AV203" i="1"/>
  <c r="AR8" i="6"/>
  <c r="BM234" i="11"/>
  <c r="BT215" i="11"/>
  <c r="AL193" i="1"/>
  <c r="AR211" i="1"/>
  <c r="AR145" i="1"/>
  <c r="BL18" i="11"/>
  <c r="AP52" i="6"/>
  <c r="AQ379" i="1"/>
  <c r="CR28" i="6"/>
  <c r="AL270" i="1"/>
  <c r="BO207" i="11"/>
  <c r="AO226" i="1"/>
  <c r="BQ22" i="11"/>
  <c r="BW302" i="11"/>
  <c r="CS36" i="6"/>
  <c r="BL49" i="11"/>
  <c r="AJ36" i="6"/>
  <c r="BX169" i="11"/>
  <c r="CW14" i="6"/>
  <c r="CV47" i="6"/>
  <c r="AJ68" i="1"/>
  <c r="BM161" i="11"/>
  <c r="BK344" i="11"/>
  <c r="AK47" i="6"/>
  <c r="BM274" i="11"/>
  <c r="AL310" i="1"/>
  <c r="CS25" i="6"/>
  <c r="BS61" i="11"/>
  <c r="AK27" i="6"/>
  <c r="BP316" i="11"/>
  <c r="BE266" i="11"/>
  <c r="AQ175" i="1"/>
  <c r="CV6" i="6"/>
  <c r="CV52" i="6"/>
  <c r="AJ27" i="6"/>
  <c r="CR24" i="6"/>
  <c r="AQ147" i="1"/>
  <c r="BG207" i="11"/>
  <c r="BI302" i="11"/>
  <c r="BG312" i="11"/>
  <c r="BN177" i="11"/>
  <c r="BY266" i="11"/>
  <c r="AG32" i="6"/>
  <c r="BJ18" i="11"/>
  <c r="BK53" i="11"/>
  <c r="BJ69" i="11"/>
  <c r="BW228" i="11"/>
  <c r="AL286" i="1"/>
  <c r="BD61" i="11"/>
  <c r="AM287" i="1"/>
  <c r="AK193" i="1"/>
  <c r="BY286" i="11"/>
  <c r="BF328" i="11"/>
  <c r="BX91" i="11"/>
  <c r="BV49" i="11"/>
  <c r="AM123" i="1"/>
  <c r="AJ26" i="6"/>
  <c r="AN286" i="1"/>
  <c r="BR10" i="11"/>
  <c r="AT203" i="1"/>
  <c r="AK355" i="1"/>
  <c r="BN316" i="11"/>
  <c r="AM306" i="1"/>
  <c r="BH215" i="11"/>
  <c r="AK263" i="1"/>
  <c r="BU145" i="11"/>
  <c r="BH41" i="11"/>
  <c r="BE290" i="11"/>
  <c r="BQ290" i="11"/>
  <c r="AU330" i="1"/>
  <c r="AR188" i="1"/>
  <c r="AN152" i="1"/>
  <c r="BP45" i="11"/>
  <c r="AI353" i="1"/>
  <c r="AP155" i="1"/>
  <c r="AN315" i="1"/>
  <c r="AK246" i="1"/>
  <c r="AT155" i="1"/>
  <c r="AS261" i="1"/>
  <c r="BY197" i="11"/>
  <c r="AK301" i="1"/>
  <c r="AL187" i="1"/>
  <c r="BH183" i="11"/>
  <c r="AL155" i="1"/>
  <c r="AN54" i="6"/>
  <c r="AI124" i="1"/>
  <c r="AH54" i="6"/>
  <c r="AN170" i="1"/>
  <c r="BX18" i="11"/>
  <c r="CT34" i="6"/>
  <c r="BR18" i="11"/>
  <c r="AV188" i="1"/>
  <c r="AJ17" i="1"/>
  <c r="BH18" i="11"/>
  <c r="AK269" i="1"/>
  <c r="BG123" i="11"/>
  <c r="BO145" i="11"/>
  <c r="BW91" i="11"/>
  <c r="AN354" i="1"/>
  <c r="BM336" i="11"/>
  <c r="AM300" i="1"/>
  <c r="AP255" i="1"/>
  <c r="BK91" i="11"/>
  <c r="BR224" i="11"/>
  <c r="AH17" i="6"/>
  <c r="BU115" i="11"/>
  <c r="AM322" i="1"/>
  <c r="BQ328" i="11"/>
  <c r="BU22" i="11"/>
  <c r="CV11" i="6"/>
  <c r="AL308" i="1"/>
  <c r="BS183" i="11"/>
  <c r="AL150" i="1"/>
  <c r="CW8" i="6"/>
  <c r="AW155" i="1"/>
  <c r="AM33" i="6"/>
  <c r="AP175" i="1"/>
  <c r="BP294" i="11"/>
  <c r="BI173" i="11"/>
  <c r="BW197" i="11"/>
  <c r="BP18" i="11"/>
  <c r="BF14" i="11"/>
  <c r="CT52" i="6"/>
  <c r="AO248" i="1"/>
  <c r="BF203" i="11"/>
  <c r="BP312" i="11"/>
  <c r="BS207" i="11"/>
  <c r="BO131" i="11"/>
  <c r="AQ143" i="1"/>
  <c r="AO222" i="1"/>
  <c r="AL53" i="6"/>
  <c r="BE320" i="11"/>
  <c r="BU127" i="11"/>
  <c r="BG137" i="11"/>
  <c r="AM248" i="1"/>
  <c r="BU10" i="11"/>
  <c r="BU65" i="11"/>
  <c r="AJ15" i="1"/>
  <c r="BU57" i="11"/>
  <c r="AR152" i="1"/>
  <c r="AO49" i="6"/>
  <c r="BI127" i="11"/>
  <c r="AN27" i="6"/>
  <c r="BD298" i="11"/>
  <c r="BW127" i="11"/>
  <c r="BT77" i="11"/>
  <c r="BV294" i="11"/>
  <c r="BF85" i="11"/>
  <c r="BW34" i="11"/>
  <c r="BN45" i="11"/>
  <c r="BD14" i="11"/>
  <c r="BG95" i="11"/>
  <c r="AK309" i="1"/>
  <c r="AP226" i="1"/>
  <c r="AO25" i="6"/>
  <c r="BS99" i="11"/>
  <c r="BJ14" i="11"/>
  <c r="CU10" i="6"/>
  <c r="BD81" i="11"/>
  <c r="BE242" i="11"/>
  <c r="BJ191" i="11"/>
  <c r="BV238" i="11"/>
  <c r="AI34" i="6"/>
  <c r="AN32" i="6"/>
  <c r="AO175" i="1"/>
  <c r="BX242" i="11"/>
  <c r="BD306" i="11"/>
  <c r="AN261" i="1"/>
  <c r="BW26" i="11"/>
  <c r="AS213" i="1"/>
  <c r="BX302" i="11"/>
  <c r="CW53" i="6"/>
  <c r="BI49" i="11"/>
  <c r="BH294" i="11"/>
  <c r="BT274" i="11"/>
  <c r="AQ47" i="6"/>
  <c r="AN48" i="6"/>
  <c r="AK192" i="1"/>
  <c r="BM115" i="11"/>
  <c r="AR36" i="6"/>
  <c r="BS302" i="11"/>
  <c r="BJ57" i="11"/>
  <c r="AN323" i="1"/>
  <c r="BK238" i="11"/>
  <c r="BM298" i="11"/>
  <c r="BS65" i="11"/>
  <c r="BQ131" i="11"/>
  <c r="BH111" i="11"/>
  <c r="BI169" i="11"/>
  <c r="AQ141" i="1"/>
  <c r="AO6" i="6"/>
  <c r="BI151" i="11"/>
  <c r="AT174" i="1"/>
  <c r="BE49" i="11"/>
  <c r="AJ9" i="6"/>
  <c r="BU266" i="11"/>
  <c r="AV192" i="1"/>
  <c r="BX105" i="11"/>
  <c r="CV26" i="6"/>
  <c r="BP85" i="11"/>
  <c r="BE127" i="11"/>
  <c r="BX115" i="11"/>
  <c r="AL6" i="6"/>
  <c r="AQ16" i="6"/>
  <c r="CS33" i="6"/>
  <c r="BI41" i="11"/>
  <c r="AK6" i="6"/>
  <c r="AK134" i="1"/>
  <c r="AM147" i="1"/>
  <c r="AQ36" i="6"/>
  <c r="AG26" i="6"/>
  <c r="BO340" i="11"/>
  <c r="AN195" i="1"/>
  <c r="AL208" i="1"/>
  <c r="AN225" i="1"/>
  <c r="BD34" i="11"/>
  <c r="AL303" i="1"/>
  <c r="AW293" i="1"/>
  <c r="CT48" i="6"/>
  <c r="AU211" i="1"/>
  <c r="AK224" i="1"/>
  <c r="AO256" i="1"/>
  <c r="BG224" i="11"/>
  <c r="AL238" i="1"/>
  <c r="AT213" i="1"/>
  <c r="AG54" i="6"/>
  <c r="AV141" i="1"/>
  <c r="AM336" i="1"/>
  <c r="AO269" i="1"/>
  <c r="BP336" i="11"/>
  <c r="BX207" i="11"/>
  <c r="CS27" i="6"/>
  <c r="AN168" i="1"/>
  <c r="BT286" i="11"/>
  <c r="AK154" i="1"/>
  <c r="BM145" i="11"/>
  <c r="BY340" i="11"/>
  <c r="AO261" i="1"/>
  <c r="BN123" i="11"/>
  <c r="AM168" i="1"/>
  <c r="BP328" i="11"/>
  <c r="AL292" i="1"/>
  <c r="AJ54" i="6"/>
  <c r="AP289" i="1"/>
  <c r="AO330" i="1"/>
  <c r="BL183" i="11"/>
  <c r="AJ30" i="1"/>
  <c r="BK197" i="11"/>
  <c r="BN95" i="11"/>
  <c r="BL258" i="11"/>
  <c r="AM217" i="1"/>
  <c r="BG99" i="11"/>
  <c r="BQ215" i="11"/>
  <c r="BQ312" i="11"/>
  <c r="BT41" i="11"/>
  <c r="AL245" i="1"/>
  <c r="BP324" i="11"/>
  <c r="AN34" i="6"/>
  <c r="CU25" i="6"/>
  <c r="AO16" i="6"/>
  <c r="BS306" i="11"/>
  <c r="BX57" i="11"/>
  <c r="BK224" i="11"/>
  <c r="CS31" i="6"/>
  <c r="AN330" i="1"/>
  <c r="BK270" i="11"/>
  <c r="AS256" i="1"/>
  <c r="AP48" i="6"/>
  <c r="BJ298" i="11"/>
  <c r="BP302" i="11"/>
  <c r="BJ183" i="11"/>
  <c r="BI228" i="11"/>
  <c r="AG59" i="6"/>
  <c r="BJ242" i="11"/>
  <c r="AM247" i="1"/>
  <c r="CS24" i="6"/>
  <c r="CS11" i="6"/>
  <c r="BW215" i="11"/>
  <c r="BW290" i="11"/>
  <c r="AP222" i="1"/>
  <c r="BH69" i="11"/>
  <c r="BG203" i="11"/>
  <c r="AP151" i="1"/>
  <c r="AW146" i="1"/>
  <c r="AN207" i="1"/>
  <c r="AL272" i="1"/>
  <c r="AN136" i="1"/>
  <c r="AS306" i="1"/>
  <c r="AO36" i="6"/>
  <c r="AL258" i="1"/>
  <c r="BS57" i="11"/>
  <c r="AR244" i="1"/>
  <c r="BK258" i="11"/>
  <c r="BE137" i="11"/>
  <c r="AK308" i="1"/>
  <c r="AM164" i="1"/>
  <c r="AN167" i="1"/>
  <c r="AW358" i="1"/>
  <c r="AW306" i="1"/>
  <c r="AU261" i="1"/>
  <c r="BR220" i="11"/>
  <c r="BQ234" i="11"/>
  <c r="AN190" i="1"/>
  <c r="AJ43" i="1"/>
  <c r="AM11" i="6"/>
  <c r="BT81" i="11"/>
  <c r="BI30" i="11"/>
  <c r="AU161" i="1"/>
  <c r="BQ258" i="11"/>
  <c r="AL320" i="1"/>
  <c r="AM194" i="1"/>
  <c r="BS41" i="11"/>
  <c r="BY14" i="11"/>
  <c r="AQ358" i="1"/>
  <c r="AK234" i="1"/>
  <c r="AN352" i="1"/>
  <c r="AQ215" i="1"/>
  <c r="BT278" i="11"/>
  <c r="AM183" i="1"/>
  <c r="BQ137" i="11"/>
  <c r="BQ127" i="11"/>
  <c r="AK257" i="1"/>
  <c r="CT59" i="6"/>
  <c r="BP274" i="11"/>
  <c r="BD45" i="11"/>
  <c r="AK141" i="1"/>
  <c r="AN8" i="6"/>
  <c r="BN69" i="11"/>
  <c r="AH8" i="6"/>
  <c r="BE270" i="11"/>
  <c r="AM209" i="1"/>
  <c r="BV131" i="11"/>
  <c r="BS111" i="11"/>
  <c r="BH207" i="11"/>
  <c r="CW10" i="6"/>
  <c r="BH328" i="11"/>
  <c r="AP33" i="6"/>
  <c r="BG141" i="11"/>
  <c r="BK290" i="11"/>
  <c r="AV379" i="1"/>
  <c r="CW36" i="6"/>
  <c r="AO147" i="1"/>
  <c r="BE207" i="11"/>
  <c r="AN11" i="6"/>
  <c r="AR17" i="6"/>
  <c r="CV28" i="6"/>
  <c r="BW340" i="11"/>
  <c r="BE332" i="11"/>
  <c r="BF53" i="11"/>
  <c r="BR286" i="11"/>
  <c r="BN105" i="11"/>
  <c r="BQ177" i="11"/>
  <c r="BH254" i="11"/>
  <c r="BD127" i="11"/>
  <c r="AN154" i="1"/>
  <c r="AN329" i="1"/>
  <c r="BX61" i="11"/>
  <c r="BN298" i="11"/>
  <c r="AP11" i="6"/>
  <c r="BE141" i="11"/>
  <c r="BJ254" i="11"/>
  <c r="BO115" i="11"/>
  <c r="BT34" i="11"/>
  <c r="CU17" i="6"/>
  <c r="AM192" i="1"/>
  <c r="BV69" i="11"/>
  <c r="AV206" i="1"/>
  <c r="BE274" i="11"/>
  <c r="AW215" i="1"/>
  <c r="BL306" i="11"/>
  <c r="AL267" i="1"/>
  <c r="AN249" i="1"/>
  <c r="AN174" i="1"/>
  <c r="BO151" i="11"/>
  <c r="BT340" i="11"/>
  <c r="AN223" i="1"/>
  <c r="BF173" i="11"/>
  <c r="BW187" i="11"/>
  <c r="BS312" i="11"/>
  <c r="AW259" i="1"/>
  <c r="BX228" i="11"/>
  <c r="BP69" i="11"/>
  <c r="AH28" i="6"/>
  <c r="BH65" i="11"/>
  <c r="CV53" i="6"/>
  <c r="AL357" i="1"/>
  <c r="AQ192" i="1"/>
  <c r="BO328" i="11"/>
  <c r="AU292" i="1"/>
  <c r="BP320" i="11"/>
  <c r="AL260" i="1"/>
  <c r="BS228" i="11"/>
  <c r="AS146" i="1"/>
  <c r="BH290" i="11"/>
  <c r="BL324" i="11"/>
  <c r="AK197" i="1"/>
  <c r="BY18" i="11"/>
  <c r="AK267" i="1"/>
  <c r="AM32" i="6"/>
  <c r="AN226" i="1"/>
  <c r="CV16" i="6"/>
  <c r="AL59" i="6"/>
  <c r="BM81" i="11"/>
  <c r="BY141" i="11"/>
  <c r="AN300" i="1"/>
  <c r="AO34" i="6"/>
  <c r="AN147" i="1"/>
  <c r="BP49" i="11"/>
  <c r="BI191" i="11"/>
  <c r="BJ258" i="11"/>
  <c r="BR26" i="11"/>
  <c r="BV95" i="11"/>
  <c r="BD220" i="11"/>
  <c r="AL204" i="1"/>
  <c r="CW59" i="6"/>
  <c r="BT85" i="11"/>
  <c r="BV61" i="11"/>
  <c r="AM49" i="6"/>
  <c r="AM10" i="6"/>
  <c r="BK69" i="11"/>
  <c r="BJ248" i="11"/>
  <c r="BL105" i="11"/>
  <c r="BG77" i="11"/>
  <c r="AM268" i="1"/>
  <c r="AQ188" i="1"/>
  <c r="BL26" i="11"/>
  <c r="BO266" i="11"/>
  <c r="AQ27" i="6"/>
  <c r="AI122" i="1"/>
  <c r="AM34" i="6"/>
  <c r="BL224" i="11"/>
  <c r="BF137" i="11"/>
  <c r="BL81" i="11"/>
  <c r="BD41" i="11"/>
  <c r="CU8" i="6"/>
  <c r="BO85" i="11"/>
  <c r="BV137" i="11"/>
  <c r="BK145" i="11"/>
  <c r="AN358" i="1"/>
  <c r="BU316" i="11"/>
  <c r="BQ242" i="11"/>
  <c r="BU157" i="11"/>
  <c r="BR85" i="11"/>
  <c r="AO11" i="6"/>
  <c r="BT105" i="11"/>
  <c r="BE191" i="11"/>
  <c r="BO173" i="11"/>
  <c r="BX306" i="11"/>
  <c r="BT328" i="11"/>
  <c r="BF49" i="11"/>
  <c r="BF234" i="11"/>
  <c r="BY224" i="11"/>
  <c r="BY344" i="11"/>
  <c r="BD278" i="11"/>
  <c r="AL206" i="1"/>
  <c r="BM215" i="11"/>
  <c r="BG173" i="11"/>
  <c r="BR197" i="11"/>
  <c r="BL14" i="11"/>
  <c r="AL142" i="1"/>
  <c r="BM137" i="11"/>
  <c r="BN254" i="11"/>
  <c r="AK171" i="1"/>
  <c r="CS28" i="6"/>
  <c r="BX258" i="11"/>
  <c r="AG27" i="6"/>
  <c r="BR95" i="11"/>
  <c r="BN306" i="11"/>
  <c r="AH6" i="6"/>
  <c r="AN308" i="1"/>
  <c r="BN328" i="11"/>
  <c r="AM155" i="1"/>
  <c r="BW332" i="11"/>
  <c r="AW164" i="1"/>
  <c r="AJ34" i="6"/>
  <c r="BQ187" i="11"/>
  <c r="BE131" i="11"/>
  <c r="AS145" i="1"/>
  <c r="BQ115" i="11"/>
  <c r="AK229" i="1"/>
  <c r="AM137" i="1"/>
  <c r="BX183" i="11"/>
  <c r="BJ306" i="11"/>
  <c r="AK217" i="1"/>
  <c r="BU53" i="11"/>
  <c r="BX151" i="11"/>
  <c r="AN272" i="1"/>
  <c r="AL218" i="1"/>
  <c r="CR16" i="6"/>
  <c r="BJ274" i="11"/>
  <c r="BP145" i="11"/>
  <c r="AK206" i="1"/>
  <c r="BP30" i="11"/>
  <c r="BW274" i="11"/>
  <c r="BO316" i="11"/>
  <c r="AN197" i="1"/>
  <c r="AL356" i="1"/>
  <c r="AV160" i="1"/>
  <c r="BN65" i="11"/>
  <c r="CT32" i="6"/>
  <c r="AJ40" i="1"/>
  <c r="AL268" i="1"/>
  <c r="AN134" i="1"/>
  <c r="BN137" i="11"/>
  <c r="BH340" i="11"/>
  <c r="BR302" i="11"/>
  <c r="AN162" i="1"/>
  <c r="BF340" i="11"/>
  <c r="BD203" i="11"/>
  <c r="AS168" i="1"/>
  <c r="AG25" i="6"/>
  <c r="BT161" i="11"/>
  <c r="AG17" i="6"/>
  <c r="AN159" i="1"/>
  <c r="CW7" i="6"/>
  <c r="AN321" i="1"/>
  <c r="CT58" i="6"/>
  <c r="BO177" i="11"/>
  <c r="AQ164" i="1"/>
  <c r="BN141" i="11"/>
  <c r="BI115" i="11"/>
  <c r="AK48" i="6"/>
  <c r="CV14" i="6"/>
  <c r="AR32" i="6"/>
  <c r="BQ30" i="11"/>
  <c r="CV34" i="6"/>
  <c r="AI53" i="6"/>
  <c r="BD266" i="11"/>
  <c r="AN137" i="1"/>
  <c r="AW222" i="1"/>
  <c r="BK183" i="11"/>
  <c r="BK131" i="11"/>
  <c r="BP183" i="11"/>
  <c r="BR290" i="11"/>
  <c r="AK333" i="1"/>
  <c r="AI47" i="6"/>
  <c r="BS151" i="11"/>
  <c r="AQ289" i="1"/>
  <c r="BE302" i="11"/>
  <c r="AW331" i="1"/>
  <c r="AL306" i="1"/>
  <c r="BU45" i="11"/>
  <c r="BV298" i="11"/>
  <c r="AM288" i="1"/>
  <c r="AN146" i="1"/>
  <c r="AT152" i="1"/>
  <c r="BS49" i="11"/>
  <c r="AQ160" i="1"/>
  <c r="AQ293" i="1"/>
  <c r="BQ220" i="11"/>
  <c r="BY161" i="11"/>
  <c r="AR161" i="1"/>
  <c r="AL290" i="1"/>
  <c r="AJ52" i="6"/>
  <c r="BK274" i="11"/>
  <c r="AL321" i="1"/>
  <c r="AP213" i="1"/>
  <c r="CW57" i="6"/>
  <c r="CW47" i="6"/>
  <c r="BN197" i="11"/>
  <c r="AN267" i="1"/>
  <c r="BP65" i="11"/>
  <c r="AL246" i="1"/>
  <c r="BH151" i="11"/>
  <c r="CV49" i="6"/>
  <c r="BK220" i="11"/>
  <c r="AG49" i="6"/>
  <c r="AW330" i="1"/>
  <c r="AL32" i="6"/>
  <c r="AJ27" i="1"/>
  <c r="BH332" i="11"/>
  <c r="AJ64" i="1"/>
  <c r="CW28" i="6"/>
  <c r="BS145" i="11"/>
  <c r="BI328" i="11"/>
  <c r="BU215" i="11"/>
  <c r="CT53" i="6"/>
  <c r="BM30" i="11"/>
  <c r="AN219" i="1"/>
  <c r="BY22" i="11"/>
  <c r="AL18" i="6"/>
  <c r="AP17" i="6"/>
  <c r="CR8" i="6"/>
  <c r="AI134" i="1"/>
  <c r="AK213" i="1"/>
  <c r="BN81" i="11"/>
  <c r="BM177" i="11"/>
  <c r="AM47" i="6"/>
  <c r="AM154" i="1"/>
  <c r="BO274" i="11"/>
  <c r="BT137" i="11"/>
  <c r="BE99" i="11"/>
  <c r="BW258" i="11"/>
  <c r="AN188" i="1"/>
  <c r="BP207" i="11"/>
  <c r="BF274" i="11"/>
  <c r="BU91" i="11"/>
  <c r="BS197" i="11"/>
  <c r="AS248" i="1"/>
  <c r="BT151" i="11"/>
  <c r="BI282" i="11"/>
  <c r="BQ105" i="11"/>
  <c r="AJ32" i="6"/>
  <c r="BT145" i="11"/>
  <c r="BP57" i="11"/>
  <c r="BO14" i="11"/>
  <c r="BV220" i="11"/>
  <c r="BQ141" i="11"/>
  <c r="AM354" i="1"/>
  <c r="BW328" i="11"/>
  <c r="BI298" i="11"/>
  <c r="BM91" i="11"/>
  <c r="AM185" i="1"/>
  <c r="BT197" i="11"/>
  <c r="CS53" i="6"/>
  <c r="BD99" i="11"/>
  <c r="CT27" i="6"/>
  <c r="AG36" i="6"/>
  <c r="AG35" i="6"/>
  <c r="BG49" i="11"/>
  <c r="CT35" i="6"/>
  <c r="AN47" i="6"/>
  <c r="BL270" i="11"/>
  <c r="BG91" i="11"/>
  <c r="CT24" i="6"/>
  <c r="AR54" i="6"/>
  <c r="BD123" i="11"/>
  <c r="BQ173" i="11"/>
  <c r="BM332" i="11"/>
  <c r="AM135" i="1"/>
  <c r="BY234" i="11"/>
  <c r="AL229" i="1"/>
  <c r="BG34" i="11"/>
  <c r="CW17" i="6"/>
  <c r="AN24" i="6"/>
  <c r="BQ254" i="11"/>
  <c r="CU57" i="6"/>
  <c r="AR330" i="1"/>
  <c r="BY324" i="11"/>
  <c r="AP26" i="6"/>
  <c r="BX316" i="11"/>
  <c r="AL335" i="1"/>
  <c r="CU49" i="6"/>
  <c r="BO234" i="11"/>
  <c r="BT320" i="11"/>
  <c r="AN289" i="1"/>
  <c r="BD274" i="11"/>
  <c r="BY151" i="11"/>
  <c r="AK191" i="1"/>
  <c r="BW316" i="11"/>
  <c r="AV143" i="1"/>
  <c r="AN161" i="1"/>
  <c r="AN176" i="1"/>
  <c r="AL243" i="1"/>
  <c r="AV269" i="1"/>
  <c r="AN183" i="1"/>
  <c r="BY312" i="11"/>
  <c r="BI34" i="11"/>
  <c r="AS188" i="1"/>
  <c r="AN273" i="1"/>
  <c r="BI145" i="11"/>
  <c r="AM14" i="6"/>
  <c r="AK332" i="1"/>
  <c r="AO259" i="1"/>
  <c r="CT64" i="6"/>
  <c r="CT26" i="6"/>
  <c r="AN328" i="1"/>
  <c r="AL255" i="1"/>
  <c r="BD10" i="11"/>
  <c r="AM58" i="6"/>
  <c r="AM186" i="1"/>
  <c r="BH115" i="11"/>
  <c r="BR145" i="11"/>
  <c r="AM190" i="1"/>
  <c r="BR242" i="11"/>
  <c r="AN26" i="6"/>
  <c r="AM140" i="1"/>
  <c r="BI324" i="11"/>
  <c r="AK261" i="1"/>
  <c r="BH81" i="11"/>
  <c r="AM331" i="1"/>
  <c r="BY127" i="11"/>
  <c r="AK245" i="1"/>
  <c r="BF111" i="11"/>
  <c r="AK26" i="6"/>
  <c r="AQ174" i="1"/>
  <c r="BV328" i="11"/>
  <c r="BJ123" i="11"/>
  <c r="BJ286" i="11"/>
  <c r="AM360" i="1"/>
  <c r="BV270" i="11"/>
  <c r="BV306" i="11"/>
  <c r="BH127" i="11"/>
  <c r="CR18" i="6"/>
  <c r="BV344" i="11"/>
  <c r="AK337" i="1"/>
  <c r="BT61" i="11"/>
  <c r="BX173" i="11"/>
  <c r="AV289" i="1"/>
  <c r="BE111" i="11"/>
  <c r="AL49" i="6"/>
  <c r="BO137" i="11"/>
  <c r="AM218" i="1"/>
  <c r="BM220" i="11"/>
  <c r="AR271" i="1"/>
  <c r="BF123" i="11"/>
  <c r="AP14" i="6"/>
  <c r="AL15" i="6"/>
  <c r="BE10" i="11"/>
  <c r="CU33" i="6"/>
  <c r="BL238" i="11"/>
  <c r="AK18" i="6"/>
  <c r="AL293" i="1"/>
  <c r="BJ173" i="11"/>
  <c r="BN324" i="11"/>
  <c r="BS69" i="11"/>
  <c r="BU26" i="11"/>
  <c r="AN151" i="1"/>
  <c r="AL47" i="6"/>
  <c r="AQ25" i="6"/>
  <c r="AK232" i="1"/>
  <c r="BI197" i="11"/>
  <c r="BX177" i="11"/>
  <c r="CV58" i="6"/>
  <c r="AG6" i="6"/>
  <c r="BX340" i="11"/>
  <c r="BG30" i="11"/>
  <c r="BW312" i="11"/>
  <c r="CT54" i="6"/>
  <c r="BD207" i="11"/>
  <c r="CV33" i="6"/>
  <c r="AK28" i="6"/>
  <c r="BY30" i="11"/>
  <c r="BD320" i="11"/>
  <c r="AN246" i="1"/>
  <c r="AI32" i="6"/>
  <c r="CS17" i="6"/>
  <c r="BI81" i="11"/>
  <c r="BN282" i="11"/>
  <c r="BF183" i="11"/>
  <c r="BJ85" i="11"/>
  <c r="AL259" i="1"/>
  <c r="BI215" i="11"/>
  <c r="BE294" i="11"/>
  <c r="BW157" i="11"/>
  <c r="BF207" i="11"/>
  <c r="AN282" i="1"/>
  <c r="CR32" i="6"/>
  <c r="AP359" i="1"/>
  <c r="AR18" i="6"/>
  <c r="BX328" i="11"/>
  <c r="BM286" i="11"/>
  <c r="BU111" i="11"/>
  <c r="AG9" i="6"/>
  <c r="AK277" i="1"/>
  <c r="BQ49" i="11"/>
  <c r="BK187" i="11"/>
  <c r="BF220" i="11"/>
  <c r="AM332" i="1"/>
  <c r="BT91" i="11"/>
  <c r="BK77" i="11"/>
  <c r="CS6" i="6"/>
  <c r="BJ30" i="11"/>
  <c r="AR143" i="1"/>
  <c r="BD57" i="11"/>
  <c r="BO220" i="11"/>
  <c r="AK15" i="6"/>
  <c r="AQ26" i="6"/>
  <c r="AQ11" i="6"/>
  <c r="BJ65" i="11"/>
  <c r="BR105" i="11"/>
  <c r="BQ224" i="11"/>
  <c r="BF215" i="11"/>
  <c r="CR53" i="6"/>
  <c r="AQ34" i="6"/>
  <c r="CU64" i="6"/>
  <c r="BR91" i="11"/>
  <c r="BX145" i="11"/>
  <c r="BF34" i="11"/>
  <c r="BL22" i="11"/>
  <c r="BX81" i="11"/>
  <c r="BF115" i="11"/>
  <c r="BI242" i="11"/>
  <c r="BK123" i="11"/>
  <c r="BG254" i="11"/>
  <c r="AK315" i="1"/>
  <c r="AO292" i="1"/>
  <c r="BX131" i="11"/>
  <c r="AM246" i="1"/>
  <c r="AQ305" i="1"/>
  <c r="AV222" i="1"/>
  <c r="BS105" i="11"/>
  <c r="BH234" i="11"/>
  <c r="AM324" i="1"/>
  <c r="BL207" i="11"/>
  <c r="BF286" i="11"/>
  <c r="BY183" i="11"/>
  <c r="AR16" i="6"/>
  <c r="CV57" i="6"/>
  <c r="BD30" i="11"/>
  <c r="AW192" i="1"/>
  <c r="BY332" i="11"/>
  <c r="BX320" i="11"/>
  <c r="BV242" i="11"/>
  <c r="BT183" i="11"/>
  <c r="AH31" i="6"/>
  <c r="BD161" i="11"/>
  <c r="AQ7" i="6"/>
  <c r="AQ17" i="6"/>
  <c r="BQ238" i="11"/>
  <c r="BG242" i="11"/>
  <c r="AN356" i="1"/>
  <c r="BV45" i="11"/>
  <c r="BN127" i="11"/>
  <c r="CT14" i="6"/>
  <c r="BI65" i="11"/>
  <c r="AL301" i="1"/>
  <c r="BP111" i="11"/>
  <c r="BX137" i="11"/>
  <c r="CV25" i="6"/>
  <c r="AK298" i="1"/>
  <c r="AL330" i="1"/>
  <c r="BO157" i="11"/>
  <c r="BX41" i="11"/>
  <c r="AR6" i="6"/>
  <c r="BY238" i="11"/>
  <c r="BJ207" i="11"/>
  <c r="BH320" i="11"/>
  <c r="BJ61" i="11"/>
  <c r="BR298" i="11"/>
  <c r="BH77" i="11"/>
  <c r="CT33" i="6"/>
  <c r="BO270" i="11"/>
  <c r="BL274" i="11"/>
  <c r="AL359" i="1"/>
  <c r="AP206" i="1"/>
  <c r="CV17" i="6"/>
  <c r="AU226" i="1"/>
  <c r="AI58" i="6"/>
  <c r="AH16" i="6"/>
  <c r="AQ226" i="1"/>
  <c r="AM211" i="1"/>
  <c r="AN18" i="6"/>
  <c r="BJ320" i="11"/>
  <c r="BQ332" i="11"/>
  <c r="BM34" i="11"/>
  <c r="BH34" i="11"/>
  <c r="BQ169" i="11"/>
  <c r="AR174" i="1"/>
  <c r="BW99" i="11"/>
  <c r="AO379" i="1"/>
  <c r="BU161" i="11"/>
  <c r="AN258" i="1"/>
  <c r="BL316" i="11"/>
  <c r="BF161" i="11"/>
  <c r="BI224" i="11"/>
  <c r="BS340" i="11"/>
  <c r="BJ228" i="11"/>
  <c r="BE220" i="11"/>
  <c r="BO203" i="11"/>
  <c r="BL123" i="11"/>
  <c r="AG10" i="6"/>
  <c r="BK45" i="11"/>
  <c r="BQ53" i="11"/>
  <c r="AN16" i="6"/>
  <c r="BL242" i="11"/>
  <c r="AV152" i="1"/>
  <c r="AN7" i="6"/>
  <c r="BE61" i="11"/>
  <c r="AM291" i="1"/>
  <c r="BM248" i="11"/>
  <c r="BQ91" i="11"/>
  <c r="BR161" i="11"/>
  <c r="BO238" i="11"/>
  <c r="AU306" i="1"/>
  <c r="CU58" i="6"/>
  <c r="BE173" i="11"/>
  <c r="BN169" i="11"/>
  <c r="BJ145" i="11"/>
  <c r="BH274" i="11"/>
  <c r="BE91" i="11"/>
  <c r="AT175" i="1"/>
  <c r="BS30" i="11"/>
  <c r="AO28" i="6"/>
  <c r="BK302" i="11"/>
  <c r="BN220" i="11"/>
  <c r="BX254" i="11"/>
  <c r="BT203" i="11"/>
  <c r="AK286" i="1"/>
  <c r="BD197" i="11"/>
  <c r="AM7" i="6"/>
  <c r="BF61" i="11"/>
  <c r="AL57" i="6"/>
  <c r="BF324" i="11"/>
  <c r="CT49" i="6"/>
  <c r="BH344" i="11"/>
  <c r="BF278" i="11"/>
  <c r="AM18" i="6"/>
  <c r="AR292" i="1"/>
  <c r="AL334" i="1"/>
  <c r="BY187" i="11"/>
  <c r="BI141" i="11"/>
  <c r="AK250" i="1"/>
  <c r="BE18" i="11"/>
  <c r="BN77" i="11"/>
  <c r="BR127" i="11"/>
  <c r="AJ39" i="1"/>
  <c r="BR41" i="11"/>
  <c r="BO65" i="11"/>
  <c r="BI290" i="11"/>
  <c r="BR203" i="11"/>
  <c r="AN237" i="1"/>
  <c r="AN31" i="6"/>
  <c r="BE45" i="11"/>
  <c r="BH191" i="11"/>
  <c r="AK305" i="1"/>
  <c r="BV316" i="11"/>
  <c r="BJ332" i="11"/>
  <c r="BF30" i="11"/>
  <c r="AK31" i="6"/>
  <c r="AO7" i="6"/>
  <c r="BO302" i="11"/>
  <c r="AW244" i="1"/>
  <c r="BK81" i="11"/>
  <c r="CV8" i="6"/>
  <c r="BS14" i="11"/>
  <c r="CT18" i="6"/>
  <c r="AM225" i="1"/>
  <c r="AS290" i="1"/>
  <c r="AS161" i="1"/>
  <c r="AQ259" i="1"/>
  <c r="AU359" i="1"/>
  <c r="AN33" i="6"/>
  <c r="BS298" i="11"/>
  <c r="AH7" i="6"/>
  <c r="BJ312" i="11"/>
  <c r="BP224" i="11"/>
  <c r="BU258" i="11"/>
  <c r="BY85" i="11"/>
  <c r="AM160" i="1"/>
  <c r="BO81" i="11"/>
  <c r="AM235" i="1"/>
  <c r="BV340" i="11"/>
  <c r="AM228" i="1"/>
  <c r="BI105" i="11"/>
  <c r="BW61" i="11"/>
  <c r="AM320" i="1"/>
  <c r="BG320" i="11"/>
  <c r="BW95" i="11"/>
  <c r="AH11" i="6"/>
  <c r="AK9" i="6"/>
  <c r="BS177" i="11"/>
  <c r="BH30" i="11"/>
  <c r="AK209" i="1"/>
  <c r="CS54" i="6"/>
  <c r="BJ197" i="11"/>
  <c r="BD191" i="11"/>
  <c r="BS290" i="11"/>
  <c r="BU274" i="11"/>
  <c r="BL161" i="11"/>
  <c r="BE161" i="11"/>
  <c r="BG316" i="11"/>
  <c r="AN227" i="1"/>
  <c r="CV31" i="6"/>
  <c r="BK286" i="11"/>
  <c r="AU141" i="1"/>
  <c r="AN25" i="6"/>
  <c r="CW49" i="6"/>
  <c r="BY115" i="11"/>
  <c r="BG18" i="11"/>
  <c r="AH27" i="6"/>
  <c r="BP270" i="11"/>
  <c r="BJ53" i="11"/>
  <c r="BH258" i="11"/>
  <c r="AL302" i="1"/>
  <c r="BE187" i="11"/>
  <c r="BF177" i="11"/>
  <c r="AN337" i="1"/>
  <c r="AN49" i="6"/>
  <c r="BL115" i="11"/>
  <c r="BE258" i="11"/>
  <c r="AT147" i="1"/>
  <c r="BF298" i="11"/>
  <c r="AM6" i="6"/>
  <c r="AU215" i="1"/>
  <c r="BT10" i="11"/>
  <c r="AG18" i="6"/>
  <c r="BV266" i="11"/>
  <c r="AW151" i="1"/>
  <c r="BL69" i="11"/>
  <c r="BK320" i="11"/>
  <c r="BQ183" i="11"/>
  <c r="BP169" i="11"/>
  <c r="BY157" i="11"/>
  <c r="BY173" i="11"/>
  <c r="BX224" i="11"/>
  <c r="BS328" i="11"/>
  <c r="AJ14" i="1"/>
  <c r="CU59" i="6"/>
  <c r="AR34" i="6"/>
  <c r="BK298" i="11"/>
  <c r="AQ54" i="6"/>
  <c r="BL332" i="11"/>
  <c r="AK327" i="1"/>
  <c r="AK24" i="6"/>
  <c r="AO161" i="1"/>
  <c r="AI354" i="1"/>
  <c r="AI14" i="6"/>
  <c r="AK385" i="1"/>
  <c r="AW206" i="1"/>
  <c r="BH242" i="11"/>
  <c r="BJ234" i="11"/>
  <c r="CR33" i="6"/>
  <c r="AU168" i="1"/>
  <c r="BX14" i="11"/>
  <c r="BL220" i="11"/>
  <c r="BW105" i="11"/>
  <c r="BQ270" i="11"/>
  <c r="AQ15" i="6"/>
  <c r="BQ69" i="11"/>
  <c r="AL205" i="1"/>
  <c r="BU207" i="11"/>
  <c r="BY111" i="11"/>
  <c r="BK61" i="11"/>
  <c r="BU238" i="11"/>
  <c r="BX191" i="11"/>
  <c r="AO360" i="1"/>
  <c r="AN297" i="1"/>
  <c r="BO258" i="11"/>
  <c r="BE14" i="11"/>
  <c r="BS324" i="11"/>
  <c r="CV36" i="6"/>
  <c r="CR57" i="6"/>
  <c r="BY207" i="11"/>
  <c r="BG302" i="11"/>
  <c r="BQ191" i="11"/>
  <c r="AP244" i="1"/>
  <c r="AR24" i="6"/>
  <c r="BV290" i="11"/>
  <c r="BL294" i="11"/>
  <c r="BS10" i="11"/>
  <c r="BK127" i="11"/>
  <c r="CS34" i="6"/>
  <c r="BF169" i="11"/>
  <c r="BX274" i="11"/>
  <c r="BU99" i="11"/>
  <c r="AL8" i="6"/>
  <c r="BY145" i="11"/>
  <c r="BD290" i="11"/>
  <c r="BT22" i="11"/>
  <c r="BI344" i="11"/>
  <c r="BS242" i="11"/>
  <c r="AP58" i="6"/>
  <c r="BH248" i="11"/>
  <c r="AN248" i="1"/>
  <c r="BQ41" i="11"/>
  <c r="AP259" i="1"/>
  <c r="BQ123" i="11"/>
  <c r="CT9" i="6"/>
  <c r="BR14" i="11"/>
  <c r="AI52" i="6"/>
  <c r="BO26" i="11"/>
  <c r="AV215" i="1"/>
  <c r="AH53" i="6"/>
  <c r="AL26" i="6"/>
  <c r="BP61" i="11"/>
  <c r="AQ52" i="6"/>
  <c r="BF290" i="11"/>
  <c r="BH220" i="11"/>
  <c r="AL186" i="1"/>
  <c r="BO306" i="11"/>
  <c r="CU32" i="6"/>
  <c r="BP53" i="11"/>
  <c r="BR344" i="11"/>
  <c r="AJ47" i="6"/>
  <c r="BG169" i="11"/>
  <c r="BS320" i="11"/>
  <c r="BQ336" i="11"/>
  <c r="CR7" i="6"/>
  <c r="AT359" i="1"/>
  <c r="BG270" i="11"/>
  <c r="CR11" i="6"/>
  <c r="BF99" i="11"/>
  <c r="AS185" i="1"/>
  <c r="CU26" i="6"/>
  <c r="AT331" i="1"/>
  <c r="AO151" i="1"/>
  <c r="BW306" i="11"/>
  <c r="CR47" i="6"/>
  <c r="AN6" i="6"/>
  <c r="BM242" i="11"/>
  <c r="BE197" i="11"/>
  <c r="BT238" i="11"/>
  <c r="AN184" i="1"/>
  <c r="BR278" i="11"/>
  <c r="BG57" i="11"/>
  <c r="BH197" i="11"/>
  <c r="AN166" i="1"/>
  <c r="BS115" i="11"/>
  <c r="AM302" i="1"/>
  <c r="BE169" i="11"/>
  <c r="BG183" i="11"/>
  <c r="BP26" i="11"/>
  <c r="BQ207" i="11"/>
  <c r="AS141" i="1"/>
  <c r="BF302" i="11"/>
  <c r="AQ8" i="6"/>
  <c r="AT192" i="1"/>
  <c r="BU81" i="11"/>
  <c r="BF187" i="11"/>
  <c r="BE81" i="11"/>
  <c r="CR27" i="6"/>
  <c r="BU131" i="11"/>
  <c r="BX278" i="11"/>
  <c r="BM344" i="11"/>
  <c r="BX336" i="11"/>
  <c r="AP16" i="6"/>
  <c r="AM36" i="6"/>
  <c r="BJ131" i="11"/>
  <c r="BX234" i="11"/>
  <c r="BW77" i="11"/>
  <c r="BY328" i="11"/>
  <c r="BT282" i="11"/>
  <c r="CV15" i="6"/>
  <c r="AR359" i="1"/>
  <c r="BL286" i="11"/>
  <c r="BM173" i="11"/>
  <c r="BX53" i="11"/>
  <c r="BG22" i="11"/>
  <c r="BP191" i="11"/>
  <c r="BL77" i="11"/>
  <c r="BK316" i="11"/>
  <c r="CW25" i="6"/>
  <c r="AQ203" i="1"/>
  <c r="CT11" i="6"/>
  <c r="BJ10" i="11"/>
  <c r="AI24" i="6"/>
  <c r="AL250" i="1"/>
  <c r="BQ203" i="11"/>
  <c r="AN263" i="1"/>
  <c r="AL276" i="1"/>
  <c r="AO9" i="6"/>
  <c r="AP171" i="1"/>
  <c r="BG161" i="11"/>
  <c r="AL232" i="1"/>
  <c r="BV18" i="11"/>
  <c r="BJ141" i="11"/>
  <c r="BS294" i="11"/>
  <c r="CU16" i="6"/>
  <c r="AM159" i="1"/>
  <c r="BF248" i="11"/>
  <c r="AK162" i="1"/>
  <c r="AH59" i="6"/>
  <c r="AN244" i="1"/>
  <c r="BG306" i="11"/>
  <c r="AM357" i="1"/>
  <c r="CT17" i="6"/>
  <c r="BI111" i="11"/>
  <c r="BU77" i="11"/>
  <c r="BL45" i="11"/>
  <c r="BI131" i="11"/>
  <c r="AK168" i="1"/>
  <c r="AW166" i="1"/>
  <c r="BT45" i="11"/>
  <c r="AJ10" i="6"/>
  <c r="BR312" i="11"/>
  <c r="BE254" i="11"/>
  <c r="BI183" i="11"/>
  <c r="AI26" i="6"/>
  <c r="AK203" i="1"/>
  <c r="BV91" i="11"/>
  <c r="BG111" i="11"/>
  <c r="BR81" i="11"/>
  <c r="BH203" i="11"/>
  <c r="AQ24" i="6"/>
  <c r="AP8" i="6"/>
  <c r="BD141" i="11"/>
  <c r="BH105" i="11"/>
  <c r="BT131" i="11"/>
  <c r="BG115" i="11"/>
  <c r="CT15" i="6"/>
  <c r="CR58" i="6"/>
  <c r="CR31" i="6"/>
  <c r="CU52" i="6"/>
  <c r="BD131" i="11"/>
  <c r="AL166" i="1"/>
  <c r="BF282" i="11"/>
  <c r="AV291" i="1"/>
  <c r="BF228" i="11"/>
  <c r="BM141" i="11"/>
  <c r="BW266" i="11"/>
  <c r="CS58" i="6"/>
  <c r="BU95" i="11"/>
  <c r="AR14" i="6"/>
  <c r="BJ111" i="11"/>
  <c r="BP220" i="11"/>
  <c r="BG177" i="11"/>
  <c r="BO183" i="11"/>
  <c r="AN222" i="1"/>
  <c r="BD294" i="11"/>
  <c r="BE312" i="11"/>
  <c r="BO290" i="11"/>
  <c r="AL33" i="6"/>
  <c r="BR248" i="11"/>
  <c r="CR64" i="6"/>
  <c r="AO8" i="6"/>
  <c r="AL58" i="6"/>
  <c r="BU278" i="11"/>
  <c r="BG81" i="11"/>
  <c r="BL95" i="11"/>
  <c r="AK57" i="6"/>
  <c r="CW26" i="6"/>
  <c r="AR175" i="1"/>
  <c r="CV59" i="6"/>
  <c r="BF77" i="11"/>
  <c r="AO53" i="6"/>
  <c r="BY99" i="11"/>
  <c r="BF127" i="11"/>
  <c r="AK32" i="6"/>
  <c r="BR336" i="11"/>
  <c r="BP41" i="11"/>
  <c r="AG48" i="6"/>
  <c r="BJ169" i="11"/>
  <c r="BV53" i="11"/>
  <c r="BJ161" i="11"/>
  <c r="AI125" i="1"/>
  <c r="AH15" i="6"/>
  <c r="BM290" i="11"/>
  <c r="BI161" i="11"/>
  <c r="BM157" i="11"/>
  <c r="BD242" i="11"/>
  <c r="BR157" i="11"/>
  <c r="BL328" i="11"/>
  <c r="AM196" i="1"/>
  <c r="AQ213" i="1"/>
  <c r="AK218" i="1"/>
  <c r="AM17" i="6"/>
  <c r="BF332" i="11"/>
  <c r="AM309" i="1"/>
  <c r="AL27" i="6"/>
  <c r="BX22" i="11"/>
  <c r="AM299" i="1"/>
  <c r="AL333" i="1"/>
  <c r="BP14" i="11"/>
  <c r="BD173" i="11"/>
  <c r="BQ340" i="11"/>
  <c r="AL24" i="6"/>
  <c r="BM26" i="11"/>
  <c r="BV302" i="11"/>
  <c r="AT161" i="1"/>
  <c r="AN9" i="6"/>
  <c r="BJ324" i="11"/>
  <c r="AV145" i="1"/>
  <c r="AL9" i="6"/>
  <c r="BU228" i="11"/>
  <c r="BU173" i="11"/>
  <c r="BG278" i="11"/>
  <c r="CV10" i="6"/>
  <c r="AK14" i="6"/>
  <c r="BH266" i="11"/>
  <c r="BF57" i="11"/>
  <c r="BN336" i="11"/>
  <c r="AJ25" i="6"/>
  <c r="AL336" i="1"/>
  <c r="BX161" i="11"/>
  <c r="BP151" i="11"/>
  <c r="AK58" i="6"/>
  <c r="BY215" i="11"/>
  <c r="AM197" i="1"/>
  <c r="BX123" i="11"/>
  <c r="BL145" i="11"/>
  <c r="BU340" i="11"/>
  <c r="AS175" i="1"/>
  <c r="AT358" i="1"/>
  <c r="BL127" i="11"/>
  <c r="AN334" i="1"/>
  <c r="BM49" i="11"/>
  <c r="BG336" i="11"/>
  <c r="BY220" i="11"/>
  <c r="AL17" i="6"/>
  <c r="AL54" i="6"/>
  <c r="AO47" i="6"/>
  <c r="BN238" i="11"/>
  <c r="CR35" i="6"/>
  <c r="AO17" i="6"/>
  <c r="AR31" i="6"/>
  <c r="CW6" i="6"/>
  <c r="BT173" i="11"/>
  <c r="BL177" i="11"/>
  <c r="AJ6" i="6"/>
  <c r="AG58" i="6"/>
  <c r="BK242" i="11"/>
  <c r="AV174" i="1"/>
  <c r="AR379" i="1"/>
  <c r="AK322" i="1"/>
  <c r="BD22" i="11"/>
  <c r="CS10" i="6"/>
  <c r="AO155" i="1"/>
  <c r="BP254" i="11"/>
  <c r="BL248" i="11"/>
  <c r="BQ344" i="11"/>
  <c r="BN61" i="11"/>
  <c r="BJ270" i="11"/>
  <c r="AP166" i="1"/>
  <c r="BE53" i="11"/>
  <c r="BD49" i="11"/>
  <c r="BF95" i="11"/>
  <c r="AQ212" i="1"/>
  <c r="BS26" i="11"/>
  <c r="AK384" i="1"/>
  <c r="AN233" i="1"/>
  <c r="BW324" i="11"/>
  <c r="BS34" i="11"/>
  <c r="BI340" i="11"/>
  <c r="BJ224" i="11"/>
  <c r="AV146" i="1"/>
  <c r="AV228" i="1"/>
  <c r="BT127" i="11"/>
  <c r="BE282" i="11"/>
  <c r="CS32" i="6"/>
  <c r="BN290" i="11"/>
  <c r="AW212" i="1"/>
  <c r="BK30" i="11"/>
  <c r="AV175" i="1"/>
  <c r="AK354" i="1"/>
  <c r="AG16" i="6"/>
  <c r="BW65" i="11"/>
  <c r="BM282" i="11"/>
  <c r="BJ290" i="11"/>
  <c r="AR228" i="1"/>
  <c r="BU234" i="11"/>
  <c r="AI7" i="6"/>
  <c r="BX290" i="11"/>
  <c r="BW298" i="11"/>
  <c r="AM310" i="1"/>
  <c r="BS254" i="11"/>
  <c r="BL151" i="11"/>
  <c r="CR6" i="6"/>
  <c r="AM156" i="1"/>
  <c r="BU169" i="11"/>
  <c r="BF316" i="11"/>
  <c r="BP248" i="11"/>
  <c r="BN203" i="11"/>
  <c r="BT336" i="11"/>
  <c r="BU183" i="11"/>
  <c r="BW224" i="11"/>
  <c r="CS57" i="6"/>
  <c r="AR27" i="6"/>
  <c r="BV197" i="11"/>
  <c r="BM53" i="11"/>
  <c r="BN207" i="11"/>
  <c r="BJ238" i="11"/>
  <c r="BW85" i="11"/>
  <c r="CT8" i="6"/>
  <c r="AK49" i="6"/>
  <c r="BK157" i="11"/>
  <c r="CU31" i="6"/>
  <c r="BW336" i="11"/>
  <c r="AK165" i="1"/>
  <c r="BL34" i="11"/>
  <c r="AR58" i="6"/>
  <c r="CS52" i="6"/>
  <c r="BH141" i="11"/>
  <c r="BJ187" i="11"/>
  <c r="BX49" i="11"/>
  <c r="AR47" i="6"/>
  <c r="AR52" i="6"/>
  <c r="BU151" i="11"/>
  <c r="BU290" i="11"/>
  <c r="BY177" i="11"/>
  <c r="AG8" i="6"/>
  <c r="CS49" i="6"/>
  <c r="BT115" i="11"/>
  <c r="BU61" i="11"/>
  <c r="AG57" i="6"/>
  <c r="BW41" i="11"/>
  <c r="BO69" i="11"/>
  <c r="BF26" i="11"/>
  <c r="CU35" i="6"/>
  <c r="CW48" i="6"/>
  <c r="BK324" i="11"/>
  <c r="BM85" i="11"/>
  <c r="BO324" i="11"/>
  <c r="BE22" i="11"/>
  <c r="BH282" i="11"/>
  <c r="AI25" i="6"/>
  <c r="AK33" i="6"/>
  <c r="BE340" i="11"/>
  <c r="AI36" i="6"/>
  <c r="AQ32" i="6"/>
  <c r="AM276" i="1"/>
  <c r="BI157" i="11"/>
  <c r="AI6" i="6"/>
  <c r="BV157" i="11"/>
  <c r="BD95" i="11"/>
  <c r="BM278" i="11"/>
  <c r="BS332" i="11"/>
  <c r="AO211" i="1"/>
  <c r="BN278" i="11"/>
  <c r="AQ292" i="1"/>
  <c r="BQ306" i="11"/>
  <c r="AS211" i="1"/>
  <c r="BN49" i="11"/>
  <c r="BV22" i="11"/>
  <c r="AG28" i="6"/>
  <c r="AL317" i="1"/>
  <c r="AU160" i="1"/>
  <c r="BO191" i="11"/>
  <c r="BK151" i="11"/>
  <c r="BD286" i="11"/>
  <c r="AS289" i="1"/>
  <c r="AV185" i="1"/>
  <c r="BS137" i="11"/>
  <c r="AU228" i="1"/>
  <c r="BP238" i="11"/>
  <c r="BM14" i="11"/>
  <c r="BF320" i="11"/>
  <c r="AM8" i="6"/>
  <c r="BK41" i="11"/>
  <c r="CV32" i="6"/>
  <c r="CU54" i="6"/>
  <c r="CW54" i="6"/>
  <c r="BR266" i="11"/>
  <c r="BT224" i="11"/>
  <c r="BP215" i="11"/>
  <c r="BT157" i="11"/>
  <c r="BR191" i="11"/>
  <c r="AN164" i="1"/>
  <c r="BR183" i="11"/>
  <c r="BE123" i="11"/>
  <c r="BM306" i="11"/>
  <c r="BU30" i="11"/>
  <c r="BR320" i="11"/>
  <c r="CR15" i="6"/>
  <c r="BD18" i="11"/>
  <c r="BJ151" i="11"/>
  <c r="AI27" i="6"/>
  <c r="AK360" i="1"/>
  <c r="BK173" i="11"/>
  <c r="BL53" i="11"/>
  <c r="BW344" i="11"/>
  <c r="BQ99" i="11"/>
  <c r="AN52" i="6"/>
  <c r="AK167" i="1"/>
  <c r="AH48" i="6"/>
  <c r="AQ28" i="6"/>
  <c r="AI11" i="6"/>
  <c r="BE30" i="11"/>
  <c r="BI320" i="11"/>
  <c r="BV81" i="11"/>
  <c r="BG294" i="11"/>
  <c r="AP34" i="6"/>
  <c r="BM22" i="11"/>
  <c r="AN353" i="1"/>
  <c r="AN156" i="1"/>
  <c r="BM191" i="11"/>
  <c r="AL160" i="1"/>
  <c r="AP7" i="6"/>
  <c r="AO244" i="1"/>
  <c r="AV147" i="1"/>
  <c r="AO305" i="1"/>
  <c r="AK176" i="1"/>
  <c r="AL192" i="1"/>
  <c r="AK152" i="1"/>
  <c r="BE234" i="11"/>
  <c r="AH58" i="6"/>
  <c r="BJ316" i="11"/>
  <c r="AM144" i="1"/>
  <c r="BH157" i="11"/>
  <c r="BS224" i="11"/>
  <c r="AJ35" i="6"/>
  <c r="CT25" i="6"/>
  <c r="BY270" i="11"/>
  <c r="BU105" i="11"/>
  <c r="AM328" i="1"/>
  <c r="BS18" i="11"/>
  <c r="AL261" i="1"/>
  <c r="BU224" i="11"/>
  <c r="BF65" i="11"/>
  <c r="BU286" i="11"/>
  <c r="BN312" i="11"/>
  <c r="BU248" i="11"/>
  <c r="BP187" i="11"/>
  <c r="BL169" i="11"/>
  <c r="AK52" i="6"/>
  <c r="BG53" i="11"/>
  <c r="BN344" i="11"/>
  <c r="AG34" i="6"/>
  <c r="BP306" i="11"/>
  <c r="CR10" i="6"/>
  <c r="BU18" i="11"/>
  <c r="AO54" i="6"/>
  <c r="BE336" i="11"/>
  <c r="AG11" i="6"/>
  <c r="BP157" i="11"/>
  <c r="BO123" i="11"/>
  <c r="AN256" i="1"/>
  <c r="BT220" i="11"/>
  <c r="BP123" i="11"/>
  <c r="BU191" i="11"/>
  <c r="BF242" i="11"/>
  <c r="BK65" i="11"/>
  <c r="CW11" i="6"/>
  <c r="BK215" i="11"/>
  <c r="BL157" i="11"/>
  <c r="BS22" i="11"/>
  <c r="AI18" i="6"/>
  <c r="AI15" i="6"/>
  <c r="AL352" i="1"/>
  <c r="BP234" i="11"/>
  <c r="BT302" i="11"/>
  <c r="BK14" i="11"/>
  <c r="AN293" i="1"/>
  <c r="AK163" i="1"/>
  <c r="BM111" i="11"/>
  <c r="AM172" i="1"/>
  <c r="BN22" i="11"/>
  <c r="AN135" i="1"/>
  <c r="AL214" i="1"/>
  <c r="BH145" i="11"/>
  <c r="BW111" i="11"/>
  <c r="BY26" i="11"/>
  <c r="BS77" i="11"/>
  <c r="BT306" i="11"/>
  <c r="AR256" i="1"/>
  <c r="BY228" i="11"/>
  <c r="BY53" i="11"/>
  <c r="BR53" i="11"/>
  <c r="BK169" i="11"/>
  <c r="CW52" i="6"/>
  <c r="BS274" i="11"/>
  <c r="AN216" i="1"/>
  <c r="BM266" i="11"/>
  <c r="BF270" i="11"/>
  <c r="AN36" i="6"/>
  <c r="BG41" i="11"/>
  <c r="AK299" i="1"/>
  <c r="AT185" i="1"/>
  <c r="AP31" i="6"/>
  <c r="AW143" i="1"/>
  <c r="BY34" i="11"/>
  <c r="BL141" i="11"/>
  <c r="AL25" i="6"/>
  <c r="CR26" i="6"/>
  <c r="BE57" i="11"/>
  <c r="AQ9" i="6"/>
  <c r="CS35" i="6"/>
  <c r="BM270" i="11"/>
  <c r="AN53" i="6"/>
  <c r="BF344" i="11"/>
  <c r="BY258" i="11"/>
  <c r="AM153" i="1"/>
  <c r="BI203" i="11"/>
  <c r="AN35" i="6"/>
  <c r="BG145" i="11"/>
  <c r="BK282" i="11"/>
  <c r="BL57" i="11"/>
  <c r="BI177" i="11"/>
  <c r="BO294" i="11"/>
  <c r="AL167" i="1"/>
  <c r="BX99" i="11"/>
  <c r="CS26" i="6"/>
  <c r="AL351" i="1"/>
  <c r="BX332" i="11"/>
  <c r="BH224" i="11"/>
  <c r="AO271" i="1"/>
  <c r="BK10" i="11"/>
  <c r="AQ222" i="1"/>
  <c r="BR328" i="11"/>
  <c r="BW18" i="11"/>
  <c r="BK266" i="11"/>
  <c r="BQ26" i="11"/>
  <c r="BK340" i="11"/>
  <c r="AI31" i="6"/>
  <c r="AN270" i="1"/>
  <c r="AQ271" i="1"/>
  <c r="BI258" i="11"/>
  <c r="AT211" i="1"/>
  <c r="BO45" i="11"/>
  <c r="BU298" i="11"/>
  <c r="AK166" i="1"/>
  <c r="BI10" i="11"/>
  <c r="AJ59" i="6"/>
  <c r="BI266" i="11"/>
  <c r="AQ14" i="6"/>
  <c r="BQ278" i="11"/>
  <c r="BY137" i="11"/>
  <c r="AH47" i="6"/>
  <c r="BG290" i="11"/>
  <c r="BG14" i="11"/>
  <c r="AK161" i="1"/>
  <c r="BV145" i="11"/>
  <c r="AM148" i="1"/>
  <c r="BS81" i="11"/>
  <c r="CS8" i="6"/>
  <c r="BE65" i="11"/>
  <c r="AM215" i="1"/>
  <c r="AI48" i="6"/>
  <c r="CT28" i="6"/>
  <c r="BM169" i="11"/>
  <c r="AM59" i="6"/>
  <c r="BU328" i="11"/>
  <c r="BQ228" i="11"/>
  <c r="BE203" i="11"/>
  <c r="AI16" i="6"/>
  <c r="BY65" i="11"/>
  <c r="BH53" i="11"/>
  <c r="AN355" i="1"/>
  <c r="BW248" i="11"/>
  <c r="BL173" i="11"/>
  <c r="AL157" i="1"/>
  <c r="CW15" i="6"/>
  <c r="CS59" i="6"/>
  <c r="AO57" i="6"/>
  <c r="BI123" i="11"/>
  <c r="BJ266" i="11"/>
  <c r="AW248" i="1"/>
  <c r="CW27" i="6"/>
  <c r="AJ63" i="1"/>
  <c r="BM61" i="11"/>
  <c r="BL41" i="11"/>
  <c r="BE145" i="11"/>
  <c r="BR57" i="11"/>
  <c r="BG10" i="11"/>
  <c r="BV14" i="11"/>
  <c r="CS48" i="6"/>
  <c r="AN189" i="1"/>
  <c r="BX203" i="11"/>
  <c r="BW137" i="11"/>
  <c r="BX270" i="11"/>
  <c r="BM312" i="11"/>
  <c r="CR48" i="6"/>
  <c r="CS9" i="6"/>
  <c r="BJ220" i="11"/>
  <c r="AP47" i="6"/>
  <c r="BX111" i="11"/>
  <c r="AR35" i="6"/>
  <c r="AT291" i="1"/>
  <c r="AK222" i="1"/>
  <c r="AK84" i="13" l="1"/>
  <c r="AK491" i="13" s="1" a="1"/>
  <c r="AK491" i="13" s="1"/>
  <c r="R491" i="13" a="1"/>
  <c r="R491" i="13" s="1"/>
  <c r="AK36" i="13"/>
  <c r="AK313" i="13" s="1" a="1"/>
  <c r="AK313" i="13" s="1"/>
  <c r="R313" i="13" a="1"/>
  <c r="R313" i="13" s="1"/>
  <c r="O43" i="14"/>
  <c r="O47" i="14"/>
  <c r="O50" i="14"/>
  <c r="O53" i="14"/>
  <c r="O48" i="14"/>
  <c r="O45" i="14"/>
  <c r="O51" i="14"/>
  <c r="O49" i="14"/>
  <c r="V597" i="3"/>
  <c r="AC237" i="1"/>
  <c r="F3" i="4"/>
  <c r="J615" i="3"/>
  <c r="F2" i="4"/>
  <c r="AJ93" i="13"/>
  <c r="P520" i="13" a="1"/>
  <c r="P520" i="13" s="1"/>
  <c r="P569" i="13" a="1"/>
  <c r="P569" i="13" s="1"/>
  <c r="Y136" i="3"/>
  <c r="AC230" i="1"/>
  <c r="AD237" i="1"/>
  <c r="V316" i="1"/>
  <c r="G236" i="13"/>
  <c r="Y156" i="1"/>
  <c r="Y315" i="1"/>
  <c r="AB237" i="1"/>
  <c r="AB232" i="1"/>
  <c r="AB320" i="1" s="1"/>
  <c r="T332" i="3"/>
  <c r="J503" i="13" a="1"/>
  <c r="J503" i="13" s="1"/>
  <c r="T597" i="3"/>
  <c r="G46" i="14"/>
  <c r="L283" i="11"/>
  <c r="L284" i="11" s="1"/>
  <c r="H83" i="13"/>
  <c r="H487" i="13" s="1" a="1"/>
  <c r="H487" i="13" s="1"/>
  <c r="AF53" i="13"/>
  <c r="AF375" i="13" s="1" a="1"/>
  <c r="AF375" i="13" s="1"/>
  <c r="AI13" i="13"/>
  <c r="AI230" i="13" s="1" a="1"/>
  <c r="AI230" i="13" s="1"/>
  <c r="I597" i="3"/>
  <c r="X371" i="13" a="1"/>
  <c r="X371" i="13" s="1"/>
  <c r="AN36" i="13"/>
  <c r="AN313" i="13" s="1" a="1"/>
  <c r="AN313" i="13" s="1"/>
  <c r="L581" i="13" a="1"/>
  <c r="L581" i="13" s="1"/>
  <c r="R494" i="3"/>
  <c r="R495" i="3" s="1"/>
  <c r="AJ102" i="13"/>
  <c r="AJ556" i="13" s="1" a="1"/>
  <c r="AJ556" i="13" s="1"/>
  <c r="AK557" i="13" s="1"/>
  <c r="H234" i="13" a="1"/>
  <c r="H234" i="13" s="1"/>
  <c r="J235" i="13" s="1"/>
  <c r="AA322" i="3"/>
  <c r="AA332" i="3" s="1"/>
  <c r="W474" i="3"/>
  <c r="W483" i="3" s="1"/>
  <c r="W478" i="3"/>
  <c r="W479" i="3" s="1"/>
  <c r="W484" i="3" s="1"/>
  <c r="AC97" i="3"/>
  <c r="L317" i="13" a="1"/>
  <c r="L317" i="13" s="1"/>
  <c r="L318" i="13" s="1"/>
  <c r="AH552" i="13" a="1"/>
  <c r="AH552" i="13" s="1"/>
  <c r="Y409" i="3"/>
  <c r="U328" i="1"/>
  <c r="AD328" i="1"/>
  <c r="O57" i="6"/>
  <c r="BR57" i="6" s="1"/>
  <c r="AG127" i="3"/>
  <c r="F425" i="3"/>
  <c r="AD315" i="1"/>
  <c r="F145" i="3"/>
  <c r="F100" i="11" s="1"/>
  <c r="F101" i="11" s="1"/>
  <c r="F41" i="6"/>
  <c r="BI41" i="6" s="1"/>
  <c r="AG237" i="1"/>
  <c r="R507" i="3"/>
  <c r="T37" i="13"/>
  <c r="T317" i="13" s="1" a="1"/>
  <c r="T317" i="13" s="1"/>
  <c r="T318" i="13" s="1"/>
  <c r="Y328" i="1"/>
  <c r="L350" i="3"/>
  <c r="O615" i="3"/>
  <c r="AF240" i="13"/>
  <c r="Z232" i="1"/>
  <c r="Z320" i="1" s="1"/>
  <c r="U237" i="1"/>
  <c r="R307" i="11"/>
  <c r="R308" i="11" s="1"/>
  <c r="AF38" i="13"/>
  <c r="AF321" i="13" s="1" a="1"/>
  <c r="AF321" i="13" s="1"/>
  <c r="W53" i="13"/>
  <c r="W375" i="13" s="1" a="1"/>
  <c r="W375" i="13" s="1"/>
  <c r="V615" i="3"/>
  <c r="AA156" i="1"/>
  <c r="Z230" i="1"/>
  <c r="AA155" i="1"/>
  <c r="V524" i="3"/>
  <c r="AA315" i="1"/>
  <c r="S494" i="3"/>
  <c r="S495" i="3" s="1"/>
  <c r="U230" i="1"/>
  <c r="S487" i="3"/>
  <c r="J491" i="13" a="1"/>
  <c r="J491" i="13" s="1"/>
  <c r="L492" i="13" s="1"/>
  <c r="AH328" i="1"/>
  <c r="T156" i="1"/>
  <c r="T482" i="3"/>
  <c r="T485" i="3" s="1"/>
  <c r="T307" i="11" s="1"/>
  <c r="T308" i="11" s="1"/>
  <c r="H520" i="13" a="1"/>
  <c r="H520" i="13" s="1"/>
  <c r="O59" i="6"/>
  <c r="BR59" i="6" s="1"/>
  <c r="S648" i="3"/>
  <c r="D28" i="1"/>
  <c r="T155" i="1"/>
  <c r="L507" i="3"/>
  <c r="U362" i="3"/>
  <c r="U363" i="3" s="1"/>
  <c r="T13" i="13"/>
  <c r="T230" i="13" s="1" a="1"/>
  <c r="T230" i="13" s="1"/>
  <c r="T232" i="13" s="1"/>
  <c r="H511" i="13" a="1"/>
  <c r="H511" i="13" s="1"/>
  <c r="H513" i="13" s="1"/>
  <c r="M507" i="3"/>
  <c r="R159" i="3"/>
  <c r="O26" i="6"/>
  <c r="BR26" i="6" s="1"/>
  <c r="P317" i="13" a="1"/>
  <c r="P317" i="13" s="1"/>
  <c r="P319" i="13" s="1"/>
  <c r="AE277" i="1"/>
  <c r="AH156" i="1"/>
  <c r="G615" i="3"/>
  <c r="G623" i="3" s="1"/>
  <c r="G2" i="3" s="1"/>
  <c r="U155" i="1"/>
  <c r="AH155" i="1"/>
  <c r="V439" i="3"/>
  <c r="V530" i="3" s="1"/>
  <c r="V559" i="3" s="1"/>
  <c r="F147" i="3"/>
  <c r="F243" i="11" s="1"/>
  <c r="F244" i="11" s="1"/>
  <c r="AA235" i="3"/>
  <c r="AA250" i="3" s="1"/>
  <c r="R507" i="13" a="1"/>
  <c r="R507" i="13" s="1"/>
  <c r="R509" i="13" s="1"/>
  <c r="P230" i="13" a="1"/>
  <c r="P230" i="13" s="1"/>
  <c r="P231" i="13" s="1"/>
  <c r="Q42" i="6"/>
  <c r="S42" i="6" s="1"/>
  <c r="U156" i="1"/>
  <c r="U329" i="1" s="1"/>
  <c r="U245" i="3"/>
  <c r="AD156" i="1"/>
  <c r="AD378" i="1" s="1"/>
  <c r="Y101" i="3"/>
  <c r="Y308" i="3" s="1"/>
  <c r="AF315" i="3"/>
  <c r="AH315" i="3" s="1"/>
  <c r="AD279" i="1"/>
  <c r="AD308" i="1" s="1"/>
  <c r="N491" i="13" a="1"/>
  <c r="N491" i="13" s="1"/>
  <c r="N492" i="13" s="1"/>
  <c r="Y277" i="1"/>
  <c r="I371" i="3"/>
  <c r="AF228" i="13"/>
  <c r="AD219" i="3"/>
  <c r="G228" i="13"/>
  <c r="AF237" i="1"/>
  <c r="Y230" i="1"/>
  <c r="V242" i="3"/>
  <c r="X247" i="3" s="1"/>
  <c r="V328" i="1"/>
  <c r="R503" i="13" a="1"/>
  <c r="R503" i="13" s="1"/>
  <c r="R505" i="13" s="1"/>
  <c r="AC232" i="1"/>
  <c r="AC320" i="1" s="1"/>
  <c r="AD232" i="1"/>
  <c r="AD320" i="1" s="1"/>
  <c r="AH230" i="1"/>
  <c r="AE232" i="1"/>
  <c r="AE320" i="1" s="1"/>
  <c r="AF87" i="13"/>
  <c r="AF503" i="13" s="1" a="1"/>
  <c r="AF503" i="13" s="1"/>
  <c r="AF505" i="13" s="1"/>
  <c r="Y232" i="1"/>
  <c r="Y320" i="1" s="1"/>
  <c r="Z322" i="1" s="1"/>
  <c r="Z237" i="1"/>
  <c r="V159" i="3"/>
  <c r="L313" i="13" a="1"/>
  <c r="L313" i="13" s="1"/>
  <c r="AF156" i="1"/>
  <c r="AF155" i="1"/>
  <c r="Y237" i="1"/>
  <c r="N222" i="13" a="1"/>
  <c r="N222" i="13" s="1"/>
  <c r="N223" i="13" s="1"/>
  <c r="AF328" i="1"/>
  <c r="AJ552" i="13" a="1"/>
  <c r="AJ552" i="13" s="1"/>
  <c r="AJ554" i="13" s="1"/>
  <c r="AJ581" i="13" a="1"/>
  <c r="AJ581" i="13" s="1"/>
  <c r="AJ583" i="13" s="1"/>
  <c r="AA473" i="3"/>
  <c r="AC473" i="3" s="1"/>
  <c r="Y478" i="3"/>
  <c r="Y479" i="3" s="1"/>
  <c r="Y484" i="3" s="1"/>
  <c r="Y474" i="3"/>
  <c r="Y483" i="3" s="1"/>
  <c r="H560" i="13" a="1"/>
  <c r="H560" i="13" s="1"/>
  <c r="H562" i="13" s="1"/>
  <c r="V277" i="1"/>
  <c r="AB230" i="1"/>
  <c r="AE156" i="1"/>
  <c r="AE329" i="1" s="1"/>
  <c r="R439" i="3"/>
  <c r="R530" i="3" s="1"/>
  <c r="R559" i="3" s="1"/>
  <c r="AH279" i="1"/>
  <c r="AH308" i="1" s="1"/>
  <c r="AD230" i="1"/>
  <c r="U247" i="3"/>
  <c r="V230" i="13" a="1"/>
  <c r="V230" i="13" s="1"/>
  <c r="AE237" i="1"/>
  <c r="U232" i="1"/>
  <c r="U320" i="1" s="1"/>
  <c r="V322" i="1" s="1"/>
  <c r="R230" i="13" a="1"/>
  <c r="R230" i="13" s="1"/>
  <c r="R232" i="13" s="1"/>
  <c r="S570" i="3"/>
  <c r="S573" i="3" s="1"/>
  <c r="S429" i="3" s="1"/>
  <c r="S430" i="3" s="1"/>
  <c r="N332" i="3"/>
  <c r="U343" i="3"/>
  <c r="Q85" i="13" s="1"/>
  <c r="J130" i="3"/>
  <c r="Q597" i="3"/>
  <c r="K615" i="3"/>
  <c r="L8" i="6"/>
  <c r="BO8" i="6" s="1"/>
  <c r="M53" i="14"/>
  <c r="M54" i="14" s="1"/>
  <c r="H615" i="3"/>
  <c r="AE328" i="1"/>
  <c r="AH232" i="1"/>
  <c r="AH320" i="1" s="1"/>
  <c r="AE230" i="1"/>
  <c r="Q615" i="3"/>
  <c r="U283" i="11"/>
  <c r="U284" i="11" s="1"/>
  <c r="AF232" i="1"/>
  <c r="AF320" i="1" s="1"/>
  <c r="V380" i="3"/>
  <c r="W306" i="3"/>
  <c r="N24" i="6" s="1"/>
  <c r="BQ24" i="6" s="1"/>
  <c r="AM239" i="13"/>
  <c r="CI40" i="6"/>
  <c r="CJ40" i="6" s="1"/>
  <c r="V388" i="3"/>
  <c r="H130" i="3"/>
  <c r="W224" i="3"/>
  <c r="W255" i="3" s="1"/>
  <c r="W319" i="3" s="1"/>
  <c r="L597" i="3"/>
  <c r="AE155" i="1"/>
  <c r="V385" i="3"/>
  <c r="V336" i="3"/>
  <c r="V338" i="3" s="1"/>
  <c r="V315" i="1"/>
  <c r="V329" i="1"/>
  <c r="V378" i="1"/>
  <c r="Y87" i="3"/>
  <c r="Y306" i="3" s="1"/>
  <c r="AI581" i="13" a="1"/>
  <c r="AI581" i="13" s="1"/>
  <c r="AI583" i="13" s="1"/>
  <c r="AI552" i="13" a="1"/>
  <c r="AI552" i="13" s="1"/>
  <c r="AI554" i="13" s="1"/>
  <c r="G51" i="14"/>
  <c r="N313" i="13" a="1"/>
  <c r="N313" i="13" s="1"/>
  <c r="N315" i="13" s="1"/>
  <c r="Q417" i="3"/>
  <c r="Q565" i="3" s="1"/>
  <c r="G49" i="14"/>
  <c r="N597" i="3"/>
  <c r="H228" i="13"/>
  <c r="P313" i="13" a="1"/>
  <c r="P313" i="13" s="1"/>
  <c r="K507" i="3"/>
  <c r="G45" i="14"/>
  <c r="G48" i="14"/>
  <c r="G44" i="14"/>
  <c r="N226" i="13" a="1"/>
  <c r="N226" i="13" s="1"/>
  <c r="G47" i="14"/>
  <c r="H232" i="13"/>
  <c r="N552" i="13" a="1"/>
  <c r="N552" i="13" s="1"/>
  <c r="P553" i="13" s="1"/>
  <c r="AF340" i="13"/>
  <c r="AG156" i="1"/>
  <c r="AG329" i="1" s="1"/>
  <c r="J566" i="3"/>
  <c r="AG155" i="1"/>
  <c r="AG315" i="1"/>
  <c r="Q478" i="3"/>
  <c r="Q479" i="3" s="1"/>
  <c r="Q484" i="3" s="1"/>
  <c r="Q485" i="3" s="1"/>
  <c r="P615" i="3"/>
  <c r="N350" i="3"/>
  <c r="R306" i="3"/>
  <c r="R329" i="3" s="1"/>
  <c r="I507" i="3"/>
  <c r="J507" i="13" a="1"/>
  <c r="J507" i="13" s="1"/>
  <c r="X230" i="1"/>
  <c r="P439" i="3"/>
  <c r="P530" i="3" s="1"/>
  <c r="P559" i="3" s="1"/>
  <c r="R224" i="3"/>
  <c r="R260" i="3" s="1"/>
  <c r="G53" i="14"/>
  <c r="V309" i="13" a="1"/>
  <c r="V309" i="13" s="1"/>
  <c r="V310" i="13" s="1"/>
  <c r="V623" i="3"/>
  <c r="V2" i="3" s="1"/>
  <c r="G43" i="14"/>
  <c r="R556" i="13" a="1"/>
  <c r="R556" i="13" s="1"/>
  <c r="R558" i="13" s="1"/>
  <c r="N581" i="13" a="1"/>
  <c r="N581" i="13" s="1"/>
  <c r="P582" i="13" s="1"/>
  <c r="AF230" i="1"/>
  <c r="AG287" i="3"/>
  <c r="AG290" i="3" s="1"/>
  <c r="AG293" i="3" s="1"/>
  <c r="AA237" i="3"/>
  <c r="AA252" i="3" s="1"/>
  <c r="X313" i="13" a="1"/>
  <c r="X313" i="13" s="1"/>
  <c r="X314" i="13" s="1"/>
  <c r="H491" i="13" a="1"/>
  <c r="H491" i="13" s="1"/>
  <c r="H493" i="13" s="1"/>
  <c r="R226" i="13" a="1"/>
  <c r="R226" i="13" s="1"/>
  <c r="X232" i="1"/>
  <c r="X320" i="1" s="1"/>
  <c r="O507" i="3"/>
  <c r="M439" i="3"/>
  <c r="M530" i="3" s="1"/>
  <c r="M559" i="3" s="1"/>
  <c r="AF282" i="13"/>
  <c r="AB219" i="3"/>
  <c r="H522" i="13"/>
  <c r="M597" i="3"/>
  <c r="AM240" i="13"/>
  <c r="V230" i="1"/>
  <c r="P597" i="3"/>
  <c r="AJ520" i="13" a="1"/>
  <c r="AJ520" i="13" s="1"/>
  <c r="AK521" i="13" s="1"/>
  <c r="AJ569" i="13" a="1"/>
  <c r="AJ569" i="13" s="1"/>
  <c r="G224" i="13"/>
  <c r="G282" i="13"/>
  <c r="G427" i="13"/>
  <c r="H623" i="3"/>
  <c r="H2" i="3" s="1"/>
  <c r="P222" i="13" a="1"/>
  <c r="P222" i="13" s="1"/>
  <c r="P224" i="13" s="1"/>
  <c r="X328" i="1"/>
  <c r="L503" i="13" a="1"/>
  <c r="L503" i="13" s="1"/>
  <c r="L505" i="13" s="1"/>
  <c r="H327" i="13"/>
  <c r="U507" i="3"/>
  <c r="L230" i="13" a="1"/>
  <c r="L230" i="13" s="1"/>
  <c r="L232" i="13" s="1"/>
  <c r="P491" i="13" a="1"/>
  <c r="P491" i="13" s="1"/>
  <c r="R492" i="13" s="1"/>
  <c r="I43" i="14"/>
  <c r="P507" i="13" a="1"/>
  <c r="P507" i="13" s="1"/>
  <c r="L308" i="3"/>
  <c r="L331" i="3" s="1"/>
  <c r="AF213" i="3"/>
  <c r="AF218" i="3" s="1"/>
  <c r="AH213" i="3"/>
  <c r="AH93" i="3" s="1"/>
  <c r="H311" i="13"/>
  <c r="H356" i="13"/>
  <c r="H459" i="13"/>
  <c r="I52" i="14"/>
  <c r="I49" i="14"/>
  <c r="I51" i="14"/>
  <c r="AF253" i="13"/>
  <c r="AF298" i="13"/>
  <c r="AF550" i="13"/>
  <c r="L556" i="3"/>
  <c r="I48" i="14"/>
  <c r="V237" i="1"/>
  <c r="AF83" i="13"/>
  <c r="AF487" i="13" s="1" a="1"/>
  <c r="AF487" i="13" s="1"/>
  <c r="AF489" i="13" s="1"/>
  <c r="I50" i="14"/>
  <c r="X155" i="1"/>
  <c r="I46" i="14"/>
  <c r="G365" i="13"/>
  <c r="L226" i="13" a="1"/>
  <c r="L226" i="13" s="1"/>
  <c r="X156" i="1"/>
  <c r="X378" i="1" s="1"/>
  <c r="X377" i="3"/>
  <c r="J597" i="3"/>
  <c r="J623" i="3" s="1"/>
  <c r="J2" i="3" s="1"/>
  <c r="R321" i="13" a="1"/>
  <c r="R321" i="13" s="1"/>
  <c r="Q507" i="3"/>
  <c r="X379" i="3"/>
  <c r="X388" i="3" s="1"/>
  <c r="I45" i="14"/>
  <c r="I44" i="14"/>
  <c r="I53" i="14"/>
  <c r="G530" i="13"/>
  <c r="AF414" i="13"/>
  <c r="AB237" i="3"/>
  <c r="AB252" i="3" s="1"/>
  <c r="T232" i="1"/>
  <c r="T320" i="1" s="1"/>
  <c r="X237" i="1"/>
  <c r="AF509" i="13"/>
  <c r="W237" i="1"/>
  <c r="T242" i="3"/>
  <c r="G558" i="13"/>
  <c r="AK14" i="13"/>
  <c r="AK234" i="13" s="1" a="1"/>
  <c r="AK234" i="13" s="1"/>
  <c r="AK82" i="13"/>
  <c r="AK483" i="13" s="1" a="1"/>
  <c r="AK483" i="13" s="1"/>
  <c r="AK485" i="13" s="1"/>
  <c r="J569" i="13" a="1"/>
  <c r="J569" i="13" s="1"/>
  <c r="T230" i="1"/>
  <c r="AC156" i="1"/>
  <c r="AC162" i="1" s="1"/>
  <c r="H371" i="3"/>
  <c r="G431" i="13"/>
  <c r="G526" i="13"/>
  <c r="AH93" i="13"/>
  <c r="AC155" i="1"/>
  <c r="AF154" i="3"/>
  <c r="AF84" i="3" s="1"/>
  <c r="AK569" i="13" a="1"/>
  <c r="AK569" i="13" s="1"/>
  <c r="AK571" i="13" s="1"/>
  <c r="L569" i="13" a="1"/>
  <c r="L569" i="13" s="1"/>
  <c r="L571" i="13" s="1"/>
  <c r="AC315" i="1"/>
  <c r="H507" i="3"/>
  <c r="V507" i="3"/>
  <c r="G546" i="13"/>
  <c r="G522" i="13"/>
  <c r="H507" i="13" a="1"/>
  <c r="H507" i="13" s="1"/>
  <c r="H509" i="13" s="1"/>
  <c r="V226" i="13" a="1"/>
  <c r="V226" i="13" s="1"/>
  <c r="AH202" i="3"/>
  <c r="AH214" i="3" s="1"/>
  <c r="G414" i="13"/>
  <c r="AF302" i="13"/>
  <c r="AF427" i="13"/>
  <c r="AF451" i="13"/>
  <c r="F54" i="14"/>
  <c r="G509" i="13"/>
  <c r="G571" i="13"/>
  <c r="G311" i="13"/>
  <c r="G435" i="13"/>
  <c r="W230" i="1"/>
  <c r="G455" i="13"/>
  <c r="L556" i="13" a="1"/>
  <c r="L556" i="13" s="1"/>
  <c r="L558" i="13" s="1"/>
  <c r="H286" i="13"/>
  <c r="AF232" i="13"/>
  <c r="W232" i="1"/>
  <c r="W320" i="1" s="1"/>
  <c r="U615" i="3"/>
  <c r="N556" i="13" a="1"/>
  <c r="N556" i="13" s="1"/>
  <c r="Z237" i="3"/>
  <c r="Z252" i="3" s="1"/>
  <c r="AF562" i="13"/>
  <c r="L511" i="13" a="1"/>
  <c r="L511" i="13" s="1"/>
  <c r="L513" i="13" s="1"/>
  <c r="L615" i="3"/>
  <c r="H311" i="3"/>
  <c r="H452" i="3" s="1"/>
  <c r="J311" i="3"/>
  <c r="J313" i="3" s="1"/>
  <c r="J521" i="3" s="1"/>
  <c r="J520" i="13" a="1"/>
  <c r="J520" i="13" s="1"/>
  <c r="J522" i="13" s="1"/>
  <c r="W156" i="1"/>
  <c r="W162" i="1" s="1"/>
  <c r="G538" i="13"/>
  <c r="G451" i="13"/>
  <c r="G459" i="13"/>
  <c r="H443" i="13"/>
  <c r="H455" i="13"/>
  <c r="R597" i="3"/>
  <c r="R623" i="3" s="1"/>
  <c r="R2" i="3" s="1"/>
  <c r="V417" i="3"/>
  <c r="V565" i="3" s="1"/>
  <c r="V566" i="3" s="1"/>
  <c r="U597" i="3"/>
  <c r="G261" i="13"/>
  <c r="O241" i="3"/>
  <c r="H282" i="13"/>
  <c r="H365" i="13"/>
  <c r="H542" i="13"/>
  <c r="T240" i="3"/>
  <c r="AB84" i="3"/>
  <c r="X12" i="13" s="1"/>
  <c r="X226" i="13" s="1" a="1"/>
  <c r="X226" i="13" s="1"/>
  <c r="Z227" i="13" s="1"/>
  <c r="AF294" i="13"/>
  <c r="H463" i="13"/>
  <c r="H414" i="13"/>
  <c r="AL12" i="13"/>
  <c r="AL226" i="13" s="1" a="1"/>
  <c r="AL226" i="13" s="1"/>
  <c r="H447" i="13"/>
  <c r="N615" i="3"/>
  <c r="AE166" i="3"/>
  <c r="AE92" i="3" s="1"/>
  <c r="T241" i="3"/>
  <c r="AF439" i="13"/>
  <c r="T507" i="3"/>
  <c r="AO36" i="13"/>
  <c r="AO313" i="13" s="1" a="1"/>
  <c r="AO313" i="13" s="1"/>
  <c r="AO315" i="13" s="1"/>
  <c r="AF319" i="13"/>
  <c r="AF530" i="13"/>
  <c r="H253" i="13"/>
  <c r="H319" i="13"/>
  <c r="H373" i="13"/>
  <c r="V155" i="1"/>
  <c r="V324" i="1"/>
  <c r="N439" i="3"/>
  <c r="N530" i="3" s="1"/>
  <c r="N559" i="3" s="1"/>
  <c r="F8" i="3"/>
  <c r="F3" i="3" s="1"/>
  <c r="J350" i="3"/>
  <c r="G447" i="13"/>
  <c r="AH88" i="13"/>
  <c r="AH507" i="13" s="1" a="1"/>
  <c r="AH507" i="13" s="1"/>
  <c r="AH508" i="13" s="1"/>
  <c r="AF571" i="13"/>
  <c r="H261" i="13"/>
  <c r="T329" i="3"/>
  <c r="J54" i="14"/>
  <c r="K54" i="14"/>
  <c r="G348" i="13"/>
  <c r="G406" i="13"/>
  <c r="G513" i="13"/>
  <c r="AF473" i="13"/>
  <c r="H410" i="13"/>
  <c r="G489" i="13"/>
  <c r="H352" i="13"/>
  <c r="H331" i="13"/>
  <c r="H418" i="13"/>
  <c r="G562" i="13"/>
  <c r="AF365" i="13"/>
  <c r="U419" i="3"/>
  <c r="H240" i="13"/>
  <c r="H497" i="13"/>
  <c r="H575" i="13"/>
  <c r="P507" i="3"/>
  <c r="U246" i="3"/>
  <c r="G273" i="13"/>
  <c r="G323" i="13"/>
  <c r="G340" i="13"/>
  <c r="G398" i="13"/>
  <c r="AF534" i="13"/>
  <c r="H546" i="13"/>
  <c r="AH53" i="13"/>
  <c r="AH375" i="13" s="1" a="1"/>
  <c r="AH375" i="13" s="1"/>
  <c r="AF261" i="13"/>
  <c r="H505" i="13"/>
  <c r="AI14" i="13"/>
  <c r="AI234" i="13" s="1" a="1"/>
  <c r="AI234" i="13" s="1"/>
  <c r="AI236" i="13" s="1"/>
  <c r="G265" i="13"/>
  <c r="G390" i="13"/>
  <c r="G439" i="13"/>
  <c r="G463" i="13"/>
  <c r="G505" i="13"/>
  <c r="AF443" i="13"/>
  <c r="AF485" i="13"/>
  <c r="H427" i="13"/>
  <c r="H398" i="13"/>
  <c r="M615" i="3"/>
  <c r="AF554" i="13"/>
  <c r="L380" i="3"/>
  <c r="AF558" i="13"/>
  <c r="AL36" i="13"/>
  <c r="AL313" i="13" s="1" a="1"/>
  <c r="AL313" i="13" s="1"/>
  <c r="AM314" i="13" s="1"/>
  <c r="T42" i="6"/>
  <c r="U42" i="6" s="1"/>
  <c r="G319" i="13"/>
  <c r="AF265" i="13"/>
  <c r="AF418" i="13"/>
  <c r="AF538" i="13"/>
  <c r="H323" i="13"/>
  <c r="H526" i="13"/>
  <c r="AF236" i="13"/>
  <c r="AF323" i="13"/>
  <c r="AF85" i="13"/>
  <c r="AF495" i="13" s="1" a="1"/>
  <c r="AF495" i="13" s="1"/>
  <c r="AF497" i="13" s="1"/>
  <c r="J507" i="3"/>
  <c r="AI520" i="13" a="1"/>
  <c r="AI520" i="13" s="1"/>
  <c r="AI522" i="13" s="1"/>
  <c r="AI569" i="13" a="1"/>
  <c r="AI569" i="13" s="1"/>
  <c r="AI571" i="13" s="1"/>
  <c r="N54" i="14"/>
  <c r="G244" i="13"/>
  <c r="G294" i="13"/>
  <c r="G286" i="13"/>
  <c r="G352" i="13"/>
  <c r="G542" i="13"/>
  <c r="AK581" i="13" a="1"/>
  <c r="AK581" i="13" s="1"/>
  <c r="N503" i="13" a="1"/>
  <c r="N503" i="13" s="1"/>
  <c r="P504" i="13" s="1"/>
  <c r="N569" i="13" a="1"/>
  <c r="N569" i="13" s="1"/>
  <c r="N571" i="13" s="1"/>
  <c r="AF377" i="13"/>
  <c r="AF459" i="13"/>
  <c r="AF581" i="13" a="1"/>
  <c r="AF581" i="13" s="1"/>
  <c r="AF583" i="13" s="1"/>
  <c r="H315" i="13"/>
  <c r="H348" i="13"/>
  <c r="H390" i="13"/>
  <c r="H550" i="13"/>
  <c r="H579" i="13"/>
  <c r="AJ14" i="13"/>
  <c r="AJ234" i="13" s="1" a="1"/>
  <c r="AJ234" i="13" s="1"/>
  <c r="AK235" i="13" s="1"/>
  <c r="P386" i="3"/>
  <c r="AF406" i="13"/>
  <c r="AF224" i="13"/>
  <c r="AH11" i="13"/>
  <c r="AH222" i="13" s="1" a="1"/>
  <c r="AH222" i="13" s="1"/>
  <c r="AI223" i="13" s="1"/>
  <c r="W315" i="1"/>
  <c r="M39" i="6"/>
  <c r="BP39" i="6" s="1"/>
  <c r="G240" i="13"/>
  <c r="G377" i="13"/>
  <c r="G418" i="13"/>
  <c r="AF373" i="13"/>
  <c r="AF520" i="13" a="1"/>
  <c r="AF520" i="13" s="1"/>
  <c r="AF522" i="13" s="1"/>
  <c r="J321" i="13" a="1"/>
  <c r="J321" i="13" s="1"/>
  <c r="J323" i="13" s="1"/>
  <c r="T623" i="3"/>
  <c r="T2" i="3" s="1"/>
  <c r="I419" i="3"/>
  <c r="I615" i="3"/>
  <c r="I623" i="3" s="1"/>
  <c r="I2" i="3" s="1"/>
  <c r="H54" i="14"/>
  <c r="G269" i="13"/>
  <c r="G327" i="13"/>
  <c r="N317" i="13" a="1"/>
  <c r="N317" i="13" s="1"/>
  <c r="H302" i="13"/>
  <c r="H290" i="13"/>
  <c r="H344" i="13"/>
  <c r="T310" i="3"/>
  <c r="G344" i="13"/>
  <c r="G369" i="13"/>
  <c r="H257" i="13"/>
  <c r="AF290" i="13"/>
  <c r="AF356" i="13"/>
  <c r="AF344" i="13"/>
  <c r="AF394" i="13"/>
  <c r="AF447" i="13"/>
  <c r="H402" i="13"/>
  <c r="H439" i="13"/>
  <c r="H481" i="13"/>
  <c r="M419" i="3"/>
  <c r="S419" i="3"/>
  <c r="H581" i="13" a="1"/>
  <c r="H581" i="13" s="1"/>
  <c r="H583" i="13" s="1"/>
  <c r="AG54" i="13"/>
  <c r="AG379" i="13" s="1" a="1"/>
  <c r="AG379" i="13" s="1"/>
  <c r="AH380" i="13" s="1"/>
  <c r="G315" i="13"/>
  <c r="G554" i="13"/>
  <c r="AF273" i="13"/>
  <c r="AF315" i="13"/>
  <c r="AF331" i="13"/>
  <c r="AF398" i="13"/>
  <c r="H265" i="13"/>
  <c r="H340" i="13"/>
  <c r="H435" i="13"/>
  <c r="AL11" i="13"/>
  <c r="AL222" i="13" s="1" a="1"/>
  <c r="AL222" i="13" s="1"/>
  <c r="AL224" i="13" s="1"/>
  <c r="P350" i="3"/>
  <c r="L54" i="14"/>
  <c r="G257" i="13"/>
  <c r="G402" i="13"/>
  <c r="AF526" i="13"/>
  <c r="AH84" i="13"/>
  <c r="AH491" i="13" s="1" a="1"/>
  <c r="AH491" i="13" s="1"/>
  <c r="AI492" i="13" s="1"/>
  <c r="AA237" i="1"/>
  <c r="P218" i="3"/>
  <c r="O350" i="3"/>
  <c r="P54" i="14"/>
  <c r="G290" i="13"/>
  <c r="G394" i="13"/>
  <c r="G493" i="13"/>
  <c r="G495" i="13" a="1"/>
  <c r="G495" i="13" s="1"/>
  <c r="G497" i="13" s="1"/>
  <c r="G579" i="13"/>
  <c r="R222" i="13" a="1"/>
  <c r="R222" i="13" s="1"/>
  <c r="T223" i="13" s="1"/>
  <c r="H244" i="13"/>
  <c r="N520" i="13" a="1"/>
  <c r="N520" i="13" s="1"/>
  <c r="P521" i="13" s="1"/>
  <c r="AF311" i="13"/>
  <c r="AF352" i="13"/>
  <c r="AF402" i="13"/>
  <c r="AF493" i="13"/>
  <c r="AF481" i="13"/>
  <c r="AF542" i="13"/>
  <c r="H298" i="13"/>
  <c r="H451" i="13"/>
  <c r="H473" i="13"/>
  <c r="H538" i="13"/>
  <c r="H41" i="6"/>
  <c r="BK41" i="6" s="1"/>
  <c r="AO12" i="13"/>
  <c r="AO226" i="13" s="1" a="1"/>
  <c r="AO226" i="13" s="1"/>
  <c r="AO228" i="13" s="1"/>
  <c r="AL53" i="13"/>
  <c r="AL375" i="13" s="1" a="1"/>
  <c r="AL375" i="13" s="1"/>
  <c r="AM376" i="13" s="1"/>
  <c r="G373" i="13"/>
  <c r="G443" i="13"/>
  <c r="G485" i="13"/>
  <c r="G575" i="13"/>
  <c r="K234" i="13" a="1"/>
  <c r="K234" i="13" s="1"/>
  <c r="K235" i="13" s="1"/>
  <c r="AF286" i="13"/>
  <c r="AF327" i="13"/>
  <c r="AF390" i="13"/>
  <c r="AF431" i="13"/>
  <c r="AF579" i="13"/>
  <c r="H273" i="13"/>
  <c r="H431" i="13"/>
  <c r="H530" i="13"/>
  <c r="H569" i="13" a="1"/>
  <c r="H569" i="13" s="1"/>
  <c r="H571" i="13" s="1"/>
  <c r="AJ53" i="13"/>
  <c r="AJ375" i="13" s="1" a="1"/>
  <c r="AJ375" i="13" s="1"/>
  <c r="AK376" i="13" s="1"/>
  <c r="K597" i="3"/>
  <c r="J419" i="3"/>
  <c r="N507" i="13" a="1"/>
  <c r="N507" i="13" s="1"/>
  <c r="N509" i="13" s="1"/>
  <c r="J556" i="13" a="1"/>
  <c r="J556" i="13" s="1"/>
  <c r="H534" i="13"/>
  <c r="S234" i="13" a="1"/>
  <c r="S234" i="13" s="1"/>
  <c r="S235" i="13" s="1"/>
  <c r="V329" i="3"/>
  <c r="AL35" i="13"/>
  <c r="AL309" i="13" s="1" a="1"/>
  <c r="AL309" i="13" s="1"/>
  <c r="AM310" i="13" s="1"/>
  <c r="G302" i="13"/>
  <c r="G356" i="13"/>
  <c r="G410" i="13"/>
  <c r="G473" i="13"/>
  <c r="G481" i="13"/>
  <c r="G583" i="13"/>
  <c r="R367" i="13" a="1"/>
  <c r="R367" i="13" s="1"/>
  <c r="T368" i="13" s="1"/>
  <c r="AF369" i="13"/>
  <c r="AF410" i="13"/>
  <c r="AF463" i="13"/>
  <c r="AF513" i="13"/>
  <c r="AF546" i="13"/>
  <c r="H294" i="13"/>
  <c r="H489" i="13"/>
  <c r="H556" i="13" a="1"/>
  <c r="H556" i="13" s="1"/>
  <c r="H558" i="13" s="1"/>
  <c r="N324" i="3"/>
  <c r="AB293" i="3"/>
  <c r="G534" i="13"/>
  <c r="H369" i="13"/>
  <c r="AA232" i="1"/>
  <c r="AA320" i="1" s="1"/>
  <c r="AB322" i="1" s="1"/>
  <c r="V570" i="3"/>
  <c r="V575" i="3" s="1"/>
  <c r="R332" i="3"/>
  <c r="AN35" i="13"/>
  <c r="AN309" i="13" s="1" a="1"/>
  <c r="AN309" i="13" s="1"/>
  <c r="AN311" i="13" s="1"/>
  <c r="V240" i="3"/>
  <c r="O54" i="14"/>
  <c r="G253" i="13"/>
  <c r="G331" i="13"/>
  <c r="G381" i="13"/>
  <c r="G550" i="13"/>
  <c r="AF244" i="13"/>
  <c r="AF257" i="13"/>
  <c r="AF348" i="13"/>
  <c r="AF435" i="13"/>
  <c r="AF455" i="13"/>
  <c r="AF575" i="13"/>
  <c r="H269" i="13"/>
  <c r="H377" i="13"/>
  <c r="H394" i="13"/>
  <c r="H406" i="13"/>
  <c r="H485" i="13"/>
  <c r="H552" i="13" a="1"/>
  <c r="H552" i="13" s="1"/>
  <c r="H554" i="13" s="1"/>
  <c r="AA230" i="1"/>
  <c r="W328" i="1"/>
  <c r="M311" i="3"/>
  <c r="M333" i="3" s="1"/>
  <c r="AD218" i="3"/>
  <c r="X226" i="3"/>
  <c r="X257" i="3" s="1"/>
  <c r="X262" i="3" s="1"/>
  <c r="X308" i="3"/>
  <c r="V241" i="3"/>
  <c r="V310" i="3"/>
  <c r="O597" i="3"/>
  <c r="O623" i="3" s="1"/>
  <c r="O2" i="3" s="1"/>
  <c r="P417" i="3"/>
  <c r="P565" i="3" s="1"/>
  <c r="V330" i="3"/>
  <c r="V402" i="3"/>
  <c r="P419" i="3"/>
  <c r="G419" i="3"/>
  <c r="Q241" i="3"/>
  <c r="N311" i="3"/>
  <c r="N354" i="3" s="1"/>
  <c r="P332" i="3"/>
  <c r="K311" i="3"/>
  <c r="K452" i="3" s="1"/>
  <c r="V355" i="3"/>
  <c r="O240" i="3"/>
  <c r="V401" i="3"/>
  <c r="R419" i="3"/>
  <c r="H419" i="3"/>
  <c r="I556" i="3"/>
  <c r="I570" i="3" s="1"/>
  <c r="I575" i="3" s="1"/>
  <c r="N507" i="3"/>
  <c r="L344" i="3"/>
  <c r="H86" i="13" s="1"/>
  <c r="H499" i="13" s="1" a="1"/>
  <c r="H499" i="13" s="1"/>
  <c r="H501" i="13" s="1"/>
  <c r="V387" i="3"/>
  <c r="T439" i="3"/>
  <c r="T530" i="3" s="1"/>
  <c r="T559" i="3" s="1"/>
  <c r="T566" i="3" s="1"/>
  <c r="O330" i="3"/>
  <c r="F311" i="3"/>
  <c r="AG213" i="3"/>
  <c r="AG218" i="3" s="1"/>
  <c r="R350" i="3"/>
  <c r="L439" i="3"/>
  <c r="L530" i="3" s="1"/>
  <c r="L559" i="3" s="1"/>
  <c r="AB101" i="3"/>
  <c r="X38" i="13" s="1"/>
  <c r="X321" i="13" s="1" a="1"/>
  <c r="X321" i="13" s="1"/>
  <c r="Z473" i="3"/>
  <c r="X474" i="3"/>
  <c r="X483" i="3" s="1"/>
  <c r="AA219" i="3"/>
  <c r="AA100" i="3"/>
  <c r="V138" i="11"/>
  <c r="V139" i="11" s="1"/>
  <c r="X159" i="3"/>
  <c r="AB218" i="3"/>
  <c r="AB93" i="3"/>
  <c r="X279" i="1"/>
  <c r="X308" i="1" s="1"/>
  <c r="X277" i="1"/>
  <c r="G6" i="14"/>
  <c r="G5" i="14" a="1"/>
  <c r="G5" i="14" s="1"/>
  <c r="G8" i="14" a="1"/>
  <c r="G8" i="14" s="1"/>
  <c r="H3" i="14"/>
  <c r="AL257" i="13"/>
  <c r="AL256" i="13"/>
  <c r="I252" i="13"/>
  <c r="I253" i="13"/>
  <c r="U244" i="13"/>
  <c r="U243" i="13"/>
  <c r="AK224" i="13"/>
  <c r="AK223" i="13"/>
  <c r="O223" i="13"/>
  <c r="O224" i="13"/>
  <c r="W252" i="13"/>
  <c r="W253" i="13"/>
  <c r="W243" i="13"/>
  <c r="W244" i="13"/>
  <c r="W240" i="13"/>
  <c r="W239" i="13"/>
  <c r="W281" i="13"/>
  <c r="W282" i="13"/>
  <c r="W256" i="13"/>
  <c r="W257" i="13"/>
  <c r="W272" i="13"/>
  <c r="W273" i="13"/>
  <c r="W343" i="13"/>
  <c r="W344" i="13"/>
  <c r="W301" i="13"/>
  <c r="W302" i="13"/>
  <c r="W298" i="13"/>
  <c r="W297" i="13"/>
  <c r="W293" i="13"/>
  <c r="W294" i="13"/>
  <c r="W269" i="13"/>
  <c r="W268" i="13"/>
  <c r="W314" i="13"/>
  <c r="W315" i="13"/>
  <c r="W372" i="13"/>
  <c r="W373" i="13"/>
  <c r="W289" i="13"/>
  <c r="W290" i="13"/>
  <c r="W265" i="13"/>
  <c r="W264" i="13"/>
  <c r="W310" i="13"/>
  <c r="W311" i="13"/>
  <c r="W365" i="13"/>
  <c r="W364" i="13"/>
  <c r="W285" i="13"/>
  <c r="W286" i="13"/>
  <c r="W261" i="13"/>
  <c r="W260" i="13"/>
  <c r="W347" i="13"/>
  <c r="W348" i="13"/>
  <c r="W369" i="13"/>
  <c r="W368" i="13"/>
  <c r="W339" i="13"/>
  <c r="W340" i="13"/>
  <c r="W376" i="13"/>
  <c r="W377" i="13"/>
  <c r="W355" i="13"/>
  <c r="W356" i="13"/>
  <c r="W330" i="13"/>
  <c r="W331" i="13"/>
  <c r="W351" i="13"/>
  <c r="W352" i="13"/>
  <c r="W326" i="13"/>
  <c r="W327" i="13"/>
  <c r="W409" i="13"/>
  <c r="W410" i="13"/>
  <c r="W394" i="13"/>
  <c r="W393" i="13"/>
  <c r="W413" i="13"/>
  <c r="W414" i="13"/>
  <c r="W389" i="13"/>
  <c r="W390" i="13"/>
  <c r="W398" i="13"/>
  <c r="W397" i="13"/>
  <c r="W380" i="13"/>
  <c r="W381" i="13"/>
  <c r="W405" i="13"/>
  <c r="W406" i="13"/>
  <c r="W401" i="13"/>
  <c r="W402" i="13"/>
  <c r="W417" i="13"/>
  <c r="W418" i="13"/>
  <c r="W443" i="13"/>
  <c r="W442" i="13"/>
  <c r="W447" i="13"/>
  <c r="W446" i="13"/>
  <c r="W439" i="13"/>
  <c r="W438" i="13"/>
  <c r="W435" i="13"/>
  <c r="W434" i="13"/>
  <c r="W450" i="13"/>
  <c r="W451" i="13"/>
  <c r="W430" i="13"/>
  <c r="W431" i="13"/>
  <c r="W427" i="13"/>
  <c r="W426" i="13"/>
  <c r="W472" i="13"/>
  <c r="W473" i="13"/>
  <c r="W463" i="13"/>
  <c r="W462" i="13"/>
  <c r="W458" i="13"/>
  <c r="W459" i="13"/>
  <c r="W454" i="13"/>
  <c r="W455" i="13"/>
  <c r="W481" i="13"/>
  <c r="W480" i="13"/>
  <c r="W526" i="13"/>
  <c r="W525" i="13"/>
  <c r="W529" i="13"/>
  <c r="W530" i="13"/>
  <c r="W533" i="13"/>
  <c r="W534" i="13"/>
  <c r="W549" i="13"/>
  <c r="W550" i="13"/>
  <c r="W537" i="13"/>
  <c r="W538" i="13"/>
  <c r="W545" i="13"/>
  <c r="W546" i="13"/>
  <c r="W541" i="13"/>
  <c r="W542" i="13"/>
  <c r="W578" i="13"/>
  <c r="W579" i="13"/>
  <c r="W575" i="13"/>
  <c r="W574" i="13"/>
  <c r="AN260" i="13"/>
  <c r="AN261" i="13"/>
  <c r="AJ257" i="13"/>
  <c r="AJ256" i="13"/>
  <c r="T243" i="13"/>
  <c r="T244" i="13"/>
  <c r="M239" i="13"/>
  <c r="M240" i="13"/>
  <c r="AK236" i="13"/>
  <c r="AK231" i="13"/>
  <c r="AK232" i="13"/>
  <c r="Q228" i="13"/>
  <c r="Q227" i="13"/>
  <c r="V240" i="13"/>
  <c r="V239" i="13"/>
  <c r="V264" i="13"/>
  <c r="V265" i="13"/>
  <c r="V256" i="13"/>
  <c r="V257" i="13"/>
  <c r="V269" i="13"/>
  <c r="V268" i="13"/>
  <c r="V273" i="13"/>
  <c r="V272" i="13"/>
  <c r="V261" i="13"/>
  <c r="V260" i="13"/>
  <c r="V252" i="13"/>
  <c r="V253" i="13"/>
  <c r="V301" i="13"/>
  <c r="V302" i="13"/>
  <c r="V297" i="13"/>
  <c r="V298" i="13"/>
  <c r="V293" i="13"/>
  <c r="V294" i="13"/>
  <c r="V340" i="13"/>
  <c r="V339" i="13"/>
  <c r="V314" i="13"/>
  <c r="V315" i="13"/>
  <c r="V289" i="13"/>
  <c r="V290" i="13"/>
  <c r="V285" i="13"/>
  <c r="V286" i="13"/>
  <c r="V319" i="13"/>
  <c r="V281" i="13"/>
  <c r="V282" i="13"/>
  <c r="V343" i="13"/>
  <c r="V344" i="13"/>
  <c r="V364" i="13"/>
  <c r="V365" i="13"/>
  <c r="V372" i="13"/>
  <c r="V373" i="13"/>
  <c r="V369" i="13"/>
  <c r="V368" i="13"/>
  <c r="V355" i="13"/>
  <c r="V356" i="13"/>
  <c r="V330" i="13"/>
  <c r="V331" i="13"/>
  <c r="V351" i="13"/>
  <c r="V352" i="13"/>
  <c r="V326" i="13"/>
  <c r="V327" i="13"/>
  <c r="V347" i="13"/>
  <c r="V348" i="13"/>
  <c r="V393" i="13"/>
  <c r="V394" i="13"/>
  <c r="V389" i="13"/>
  <c r="V390" i="13"/>
  <c r="V405" i="13"/>
  <c r="V406" i="13"/>
  <c r="V380" i="13"/>
  <c r="V381" i="13"/>
  <c r="V376" i="13"/>
  <c r="V377" i="13"/>
  <c r="V426" i="13"/>
  <c r="V427" i="13"/>
  <c r="V409" i="13"/>
  <c r="V410" i="13"/>
  <c r="V401" i="13"/>
  <c r="V402" i="13"/>
  <c r="V417" i="13"/>
  <c r="V418" i="13"/>
  <c r="V397" i="13"/>
  <c r="V398" i="13"/>
  <c r="V434" i="13"/>
  <c r="V435" i="13"/>
  <c r="V413" i="13"/>
  <c r="V414" i="13"/>
  <c r="V438" i="13"/>
  <c r="V439" i="13"/>
  <c r="V450" i="13"/>
  <c r="V451" i="13"/>
  <c r="V430" i="13"/>
  <c r="V431" i="13"/>
  <c r="V443" i="13"/>
  <c r="V442" i="13"/>
  <c r="V446" i="13"/>
  <c r="V447" i="13"/>
  <c r="V472" i="13"/>
  <c r="V473" i="13"/>
  <c r="V463" i="13"/>
  <c r="V462" i="13"/>
  <c r="V459" i="13"/>
  <c r="V458" i="13"/>
  <c r="V454" i="13"/>
  <c r="V455" i="13"/>
  <c r="V537" i="13"/>
  <c r="V538" i="13"/>
  <c r="V480" i="13"/>
  <c r="V481" i="13"/>
  <c r="V533" i="13"/>
  <c r="V534" i="13"/>
  <c r="V530" i="13"/>
  <c r="V529" i="13"/>
  <c r="V526" i="13"/>
  <c r="V525" i="13"/>
  <c r="V545" i="13"/>
  <c r="V546" i="13"/>
  <c r="V542" i="13"/>
  <c r="V541" i="13"/>
  <c r="V549" i="13"/>
  <c r="V550" i="13"/>
  <c r="V574" i="13"/>
  <c r="V575" i="13"/>
  <c r="V579" i="13"/>
  <c r="V578" i="13"/>
  <c r="T294" i="13"/>
  <c r="T293" i="13"/>
  <c r="AL260" i="13"/>
  <c r="AL261" i="13"/>
  <c r="Z228" i="13"/>
  <c r="AJ223" i="13"/>
  <c r="AJ224" i="13"/>
  <c r="W224" i="13"/>
  <c r="W223" i="13"/>
  <c r="AO244" i="13"/>
  <c r="AO243" i="13"/>
  <c r="AO293" i="13"/>
  <c r="AO294" i="13"/>
  <c r="AO257" i="13"/>
  <c r="AO256" i="13"/>
  <c r="AO269" i="13"/>
  <c r="AO268" i="13"/>
  <c r="AO273" i="13"/>
  <c r="AO272" i="13"/>
  <c r="AO253" i="13"/>
  <c r="AO252" i="13"/>
  <c r="AO298" i="13"/>
  <c r="AO297" i="13"/>
  <c r="AO289" i="13"/>
  <c r="AO290" i="13"/>
  <c r="AO265" i="13"/>
  <c r="AO264" i="13"/>
  <c r="AO344" i="13"/>
  <c r="AO343" i="13"/>
  <c r="AO286" i="13"/>
  <c r="AO285" i="13"/>
  <c r="AO260" i="13"/>
  <c r="AO261" i="13"/>
  <c r="AO282" i="13"/>
  <c r="AO281" i="13"/>
  <c r="AO302" i="13"/>
  <c r="AO301" i="13"/>
  <c r="AO405" i="13"/>
  <c r="AO406" i="13"/>
  <c r="AO339" i="13"/>
  <c r="AO340" i="13"/>
  <c r="AO365" i="13"/>
  <c r="AO364" i="13"/>
  <c r="AO355" i="13"/>
  <c r="AO356" i="13"/>
  <c r="AO330" i="13"/>
  <c r="AO331" i="13"/>
  <c r="AO390" i="13"/>
  <c r="AO389" i="13"/>
  <c r="AO352" i="13"/>
  <c r="AO351" i="13"/>
  <c r="AO327" i="13"/>
  <c r="AO326" i="13"/>
  <c r="AO348" i="13"/>
  <c r="AO347" i="13"/>
  <c r="AO393" i="13"/>
  <c r="AO394" i="13"/>
  <c r="AO381" i="13"/>
  <c r="AO380" i="13"/>
  <c r="AO410" i="13"/>
  <c r="AO409" i="13"/>
  <c r="AO447" i="13"/>
  <c r="AO446" i="13"/>
  <c r="AO402" i="13"/>
  <c r="AO401" i="13"/>
  <c r="AO435" i="13"/>
  <c r="AO434" i="13"/>
  <c r="AO398" i="13"/>
  <c r="AO397" i="13"/>
  <c r="AO413" i="13"/>
  <c r="AO414" i="13"/>
  <c r="AO439" i="13"/>
  <c r="AO438" i="13"/>
  <c r="AO430" i="13"/>
  <c r="AO431" i="13"/>
  <c r="AO442" i="13"/>
  <c r="AO443" i="13"/>
  <c r="AO427" i="13"/>
  <c r="AO426" i="13"/>
  <c r="AO462" i="13"/>
  <c r="AO463" i="13"/>
  <c r="AO418" i="13"/>
  <c r="AO417" i="13"/>
  <c r="AO459" i="13"/>
  <c r="AO458" i="13"/>
  <c r="AO473" i="13"/>
  <c r="AO472" i="13"/>
  <c r="AO455" i="13"/>
  <c r="AO454" i="13"/>
  <c r="AO451" i="13"/>
  <c r="AO450" i="13"/>
  <c r="AO481" i="13"/>
  <c r="AO480" i="13"/>
  <c r="AO525" i="13"/>
  <c r="AO526" i="13"/>
  <c r="AO530" i="13"/>
  <c r="AO529" i="13"/>
  <c r="AO542" i="13"/>
  <c r="AO541" i="13"/>
  <c r="AO537" i="13"/>
  <c r="AO538" i="13"/>
  <c r="AO534" i="13"/>
  <c r="AO533" i="13"/>
  <c r="AO550" i="13"/>
  <c r="AO549" i="13"/>
  <c r="AO546" i="13"/>
  <c r="AO545" i="13"/>
  <c r="AO575" i="13"/>
  <c r="AO574" i="13"/>
  <c r="AO579" i="13"/>
  <c r="AO578" i="13"/>
  <c r="U293" i="13"/>
  <c r="U294" i="13"/>
  <c r="U256" i="13"/>
  <c r="U257" i="13"/>
  <c r="U268" i="13"/>
  <c r="U269" i="13"/>
  <c r="U231" i="13"/>
  <c r="U232" i="13"/>
  <c r="U272" i="13"/>
  <c r="U273" i="13"/>
  <c r="U252" i="13"/>
  <c r="U253" i="13"/>
  <c r="U260" i="13"/>
  <c r="U261" i="13"/>
  <c r="U227" i="13"/>
  <c r="U228" i="13"/>
  <c r="U297" i="13"/>
  <c r="U298" i="13"/>
  <c r="U314" i="13"/>
  <c r="U315" i="13"/>
  <c r="U289" i="13"/>
  <c r="U290" i="13"/>
  <c r="U265" i="13"/>
  <c r="U264" i="13"/>
  <c r="U310" i="13"/>
  <c r="U311" i="13"/>
  <c r="U285" i="13"/>
  <c r="U286" i="13"/>
  <c r="U318" i="13"/>
  <c r="U319" i="13"/>
  <c r="U281" i="13"/>
  <c r="U282" i="13"/>
  <c r="U301" i="13"/>
  <c r="U302" i="13"/>
  <c r="U343" i="13"/>
  <c r="U344" i="13"/>
  <c r="U364" i="13"/>
  <c r="U365" i="13"/>
  <c r="U368" i="13"/>
  <c r="U369" i="13"/>
  <c r="U340" i="13"/>
  <c r="U339" i="13"/>
  <c r="U389" i="13"/>
  <c r="U390" i="13"/>
  <c r="U356" i="13"/>
  <c r="U355" i="13"/>
  <c r="U330" i="13"/>
  <c r="U331" i="13"/>
  <c r="U351" i="13"/>
  <c r="U352" i="13"/>
  <c r="U326" i="13"/>
  <c r="U327" i="13"/>
  <c r="U347" i="13"/>
  <c r="U348" i="13"/>
  <c r="U409" i="13"/>
  <c r="U410" i="13"/>
  <c r="U393" i="13"/>
  <c r="U394" i="13"/>
  <c r="U406" i="13"/>
  <c r="U405" i="13"/>
  <c r="U397" i="13"/>
  <c r="U398" i="13"/>
  <c r="U380" i="13"/>
  <c r="U381" i="13"/>
  <c r="U376" i="13"/>
  <c r="U377" i="13"/>
  <c r="U372" i="13"/>
  <c r="U373" i="13"/>
  <c r="U401" i="13"/>
  <c r="U402" i="13"/>
  <c r="U434" i="13"/>
  <c r="U435" i="13"/>
  <c r="U413" i="13"/>
  <c r="U414" i="13"/>
  <c r="U438" i="13"/>
  <c r="U439" i="13"/>
  <c r="U430" i="13"/>
  <c r="U431" i="13"/>
  <c r="U426" i="13"/>
  <c r="U427" i="13"/>
  <c r="U443" i="13"/>
  <c r="U442" i="13"/>
  <c r="U446" i="13"/>
  <c r="U447" i="13"/>
  <c r="U418" i="13"/>
  <c r="U417" i="13"/>
  <c r="U462" i="13"/>
  <c r="U463" i="13"/>
  <c r="U458" i="13"/>
  <c r="U459" i="13"/>
  <c r="U454" i="13"/>
  <c r="U455" i="13"/>
  <c r="U450" i="13"/>
  <c r="U451" i="13"/>
  <c r="U472" i="13"/>
  <c r="U473" i="13"/>
  <c r="U481" i="13"/>
  <c r="U480" i="13"/>
  <c r="U537" i="13"/>
  <c r="U538" i="13"/>
  <c r="U529" i="13"/>
  <c r="U530" i="13"/>
  <c r="U526" i="13"/>
  <c r="U525" i="13"/>
  <c r="U541" i="13"/>
  <c r="U542" i="13"/>
  <c r="U533" i="13"/>
  <c r="U534" i="13"/>
  <c r="U549" i="13"/>
  <c r="U550" i="13"/>
  <c r="U545" i="13"/>
  <c r="U546" i="13"/>
  <c r="U575" i="13"/>
  <c r="U574" i="13"/>
  <c r="U578" i="13"/>
  <c r="U579" i="13"/>
  <c r="M293" i="13"/>
  <c r="M294" i="13"/>
  <c r="Z256" i="13"/>
  <c r="Z257" i="13"/>
  <c r="P243" i="13"/>
  <c r="P244" i="13"/>
  <c r="L239" i="13"/>
  <c r="L240" i="13"/>
  <c r="J236" i="13"/>
  <c r="AJ231" i="13"/>
  <c r="AJ232" i="13"/>
  <c r="K231" i="13"/>
  <c r="K232" i="13"/>
  <c r="P228" i="13"/>
  <c r="P227" i="13"/>
  <c r="AN293" i="13"/>
  <c r="AN294" i="13"/>
  <c r="AN290" i="13"/>
  <c r="AN289" i="13"/>
  <c r="AN265" i="13"/>
  <c r="AN264" i="13"/>
  <c r="AN257" i="13"/>
  <c r="AN256" i="13"/>
  <c r="AN269" i="13"/>
  <c r="AN268" i="13"/>
  <c r="AN273" i="13"/>
  <c r="AN272" i="13"/>
  <c r="AN253" i="13"/>
  <c r="AN252" i="13"/>
  <c r="AN286" i="13"/>
  <c r="AN285" i="13"/>
  <c r="AN282" i="13"/>
  <c r="AN281" i="13"/>
  <c r="AN302" i="13"/>
  <c r="AN301" i="13"/>
  <c r="AN298" i="13"/>
  <c r="AN297" i="13"/>
  <c r="AN315" i="13"/>
  <c r="AN314" i="13"/>
  <c r="AN340" i="13"/>
  <c r="AN339" i="13"/>
  <c r="AN365" i="13"/>
  <c r="AN364" i="13"/>
  <c r="AN356" i="13"/>
  <c r="AN355" i="13"/>
  <c r="AN369" i="13"/>
  <c r="AN368" i="13"/>
  <c r="AN330" i="13"/>
  <c r="AN331" i="13"/>
  <c r="AN352" i="13"/>
  <c r="AN351" i="13"/>
  <c r="AN327" i="13"/>
  <c r="AN326" i="13"/>
  <c r="AN348" i="13"/>
  <c r="AN347" i="13"/>
  <c r="AN344" i="13"/>
  <c r="AN343" i="13"/>
  <c r="AN430" i="13"/>
  <c r="AN431" i="13"/>
  <c r="AN389" i="13"/>
  <c r="AN390" i="13"/>
  <c r="AN406" i="13"/>
  <c r="AN405" i="13"/>
  <c r="AN381" i="13"/>
  <c r="AN380" i="13"/>
  <c r="AN401" i="13"/>
  <c r="AN402" i="13"/>
  <c r="AN373" i="13"/>
  <c r="AN372" i="13"/>
  <c r="AN393" i="13"/>
  <c r="AN394" i="13"/>
  <c r="AN398" i="13"/>
  <c r="AN397" i="13"/>
  <c r="AN414" i="13"/>
  <c r="AN413" i="13"/>
  <c r="AN410" i="13"/>
  <c r="AN409" i="13"/>
  <c r="AN435" i="13"/>
  <c r="AN434" i="13"/>
  <c r="AN442" i="13"/>
  <c r="AN443" i="13"/>
  <c r="AN458" i="13"/>
  <c r="AN459" i="13"/>
  <c r="AN427" i="13"/>
  <c r="AN426" i="13"/>
  <c r="AN418" i="13"/>
  <c r="AN417" i="13"/>
  <c r="AN439" i="13"/>
  <c r="AN438" i="13"/>
  <c r="AN462" i="13"/>
  <c r="AN463" i="13"/>
  <c r="AN455" i="13"/>
  <c r="AN454" i="13"/>
  <c r="AN451" i="13"/>
  <c r="AN450" i="13"/>
  <c r="AN447" i="13"/>
  <c r="AN446" i="13"/>
  <c r="AN481" i="13"/>
  <c r="AN480" i="13"/>
  <c r="AN473" i="13"/>
  <c r="AN472" i="13"/>
  <c r="AN530" i="13"/>
  <c r="AN529" i="13"/>
  <c r="AN526" i="13"/>
  <c r="AN525" i="13"/>
  <c r="AN542" i="13"/>
  <c r="AN541" i="13"/>
  <c r="AN534" i="13"/>
  <c r="AN533" i="13"/>
  <c r="AN537" i="13"/>
  <c r="AN538" i="13"/>
  <c r="AN550" i="13"/>
  <c r="AN549" i="13"/>
  <c r="AN546" i="13"/>
  <c r="AN545" i="13"/>
  <c r="AN579" i="13"/>
  <c r="AN578" i="13"/>
  <c r="AN575" i="13"/>
  <c r="AN574" i="13"/>
  <c r="T265" i="13"/>
  <c r="T264" i="13"/>
  <c r="T256" i="13"/>
  <c r="T257" i="13"/>
  <c r="T269" i="13"/>
  <c r="T268" i="13"/>
  <c r="T272" i="13"/>
  <c r="T273" i="13"/>
  <c r="T289" i="13"/>
  <c r="T290" i="13"/>
  <c r="T315" i="13"/>
  <c r="T314" i="13"/>
  <c r="T339" i="13"/>
  <c r="T340" i="13"/>
  <c r="T252" i="13"/>
  <c r="T253" i="13"/>
  <c r="T260" i="13"/>
  <c r="T261" i="13"/>
  <c r="T310" i="13"/>
  <c r="T311" i="13"/>
  <c r="T285" i="13"/>
  <c r="T286" i="13"/>
  <c r="T281" i="13"/>
  <c r="T282" i="13"/>
  <c r="T301" i="13"/>
  <c r="T302" i="13"/>
  <c r="T297" i="13"/>
  <c r="T298" i="13"/>
  <c r="T355" i="13"/>
  <c r="T356" i="13"/>
  <c r="T330" i="13"/>
  <c r="T331" i="13"/>
  <c r="T351" i="13"/>
  <c r="T352" i="13"/>
  <c r="T326" i="13"/>
  <c r="T327" i="13"/>
  <c r="T347" i="13"/>
  <c r="T348" i="13"/>
  <c r="T322" i="13"/>
  <c r="T323" i="13"/>
  <c r="T343" i="13"/>
  <c r="T344" i="13"/>
  <c r="T364" i="13"/>
  <c r="T365" i="13"/>
  <c r="T369" i="13"/>
  <c r="T390" i="13"/>
  <c r="T389" i="13"/>
  <c r="T405" i="13"/>
  <c r="T406" i="13"/>
  <c r="T380" i="13"/>
  <c r="T381" i="13"/>
  <c r="T376" i="13"/>
  <c r="T377" i="13"/>
  <c r="T401" i="13"/>
  <c r="T402" i="13"/>
  <c r="T372" i="13"/>
  <c r="T373" i="13"/>
  <c r="T431" i="13"/>
  <c r="T430" i="13"/>
  <c r="T394" i="13"/>
  <c r="T393" i="13"/>
  <c r="T398" i="13"/>
  <c r="T397" i="13"/>
  <c r="T413" i="13"/>
  <c r="T414" i="13"/>
  <c r="T409" i="13"/>
  <c r="T410" i="13"/>
  <c r="T435" i="13"/>
  <c r="T434" i="13"/>
  <c r="T427" i="13"/>
  <c r="T426" i="13"/>
  <c r="T443" i="13"/>
  <c r="T442" i="13"/>
  <c r="T417" i="13"/>
  <c r="T418" i="13"/>
  <c r="T459" i="13"/>
  <c r="T458" i="13"/>
  <c r="T438" i="13"/>
  <c r="T439" i="13"/>
  <c r="T462" i="13"/>
  <c r="T463" i="13"/>
  <c r="T454" i="13"/>
  <c r="T455" i="13"/>
  <c r="T450" i="13"/>
  <c r="T451" i="13"/>
  <c r="T446" i="13"/>
  <c r="T447" i="13"/>
  <c r="T481" i="13"/>
  <c r="T480" i="13"/>
  <c r="T473" i="13"/>
  <c r="T472" i="13"/>
  <c r="T529" i="13"/>
  <c r="T530" i="13"/>
  <c r="T537" i="13"/>
  <c r="T538" i="13"/>
  <c r="T526" i="13"/>
  <c r="T525" i="13"/>
  <c r="T578" i="13"/>
  <c r="T579" i="13"/>
  <c r="T541" i="13"/>
  <c r="T542" i="13"/>
  <c r="T533" i="13"/>
  <c r="T534" i="13"/>
  <c r="T550" i="13"/>
  <c r="T549" i="13"/>
  <c r="T546" i="13"/>
  <c r="T545" i="13"/>
  <c r="T574" i="13"/>
  <c r="T575" i="13"/>
  <c r="Z261" i="13"/>
  <c r="Z260" i="13"/>
  <c r="X256" i="13"/>
  <c r="X257" i="13"/>
  <c r="J232" i="13"/>
  <c r="J231" i="13"/>
  <c r="Y228" i="13"/>
  <c r="Y227" i="13"/>
  <c r="AI224" i="13"/>
  <c r="M223" i="13"/>
  <c r="M224" i="13"/>
  <c r="AM260" i="13"/>
  <c r="AM261" i="13"/>
  <c r="AM290" i="13"/>
  <c r="AM289" i="13"/>
  <c r="AM265" i="13"/>
  <c r="AM264" i="13"/>
  <c r="AM257" i="13"/>
  <c r="AM256" i="13"/>
  <c r="AM269" i="13"/>
  <c r="AM268" i="13"/>
  <c r="AM253" i="13"/>
  <c r="AM252" i="13"/>
  <c r="AM228" i="13"/>
  <c r="AM227" i="13"/>
  <c r="AM244" i="13"/>
  <c r="AM243" i="13"/>
  <c r="AM294" i="13"/>
  <c r="AM293" i="13"/>
  <c r="AM311" i="13"/>
  <c r="AM285" i="13"/>
  <c r="AM286" i="13"/>
  <c r="AM330" i="13"/>
  <c r="AM331" i="13"/>
  <c r="AM282" i="13"/>
  <c r="AM281" i="13"/>
  <c r="AM302" i="13"/>
  <c r="AM301" i="13"/>
  <c r="AM298" i="13"/>
  <c r="AM297" i="13"/>
  <c r="AM315" i="13"/>
  <c r="AM273" i="13"/>
  <c r="AM272" i="13"/>
  <c r="AM365" i="13"/>
  <c r="AM364" i="13"/>
  <c r="AM356" i="13"/>
  <c r="AM355" i="13"/>
  <c r="AM352" i="13"/>
  <c r="AM351" i="13"/>
  <c r="AM327" i="13"/>
  <c r="AM326" i="13"/>
  <c r="AM390" i="13"/>
  <c r="AM389" i="13"/>
  <c r="AM348" i="13"/>
  <c r="AM347" i="13"/>
  <c r="AM344" i="13"/>
  <c r="AM343" i="13"/>
  <c r="AM427" i="13"/>
  <c r="AM426" i="13"/>
  <c r="AM319" i="13"/>
  <c r="AM340" i="13"/>
  <c r="AM339" i="13"/>
  <c r="AM381" i="13"/>
  <c r="AM380" i="13"/>
  <c r="AM401" i="13"/>
  <c r="AM402" i="13"/>
  <c r="AM377" i="13"/>
  <c r="AM459" i="13"/>
  <c r="AM458" i="13"/>
  <c r="AM435" i="13"/>
  <c r="AM434" i="13"/>
  <c r="AM398" i="13"/>
  <c r="AM397" i="13"/>
  <c r="AM373" i="13"/>
  <c r="AM372" i="13"/>
  <c r="AM394" i="13"/>
  <c r="AM393" i="13"/>
  <c r="AM369" i="13"/>
  <c r="AM368" i="13"/>
  <c r="AM413" i="13"/>
  <c r="AM414" i="13"/>
  <c r="AM410" i="13"/>
  <c r="AM409" i="13"/>
  <c r="AM406" i="13"/>
  <c r="AM405" i="13"/>
  <c r="AM430" i="13"/>
  <c r="AM431" i="13"/>
  <c r="AM443" i="13"/>
  <c r="AM442" i="13"/>
  <c r="AM418" i="13"/>
  <c r="AM417" i="13"/>
  <c r="AM462" i="13"/>
  <c r="AM463" i="13"/>
  <c r="AM439" i="13"/>
  <c r="AM438" i="13"/>
  <c r="AM454" i="13"/>
  <c r="AM455" i="13"/>
  <c r="AM481" i="13"/>
  <c r="AM480" i="13"/>
  <c r="AM473" i="13"/>
  <c r="AM472" i="13"/>
  <c r="AM451" i="13"/>
  <c r="AM450" i="13"/>
  <c r="AM447" i="13"/>
  <c r="AM446" i="13"/>
  <c r="AM525" i="13"/>
  <c r="AM526" i="13"/>
  <c r="AM550" i="13"/>
  <c r="AM549" i="13"/>
  <c r="AM534" i="13"/>
  <c r="AM533" i="13"/>
  <c r="AM537" i="13"/>
  <c r="AM538" i="13"/>
  <c r="AM530" i="13"/>
  <c r="AM529" i="13"/>
  <c r="AM546" i="13"/>
  <c r="AM545" i="13"/>
  <c r="AM542" i="13"/>
  <c r="AM541" i="13"/>
  <c r="AM579" i="13"/>
  <c r="AM578" i="13"/>
  <c r="AM575" i="13"/>
  <c r="AM574" i="13"/>
  <c r="S293" i="13"/>
  <c r="S294" i="13"/>
  <c r="S256" i="13"/>
  <c r="S257" i="13"/>
  <c r="S269" i="13"/>
  <c r="S268" i="13"/>
  <c r="S289" i="13"/>
  <c r="S290" i="13"/>
  <c r="S252" i="13"/>
  <c r="S253" i="13"/>
  <c r="S260" i="13"/>
  <c r="S261" i="13"/>
  <c r="S227" i="13"/>
  <c r="S228" i="13"/>
  <c r="S243" i="13"/>
  <c r="S244" i="13"/>
  <c r="S314" i="13"/>
  <c r="S315" i="13"/>
  <c r="S311" i="13"/>
  <c r="S310" i="13"/>
  <c r="S285" i="13"/>
  <c r="S286" i="13"/>
  <c r="S281" i="13"/>
  <c r="S282" i="13"/>
  <c r="S301" i="13"/>
  <c r="S302" i="13"/>
  <c r="S330" i="13"/>
  <c r="S331" i="13"/>
  <c r="S297" i="13"/>
  <c r="S298" i="13"/>
  <c r="S272" i="13"/>
  <c r="S273" i="13"/>
  <c r="S389" i="13"/>
  <c r="S390" i="13"/>
  <c r="S355" i="13"/>
  <c r="S356" i="13"/>
  <c r="S351" i="13"/>
  <c r="S352" i="13"/>
  <c r="S326" i="13"/>
  <c r="S327" i="13"/>
  <c r="S347" i="13"/>
  <c r="S348" i="13"/>
  <c r="S343" i="13"/>
  <c r="S344" i="13"/>
  <c r="S365" i="13"/>
  <c r="S364" i="13"/>
  <c r="S318" i="13"/>
  <c r="S319" i="13"/>
  <c r="S339" i="13"/>
  <c r="S340" i="13"/>
  <c r="S381" i="13"/>
  <c r="S380" i="13"/>
  <c r="S398" i="13"/>
  <c r="S397" i="13"/>
  <c r="S376" i="13"/>
  <c r="S377" i="13"/>
  <c r="S401" i="13"/>
  <c r="S402" i="13"/>
  <c r="S372" i="13"/>
  <c r="S373" i="13"/>
  <c r="S393" i="13"/>
  <c r="S394" i="13"/>
  <c r="S369" i="13"/>
  <c r="S368" i="13"/>
  <c r="S427" i="13"/>
  <c r="S426" i="13"/>
  <c r="S431" i="13"/>
  <c r="S430" i="13"/>
  <c r="S413" i="13"/>
  <c r="S414" i="13"/>
  <c r="S434" i="13"/>
  <c r="S435" i="13"/>
  <c r="S409" i="13"/>
  <c r="S410" i="13"/>
  <c r="S405" i="13"/>
  <c r="S406" i="13"/>
  <c r="S442" i="13"/>
  <c r="S443" i="13"/>
  <c r="S417" i="13"/>
  <c r="S418" i="13"/>
  <c r="S438" i="13"/>
  <c r="S439" i="13"/>
  <c r="S458" i="13"/>
  <c r="S459" i="13"/>
  <c r="S463" i="13"/>
  <c r="S462" i="13"/>
  <c r="S480" i="13"/>
  <c r="S481" i="13"/>
  <c r="S455" i="13"/>
  <c r="S454" i="13"/>
  <c r="S450" i="13"/>
  <c r="S451" i="13"/>
  <c r="S446" i="13"/>
  <c r="S447" i="13"/>
  <c r="S473" i="13"/>
  <c r="S472" i="13"/>
  <c r="S538" i="13"/>
  <c r="S537" i="13"/>
  <c r="S526" i="13"/>
  <c r="S525" i="13"/>
  <c r="S550" i="13"/>
  <c r="S549" i="13"/>
  <c r="S545" i="13"/>
  <c r="S546" i="13"/>
  <c r="S533" i="13"/>
  <c r="S534" i="13"/>
  <c r="S529" i="13"/>
  <c r="S530" i="13"/>
  <c r="S541" i="13"/>
  <c r="S542" i="13"/>
  <c r="S578" i="13"/>
  <c r="S579" i="13"/>
  <c r="S574" i="13"/>
  <c r="S575" i="13"/>
  <c r="X260" i="13"/>
  <c r="X261" i="13"/>
  <c r="N243" i="13"/>
  <c r="N244" i="13"/>
  <c r="Z239" i="13"/>
  <c r="Z240" i="13"/>
  <c r="K240" i="13"/>
  <c r="K239" i="13"/>
  <c r="I236" i="13"/>
  <c r="I235" i="13"/>
  <c r="AI232" i="13"/>
  <c r="AI231" i="13"/>
  <c r="AL228" i="13"/>
  <c r="AL227" i="13"/>
  <c r="O228" i="13"/>
  <c r="O227" i="13"/>
  <c r="AL289" i="13"/>
  <c r="AL290" i="13"/>
  <c r="AL265" i="13"/>
  <c r="AL264" i="13"/>
  <c r="AL253" i="13"/>
  <c r="AL252" i="13"/>
  <c r="AL285" i="13"/>
  <c r="AL286" i="13"/>
  <c r="AL244" i="13"/>
  <c r="AL243" i="13"/>
  <c r="AL282" i="13"/>
  <c r="AL281" i="13"/>
  <c r="AL331" i="13"/>
  <c r="AL330" i="13"/>
  <c r="AL302" i="13"/>
  <c r="AL301" i="13"/>
  <c r="AL351" i="13"/>
  <c r="AL352" i="13"/>
  <c r="AL298" i="13"/>
  <c r="AL297" i="13"/>
  <c r="AL273" i="13"/>
  <c r="AL272" i="13"/>
  <c r="AL326" i="13"/>
  <c r="AL327" i="13"/>
  <c r="AL294" i="13"/>
  <c r="AL293" i="13"/>
  <c r="AL269" i="13"/>
  <c r="AL268" i="13"/>
  <c r="AL356" i="13"/>
  <c r="AL355" i="13"/>
  <c r="AL348" i="13"/>
  <c r="AL347" i="13"/>
  <c r="AL344" i="13"/>
  <c r="AL343" i="13"/>
  <c r="AL340" i="13"/>
  <c r="AL339" i="13"/>
  <c r="AL381" i="13"/>
  <c r="AL380" i="13"/>
  <c r="AL402" i="13"/>
  <c r="AL401" i="13"/>
  <c r="AL398" i="13"/>
  <c r="AL397" i="13"/>
  <c r="AL373" i="13"/>
  <c r="AL372" i="13"/>
  <c r="AL394" i="13"/>
  <c r="AL393" i="13"/>
  <c r="AL369" i="13"/>
  <c r="AL368" i="13"/>
  <c r="AL390" i="13"/>
  <c r="AL389" i="13"/>
  <c r="AL365" i="13"/>
  <c r="AL364" i="13"/>
  <c r="AL427" i="13"/>
  <c r="AL426" i="13"/>
  <c r="AL413" i="13"/>
  <c r="AL414" i="13"/>
  <c r="AL410" i="13"/>
  <c r="AL409" i="13"/>
  <c r="AL406" i="13"/>
  <c r="AL405" i="13"/>
  <c r="AL417" i="13"/>
  <c r="AL418" i="13"/>
  <c r="AL431" i="13"/>
  <c r="AL430" i="13"/>
  <c r="AL439" i="13"/>
  <c r="AL438" i="13"/>
  <c r="AL435" i="13"/>
  <c r="AL434" i="13"/>
  <c r="AL459" i="13"/>
  <c r="AL458" i="13"/>
  <c r="AL455" i="13"/>
  <c r="AL454" i="13"/>
  <c r="AL481" i="13"/>
  <c r="AL480" i="13"/>
  <c r="AL473" i="13"/>
  <c r="AL472" i="13"/>
  <c r="AL451" i="13"/>
  <c r="AL450" i="13"/>
  <c r="AL447" i="13"/>
  <c r="AL446" i="13"/>
  <c r="AL443" i="13"/>
  <c r="AL442" i="13"/>
  <c r="AL463" i="13"/>
  <c r="AL462" i="13"/>
  <c r="AL541" i="13"/>
  <c r="AL542" i="13"/>
  <c r="AL550" i="13"/>
  <c r="AL549" i="13"/>
  <c r="AL534" i="13"/>
  <c r="AL533" i="13"/>
  <c r="AL530" i="13"/>
  <c r="AL529" i="13"/>
  <c r="AL526" i="13"/>
  <c r="AL525" i="13"/>
  <c r="AL546" i="13"/>
  <c r="AL545" i="13"/>
  <c r="AL538" i="13"/>
  <c r="AL537" i="13"/>
  <c r="AL579" i="13"/>
  <c r="AL578" i="13"/>
  <c r="AL575" i="13"/>
  <c r="AL574" i="13"/>
  <c r="R265" i="13"/>
  <c r="R264" i="13"/>
  <c r="R289" i="13"/>
  <c r="R290" i="13"/>
  <c r="R252" i="13"/>
  <c r="R253" i="13"/>
  <c r="R260" i="13"/>
  <c r="R261" i="13"/>
  <c r="R224" i="13"/>
  <c r="R281" i="13"/>
  <c r="R282" i="13"/>
  <c r="R285" i="13"/>
  <c r="R286" i="13"/>
  <c r="R243" i="13"/>
  <c r="R244" i="13"/>
  <c r="R315" i="13"/>
  <c r="R310" i="13"/>
  <c r="R311" i="13"/>
  <c r="R352" i="13"/>
  <c r="R351" i="13"/>
  <c r="R301" i="13"/>
  <c r="R302" i="13"/>
  <c r="R330" i="13"/>
  <c r="R331" i="13"/>
  <c r="R297" i="13"/>
  <c r="R298" i="13"/>
  <c r="R272" i="13"/>
  <c r="R273" i="13"/>
  <c r="R293" i="13"/>
  <c r="R294" i="13"/>
  <c r="R268" i="13"/>
  <c r="R269" i="13"/>
  <c r="R327" i="13"/>
  <c r="R326" i="13"/>
  <c r="R372" i="13"/>
  <c r="R373" i="13"/>
  <c r="R355" i="13"/>
  <c r="R356" i="13"/>
  <c r="R398" i="13"/>
  <c r="R397" i="13"/>
  <c r="R347" i="13"/>
  <c r="R348" i="13"/>
  <c r="R322" i="13"/>
  <c r="R323" i="13"/>
  <c r="R343" i="13"/>
  <c r="R344" i="13"/>
  <c r="R319" i="13"/>
  <c r="R339" i="13"/>
  <c r="R340" i="13"/>
  <c r="R380" i="13"/>
  <c r="R381" i="13"/>
  <c r="R376" i="13"/>
  <c r="R377" i="13"/>
  <c r="R402" i="13"/>
  <c r="R401" i="13"/>
  <c r="R393" i="13"/>
  <c r="R394" i="13"/>
  <c r="R368" i="13"/>
  <c r="R427" i="13"/>
  <c r="R426" i="13"/>
  <c r="R389" i="13"/>
  <c r="R390" i="13"/>
  <c r="R364" i="13"/>
  <c r="R365" i="13"/>
  <c r="R414" i="13"/>
  <c r="R413" i="13"/>
  <c r="R418" i="13"/>
  <c r="R417" i="13"/>
  <c r="R409" i="13"/>
  <c r="R410" i="13"/>
  <c r="R405" i="13"/>
  <c r="R406" i="13"/>
  <c r="R430" i="13"/>
  <c r="R431" i="13"/>
  <c r="R438" i="13"/>
  <c r="R439" i="13"/>
  <c r="R434" i="13"/>
  <c r="R435" i="13"/>
  <c r="R458" i="13"/>
  <c r="R459" i="13"/>
  <c r="R480" i="13"/>
  <c r="R481" i="13"/>
  <c r="R485" i="13"/>
  <c r="R454" i="13"/>
  <c r="R455" i="13"/>
  <c r="R450" i="13"/>
  <c r="R451" i="13"/>
  <c r="R446" i="13"/>
  <c r="R447" i="13"/>
  <c r="R473" i="13"/>
  <c r="R472" i="13"/>
  <c r="R493" i="13"/>
  <c r="R442" i="13"/>
  <c r="R443" i="13"/>
  <c r="R462" i="13"/>
  <c r="R463" i="13"/>
  <c r="R533" i="13"/>
  <c r="R534" i="13"/>
  <c r="R512" i="13"/>
  <c r="R513" i="13"/>
  <c r="R521" i="13"/>
  <c r="R522" i="13"/>
  <c r="R550" i="13"/>
  <c r="R549" i="13"/>
  <c r="R553" i="13"/>
  <c r="R554" i="13"/>
  <c r="R561" i="13"/>
  <c r="R562" i="13"/>
  <c r="R541" i="13"/>
  <c r="R542" i="13"/>
  <c r="R529" i="13"/>
  <c r="R530" i="13"/>
  <c r="R525" i="13"/>
  <c r="R526" i="13"/>
  <c r="R571" i="13"/>
  <c r="R570" i="13"/>
  <c r="R545" i="13"/>
  <c r="R546" i="13"/>
  <c r="R537" i="13"/>
  <c r="R538" i="13"/>
  <c r="R578" i="13"/>
  <c r="R579" i="13"/>
  <c r="R574" i="13"/>
  <c r="R575" i="13"/>
  <c r="R582" i="13"/>
  <c r="R583" i="13"/>
  <c r="AK253" i="13"/>
  <c r="AK252" i="13"/>
  <c r="M243" i="13"/>
  <c r="M244" i="13"/>
  <c r="Y239" i="13"/>
  <c r="Y240" i="13"/>
  <c r="AG236" i="13"/>
  <c r="AG235" i="13"/>
  <c r="AH232" i="13"/>
  <c r="AH231" i="13"/>
  <c r="I232" i="13"/>
  <c r="I231" i="13"/>
  <c r="X227" i="13"/>
  <c r="L223" i="13"/>
  <c r="L224" i="13"/>
  <c r="AK265" i="13"/>
  <c r="AK264" i="13"/>
  <c r="AK257" i="13"/>
  <c r="AK256" i="13"/>
  <c r="AK286" i="13"/>
  <c r="AK285" i="13"/>
  <c r="AK244" i="13"/>
  <c r="AK243" i="13"/>
  <c r="AK282" i="13"/>
  <c r="AK281" i="13"/>
  <c r="AK240" i="13"/>
  <c r="AK239" i="13"/>
  <c r="AK330" i="13"/>
  <c r="AK331" i="13"/>
  <c r="AK260" i="13"/>
  <c r="AK261" i="13"/>
  <c r="AK311" i="13"/>
  <c r="AK310" i="13"/>
  <c r="AK302" i="13"/>
  <c r="AK301" i="13"/>
  <c r="AK298" i="13"/>
  <c r="AK297" i="13"/>
  <c r="AK273" i="13"/>
  <c r="AK272" i="13"/>
  <c r="AK326" i="13"/>
  <c r="AK327" i="13"/>
  <c r="AK294" i="13"/>
  <c r="AK293" i="13"/>
  <c r="AK269" i="13"/>
  <c r="AK268" i="13"/>
  <c r="AK289" i="13"/>
  <c r="AK290" i="13"/>
  <c r="AK365" i="13"/>
  <c r="AK364" i="13"/>
  <c r="AK377" i="13"/>
  <c r="AK352" i="13"/>
  <c r="AK351" i="13"/>
  <c r="AK348" i="13"/>
  <c r="AK347" i="13"/>
  <c r="AK323" i="13"/>
  <c r="AK322" i="13"/>
  <c r="AK344" i="13"/>
  <c r="AK343" i="13"/>
  <c r="AK319" i="13"/>
  <c r="AK318" i="13"/>
  <c r="AK340" i="13"/>
  <c r="AK339" i="13"/>
  <c r="AK315" i="13"/>
  <c r="AK314" i="13"/>
  <c r="AK356" i="13"/>
  <c r="AK355" i="13"/>
  <c r="AK381" i="13"/>
  <c r="AK380" i="13"/>
  <c r="AK427" i="13"/>
  <c r="AK426" i="13"/>
  <c r="AK398" i="13"/>
  <c r="AK397" i="13"/>
  <c r="AK373" i="13"/>
  <c r="AK372" i="13"/>
  <c r="AK393" i="13"/>
  <c r="AK394" i="13"/>
  <c r="AK369" i="13"/>
  <c r="AK368" i="13"/>
  <c r="AK390" i="13"/>
  <c r="AK389" i="13"/>
  <c r="AK414" i="13"/>
  <c r="AK413" i="13"/>
  <c r="AK410" i="13"/>
  <c r="AK409" i="13"/>
  <c r="AK406" i="13"/>
  <c r="AK405" i="13"/>
  <c r="AK402" i="13"/>
  <c r="AK401" i="13"/>
  <c r="AK442" i="13"/>
  <c r="AK443" i="13"/>
  <c r="AK447" i="13"/>
  <c r="AK446" i="13"/>
  <c r="AK459" i="13"/>
  <c r="AK458" i="13"/>
  <c r="AK450" i="13"/>
  <c r="AK451" i="13"/>
  <c r="AK417" i="13"/>
  <c r="AK418" i="13"/>
  <c r="AK439" i="13"/>
  <c r="AK438" i="13"/>
  <c r="AK435" i="13"/>
  <c r="AK434" i="13"/>
  <c r="AK430" i="13"/>
  <c r="AK431" i="13"/>
  <c r="AK454" i="13"/>
  <c r="AK455" i="13"/>
  <c r="AK472" i="13"/>
  <c r="AK473" i="13"/>
  <c r="AK481" i="13"/>
  <c r="AK480" i="13"/>
  <c r="AK463" i="13"/>
  <c r="AK462" i="13"/>
  <c r="AK493" i="13"/>
  <c r="AK492" i="13"/>
  <c r="AK522" i="13"/>
  <c r="AK509" i="13"/>
  <c r="AK508" i="13"/>
  <c r="AK534" i="13"/>
  <c r="AK533" i="13"/>
  <c r="AK505" i="13"/>
  <c r="AK504" i="13"/>
  <c r="AK550" i="13"/>
  <c r="AK549" i="13"/>
  <c r="AK554" i="13"/>
  <c r="AK530" i="13"/>
  <c r="AK529" i="13"/>
  <c r="AK526" i="13"/>
  <c r="AK525" i="13"/>
  <c r="AK546" i="13"/>
  <c r="AK545" i="13"/>
  <c r="AK541" i="13"/>
  <c r="AK542" i="13"/>
  <c r="AK538" i="13"/>
  <c r="AK537" i="13"/>
  <c r="AK558" i="13"/>
  <c r="AK579" i="13"/>
  <c r="AK578" i="13"/>
  <c r="AK575" i="13"/>
  <c r="AK574" i="13"/>
  <c r="Q256" i="13"/>
  <c r="Q257" i="13"/>
  <c r="Q260" i="13"/>
  <c r="Q261" i="13"/>
  <c r="Q281" i="13"/>
  <c r="Q282" i="13"/>
  <c r="Q285" i="13"/>
  <c r="Q286" i="13"/>
  <c r="Q243" i="13"/>
  <c r="Q244" i="13"/>
  <c r="Q310" i="13"/>
  <c r="Q311" i="13"/>
  <c r="Q301" i="13"/>
  <c r="Q302" i="13"/>
  <c r="Q330" i="13"/>
  <c r="Q331" i="13"/>
  <c r="Q297" i="13"/>
  <c r="Q298" i="13"/>
  <c r="Q318" i="13"/>
  <c r="Q319" i="13"/>
  <c r="Q272" i="13"/>
  <c r="Q273" i="13"/>
  <c r="Q293" i="13"/>
  <c r="Q294" i="13"/>
  <c r="Q268" i="13"/>
  <c r="Q269" i="13"/>
  <c r="Q327" i="13"/>
  <c r="Q326" i="13"/>
  <c r="Q314" i="13"/>
  <c r="Q315" i="13"/>
  <c r="Q290" i="13"/>
  <c r="Q289" i="13"/>
  <c r="Q351" i="13"/>
  <c r="Q352" i="13"/>
  <c r="Q347" i="13"/>
  <c r="Q348" i="13"/>
  <c r="Q322" i="13"/>
  <c r="Q323" i="13"/>
  <c r="Q376" i="13"/>
  <c r="Q377" i="13"/>
  <c r="Q343" i="13"/>
  <c r="Q344" i="13"/>
  <c r="Q364" i="13"/>
  <c r="Q365" i="13"/>
  <c r="Q339" i="13"/>
  <c r="Q340" i="13"/>
  <c r="Q356" i="13"/>
  <c r="Q355" i="13"/>
  <c r="Q380" i="13"/>
  <c r="Q381" i="13"/>
  <c r="Q398" i="13"/>
  <c r="Q397" i="13"/>
  <c r="Q418" i="13"/>
  <c r="Q417" i="13"/>
  <c r="Q414" i="13"/>
  <c r="Q413" i="13"/>
  <c r="Q372" i="13"/>
  <c r="Q373" i="13"/>
  <c r="Q393" i="13"/>
  <c r="Q394" i="13"/>
  <c r="Q368" i="13"/>
  <c r="Q369" i="13"/>
  <c r="Q389" i="13"/>
  <c r="Q390" i="13"/>
  <c r="Q409" i="13"/>
  <c r="Q410" i="13"/>
  <c r="Q405" i="13"/>
  <c r="Q406" i="13"/>
  <c r="Q401" i="13"/>
  <c r="Q402" i="13"/>
  <c r="Q427" i="13"/>
  <c r="Q426" i="13"/>
  <c r="Q442" i="13"/>
  <c r="Q443" i="13"/>
  <c r="Q450" i="13"/>
  <c r="Q451" i="13"/>
  <c r="Q455" i="13"/>
  <c r="Q454" i="13"/>
  <c r="Q438" i="13"/>
  <c r="Q439" i="13"/>
  <c r="Q446" i="13"/>
  <c r="Q447" i="13"/>
  <c r="Q458" i="13"/>
  <c r="Q459" i="13"/>
  <c r="Q434" i="13"/>
  <c r="Q435" i="13"/>
  <c r="Q431" i="13"/>
  <c r="Q430" i="13"/>
  <c r="Q481" i="13"/>
  <c r="Q480" i="13"/>
  <c r="Q473" i="13"/>
  <c r="Q472" i="13"/>
  <c r="Q462" i="13"/>
  <c r="Q463" i="13"/>
  <c r="Q476" i="13"/>
  <c r="Q477" i="13"/>
  <c r="Q492" i="13"/>
  <c r="Q493" i="13"/>
  <c r="Q489" i="13"/>
  <c r="Q485" i="13"/>
  <c r="Q546" i="13"/>
  <c r="Q545" i="13"/>
  <c r="Q509" i="13"/>
  <c r="Q508" i="13"/>
  <c r="Q521" i="13"/>
  <c r="Q522" i="13"/>
  <c r="Q541" i="13"/>
  <c r="Q542" i="13"/>
  <c r="Q533" i="13"/>
  <c r="Q534" i="13"/>
  <c r="Q504" i="13"/>
  <c r="Q505" i="13"/>
  <c r="Q578" i="13"/>
  <c r="Q579" i="13"/>
  <c r="Q553" i="13"/>
  <c r="Q554" i="13"/>
  <c r="Q529" i="13"/>
  <c r="Q530" i="13"/>
  <c r="Q525" i="13"/>
  <c r="Q526" i="13"/>
  <c r="Q550" i="13"/>
  <c r="Q549" i="13"/>
  <c r="Q570" i="13"/>
  <c r="Q571" i="13"/>
  <c r="Q538" i="13"/>
  <c r="Q537" i="13"/>
  <c r="Q557" i="13"/>
  <c r="Q558" i="13"/>
  <c r="Q574" i="13"/>
  <c r="Q575" i="13"/>
  <c r="Q582" i="13"/>
  <c r="Q583" i="13"/>
  <c r="AG273" i="13"/>
  <c r="AG272" i="13"/>
  <c r="M261" i="13"/>
  <c r="M260" i="13"/>
  <c r="P256" i="13"/>
  <c r="P257" i="13"/>
  <c r="L243" i="13"/>
  <c r="L244" i="13"/>
  <c r="AO240" i="13"/>
  <c r="AO239" i="13"/>
  <c r="J239" i="13"/>
  <c r="J240" i="13"/>
  <c r="R235" i="13"/>
  <c r="R236" i="13"/>
  <c r="S231" i="13"/>
  <c r="S232" i="13"/>
  <c r="N228" i="13"/>
  <c r="N227" i="13"/>
  <c r="AJ253" i="13"/>
  <c r="AJ252" i="13"/>
  <c r="AJ285" i="13"/>
  <c r="AJ286" i="13"/>
  <c r="AJ302" i="13"/>
  <c r="AJ301" i="13"/>
  <c r="AJ244" i="13"/>
  <c r="AJ243" i="13"/>
  <c r="AJ281" i="13"/>
  <c r="AJ282" i="13"/>
  <c r="AJ240" i="13"/>
  <c r="AJ239" i="13"/>
  <c r="AJ260" i="13"/>
  <c r="AJ261" i="13"/>
  <c r="AJ323" i="13"/>
  <c r="AJ298" i="13"/>
  <c r="AJ297" i="13"/>
  <c r="AJ273" i="13"/>
  <c r="AJ272" i="13"/>
  <c r="AJ326" i="13"/>
  <c r="AJ327" i="13"/>
  <c r="AJ294" i="13"/>
  <c r="AJ293" i="13"/>
  <c r="AJ269" i="13"/>
  <c r="AJ268" i="13"/>
  <c r="AJ315" i="13"/>
  <c r="AJ314" i="13"/>
  <c r="AJ290" i="13"/>
  <c r="AJ289" i="13"/>
  <c r="AJ265" i="13"/>
  <c r="AJ264" i="13"/>
  <c r="AJ311" i="13"/>
  <c r="AJ310" i="13"/>
  <c r="AJ352" i="13"/>
  <c r="AJ351" i="13"/>
  <c r="AJ369" i="13"/>
  <c r="AJ368" i="13"/>
  <c r="AJ348" i="13"/>
  <c r="AJ347" i="13"/>
  <c r="AJ344" i="13"/>
  <c r="AJ343" i="13"/>
  <c r="AJ319" i="13"/>
  <c r="AJ318" i="13"/>
  <c r="AJ340" i="13"/>
  <c r="AJ339" i="13"/>
  <c r="AJ356" i="13"/>
  <c r="AJ355" i="13"/>
  <c r="AJ330" i="13"/>
  <c r="AJ331" i="13"/>
  <c r="AJ373" i="13"/>
  <c r="AJ372" i="13"/>
  <c r="AJ393" i="13"/>
  <c r="AJ394" i="13"/>
  <c r="AJ390" i="13"/>
  <c r="AJ389" i="13"/>
  <c r="AJ365" i="13"/>
  <c r="AJ364" i="13"/>
  <c r="AJ381" i="13"/>
  <c r="AJ380" i="13"/>
  <c r="AJ414" i="13"/>
  <c r="AJ413" i="13"/>
  <c r="AJ410" i="13"/>
  <c r="AJ409" i="13"/>
  <c r="AJ406" i="13"/>
  <c r="AJ405" i="13"/>
  <c r="AJ418" i="13"/>
  <c r="AJ417" i="13"/>
  <c r="AJ402" i="13"/>
  <c r="AJ401" i="13"/>
  <c r="AJ398" i="13"/>
  <c r="AJ397" i="13"/>
  <c r="AJ426" i="13"/>
  <c r="AJ427" i="13"/>
  <c r="AJ442" i="13"/>
  <c r="AJ443" i="13"/>
  <c r="AJ451" i="13"/>
  <c r="AJ450" i="13"/>
  <c r="AJ439" i="13"/>
  <c r="AJ438" i="13"/>
  <c r="AJ435" i="13"/>
  <c r="AJ434" i="13"/>
  <c r="AJ431" i="13"/>
  <c r="AJ430" i="13"/>
  <c r="AJ447" i="13"/>
  <c r="AJ446" i="13"/>
  <c r="AJ454" i="13"/>
  <c r="AJ455" i="13"/>
  <c r="AJ481" i="13"/>
  <c r="AJ480" i="13"/>
  <c r="AJ472" i="13"/>
  <c r="AJ473" i="13"/>
  <c r="AJ462" i="13"/>
  <c r="AJ463" i="13"/>
  <c r="AJ458" i="13"/>
  <c r="AJ459" i="13"/>
  <c r="AJ530" i="13"/>
  <c r="AJ529" i="13"/>
  <c r="AJ512" i="13"/>
  <c r="AJ513" i="13"/>
  <c r="AJ493" i="13"/>
  <c r="AJ492" i="13"/>
  <c r="AJ505" i="13"/>
  <c r="AJ504" i="13"/>
  <c r="AJ509" i="13"/>
  <c r="AJ508" i="13"/>
  <c r="AJ534" i="13"/>
  <c r="AJ533" i="13"/>
  <c r="AJ538" i="13"/>
  <c r="AJ537" i="13"/>
  <c r="AJ526" i="13"/>
  <c r="AJ525" i="13"/>
  <c r="AJ546" i="13"/>
  <c r="AJ545" i="13"/>
  <c r="AJ542" i="13"/>
  <c r="AJ541" i="13"/>
  <c r="AJ549" i="13"/>
  <c r="AJ550" i="13"/>
  <c r="AJ578" i="13"/>
  <c r="AJ579" i="13"/>
  <c r="AJ562" i="13"/>
  <c r="AJ561" i="13"/>
  <c r="AJ575" i="13"/>
  <c r="AJ574" i="13"/>
  <c r="P252" i="13"/>
  <c r="P253" i="13"/>
  <c r="P260" i="13"/>
  <c r="P261" i="13"/>
  <c r="P282" i="13"/>
  <c r="P281" i="13"/>
  <c r="P285" i="13"/>
  <c r="P286" i="13"/>
  <c r="P239" i="13"/>
  <c r="P240" i="13"/>
  <c r="P236" i="13"/>
  <c r="P235" i="13"/>
  <c r="P323" i="13"/>
  <c r="P297" i="13"/>
  <c r="P298" i="13"/>
  <c r="P272" i="13"/>
  <c r="P273" i="13"/>
  <c r="P293" i="13"/>
  <c r="P294" i="13"/>
  <c r="P268" i="13"/>
  <c r="P269" i="13"/>
  <c r="P327" i="13"/>
  <c r="P326" i="13"/>
  <c r="P315" i="13"/>
  <c r="P289" i="13"/>
  <c r="P290" i="13"/>
  <c r="P265" i="13"/>
  <c r="P264" i="13"/>
  <c r="P310" i="13"/>
  <c r="P311" i="13"/>
  <c r="P351" i="13"/>
  <c r="P352" i="13"/>
  <c r="P347" i="13"/>
  <c r="P348" i="13"/>
  <c r="P377" i="13"/>
  <c r="P376" i="13"/>
  <c r="P343" i="13"/>
  <c r="P344" i="13"/>
  <c r="P339" i="13"/>
  <c r="P340" i="13"/>
  <c r="P368" i="13"/>
  <c r="P369" i="13"/>
  <c r="P355" i="13"/>
  <c r="P356" i="13"/>
  <c r="P331" i="13"/>
  <c r="P330" i="13"/>
  <c r="P372" i="13"/>
  <c r="P373" i="13"/>
  <c r="P401" i="13"/>
  <c r="P402" i="13"/>
  <c r="P393" i="13"/>
  <c r="P394" i="13"/>
  <c r="P389" i="13"/>
  <c r="P390" i="13"/>
  <c r="P365" i="13"/>
  <c r="P364" i="13"/>
  <c r="P380" i="13"/>
  <c r="P381" i="13"/>
  <c r="P414" i="13"/>
  <c r="P413" i="13"/>
  <c r="P417" i="13"/>
  <c r="P418" i="13"/>
  <c r="P409" i="13"/>
  <c r="P410" i="13"/>
  <c r="P405" i="13"/>
  <c r="P406" i="13"/>
  <c r="P443" i="13"/>
  <c r="P442" i="13"/>
  <c r="P427" i="13"/>
  <c r="P426" i="13"/>
  <c r="P398" i="13"/>
  <c r="P397" i="13"/>
  <c r="P450" i="13"/>
  <c r="P451" i="13"/>
  <c r="P438" i="13"/>
  <c r="P439" i="13"/>
  <c r="P446" i="13"/>
  <c r="P447" i="13"/>
  <c r="P434" i="13"/>
  <c r="P435" i="13"/>
  <c r="P430" i="13"/>
  <c r="P431" i="13"/>
  <c r="P455" i="13"/>
  <c r="P454" i="13"/>
  <c r="P473" i="13"/>
  <c r="P472" i="13"/>
  <c r="P462" i="13"/>
  <c r="P463" i="13"/>
  <c r="P459" i="13"/>
  <c r="P458" i="13"/>
  <c r="P481" i="13"/>
  <c r="P480" i="13"/>
  <c r="P505" i="13"/>
  <c r="P512" i="13"/>
  <c r="P513" i="13"/>
  <c r="P542" i="13"/>
  <c r="P541" i="13"/>
  <c r="P533" i="13"/>
  <c r="P534" i="13"/>
  <c r="P571" i="13"/>
  <c r="P522" i="13"/>
  <c r="P529" i="13"/>
  <c r="P530" i="13"/>
  <c r="P546" i="13"/>
  <c r="P545" i="13"/>
  <c r="P579" i="13"/>
  <c r="P578" i="13"/>
  <c r="P525" i="13"/>
  <c r="P526" i="13"/>
  <c r="P537" i="13"/>
  <c r="P538" i="13"/>
  <c r="P550" i="13"/>
  <c r="P549" i="13"/>
  <c r="P558" i="13"/>
  <c r="P554" i="13"/>
  <c r="P561" i="13"/>
  <c r="P562" i="13"/>
  <c r="P574" i="13"/>
  <c r="P575" i="13"/>
  <c r="P583" i="13"/>
  <c r="U240" i="13"/>
  <c r="U239" i="13"/>
  <c r="I239" i="13"/>
  <c r="I240" i="13"/>
  <c r="AG223" i="13"/>
  <c r="AG224" i="13"/>
  <c r="K223" i="13"/>
  <c r="K224" i="13"/>
  <c r="AI252" i="13"/>
  <c r="AI253" i="13"/>
  <c r="AI244" i="13"/>
  <c r="AI243" i="13"/>
  <c r="AI281" i="13"/>
  <c r="AI282" i="13"/>
  <c r="AI273" i="13"/>
  <c r="AI272" i="13"/>
  <c r="AI240" i="13"/>
  <c r="AI239" i="13"/>
  <c r="AI257" i="13"/>
  <c r="AI256" i="13"/>
  <c r="AI302" i="13"/>
  <c r="AI301" i="13"/>
  <c r="AI298" i="13"/>
  <c r="AI297" i="13"/>
  <c r="AI344" i="13"/>
  <c r="AI343" i="13"/>
  <c r="AI319" i="13"/>
  <c r="AI318" i="13"/>
  <c r="AI294" i="13"/>
  <c r="AI293" i="13"/>
  <c r="AI269" i="13"/>
  <c r="AI268" i="13"/>
  <c r="AI315" i="13"/>
  <c r="AI314" i="13"/>
  <c r="AI290" i="13"/>
  <c r="AI289" i="13"/>
  <c r="AI265" i="13"/>
  <c r="AI264" i="13"/>
  <c r="AI311" i="13"/>
  <c r="AI310" i="13"/>
  <c r="AI285" i="13"/>
  <c r="AI286" i="13"/>
  <c r="AI260" i="13"/>
  <c r="AI261" i="13"/>
  <c r="AI369" i="13"/>
  <c r="AI368" i="13"/>
  <c r="AI348" i="13"/>
  <c r="AI347" i="13"/>
  <c r="AI340" i="13"/>
  <c r="AI339" i="13"/>
  <c r="AI398" i="13"/>
  <c r="AI397" i="13"/>
  <c r="AI373" i="13"/>
  <c r="AI372" i="13"/>
  <c r="AI356" i="13"/>
  <c r="AI355" i="13"/>
  <c r="AI331" i="13"/>
  <c r="AI330" i="13"/>
  <c r="AI377" i="13"/>
  <c r="AI376" i="13"/>
  <c r="AI352" i="13"/>
  <c r="AI351" i="13"/>
  <c r="AI326" i="13"/>
  <c r="AI327" i="13"/>
  <c r="AI365" i="13"/>
  <c r="AI364" i="13"/>
  <c r="AI393" i="13"/>
  <c r="AI394" i="13"/>
  <c r="AI410" i="13"/>
  <c r="AI409" i="13"/>
  <c r="AI390" i="13"/>
  <c r="AI389" i="13"/>
  <c r="AI414" i="13"/>
  <c r="AI413" i="13"/>
  <c r="AI381" i="13"/>
  <c r="AI380" i="13"/>
  <c r="AI406" i="13"/>
  <c r="AI405" i="13"/>
  <c r="AI417" i="13"/>
  <c r="AI418" i="13"/>
  <c r="AI402" i="13"/>
  <c r="AI401" i="13"/>
  <c r="AI450" i="13"/>
  <c r="AI451" i="13"/>
  <c r="AI439" i="13"/>
  <c r="AI438" i="13"/>
  <c r="AI435" i="13"/>
  <c r="AI434" i="13"/>
  <c r="AI431" i="13"/>
  <c r="AI430" i="13"/>
  <c r="AI447" i="13"/>
  <c r="AI446" i="13"/>
  <c r="AI426" i="13"/>
  <c r="AI427" i="13"/>
  <c r="AI443" i="13"/>
  <c r="AI442" i="13"/>
  <c r="AI472" i="13"/>
  <c r="AI473" i="13"/>
  <c r="AI462" i="13"/>
  <c r="AI463" i="13"/>
  <c r="AI459" i="13"/>
  <c r="AI458" i="13"/>
  <c r="AI455" i="13"/>
  <c r="AI454" i="13"/>
  <c r="AI493" i="13"/>
  <c r="AI481" i="13"/>
  <c r="AI480" i="13"/>
  <c r="AI505" i="13"/>
  <c r="AI504" i="13"/>
  <c r="AI509" i="13"/>
  <c r="AI513" i="13"/>
  <c r="AI512" i="13"/>
  <c r="AI534" i="13"/>
  <c r="AI533" i="13"/>
  <c r="AI530" i="13"/>
  <c r="AI529" i="13"/>
  <c r="AI526" i="13"/>
  <c r="AI525" i="13"/>
  <c r="AI538" i="13"/>
  <c r="AI537" i="13"/>
  <c r="AI546" i="13"/>
  <c r="AI545" i="13"/>
  <c r="AI542" i="13"/>
  <c r="AI541" i="13"/>
  <c r="AI549" i="13"/>
  <c r="AI550" i="13"/>
  <c r="AI557" i="13"/>
  <c r="AI558" i="13"/>
  <c r="AI579" i="13"/>
  <c r="AI578" i="13"/>
  <c r="AI562" i="13"/>
  <c r="AI561" i="13"/>
  <c r="AI575" i="13"/>
  <c r="AI574" i="13"/>
  <c r="O253" i="13"/>
  <c r="O252" i="13"/>
  <c r="O282" i="13"/>
  <c r="O281" i="13"/>
  <c r="O243" i="13"/>
  <c r="O244" i="13"/>
  <c r="O272" i="13"/>
  <c r="O273" i="13"/>
  <c r="O239" i="13"/>
  <c r="O240" i="13"/>
  <c r="O256" i="13"/>
  <c r="O257" i="13"/>
  <c r="O322" i="13"/>
  <c r="O323" i="13"/>
  <c r="O301" i="13"/>
  <c r="O302" i="13"/>
  <c r="O297" i="13"/>
  <c r="O298" i="13"/>
  <c r="O377" i="13"/>
  <c r="O376" i="13"/>
  <c r="O318" i="13"/>
  <c r="O319" i="13"/>
  <c r="O293" i="13"/>
  <c r="O294" i="13"/>
  <c r="O268" i="13"/>
  <c r="O269" i="13"/>
  <c r="O315" i="13"/>
  <c r="O314" i="13"/>
  <c r="O289" i="13"/>
  <c r="O290" i="13"/>
  <c r="O264" i="13"/>
  <c r="O265" i="13"/>
  <c r="O311" i="13"/>
  <c r="O310" i="13"/>
  <c r="O343" i="13"/>
  <c r="O344" i="13"/>
  <c r="O285" i="13"/>
  <c r="O286" i="13"/>
  <c r="O260" i="13"/>
  <c r="O261" i="13"/>
  <c r="O348" i="13"/>
  <c r="O347" i="13"/>
  <c r="O339" i="13"/>
  <c r="O340" i="13"/>
  <c r="O364" i="13"/>
  <c r="O365" i="13"/>
  <c r="O369" i="13"/>
  <c r="O368" i="13"/>
  <c r="O355" i="13"/>
  <c r="O356" i="13"/>
  <c r="O330" i="13"/>
  <c r="O331" i="13"/>
  <c r="O351" i="13"/>
  <c r="O352" i="13"/>
  <c r="O372" i="13"/>
  <c r="O373" i="13"/>
  <c r="O326" i="13"/>
  <c r="O327" i="13"/>
  <c r="O398" i="13"/>
  <c r="O397" i="13"/>
  <c r="O418" i="13"/>
  <c r="O417" i="13"/>
  <c r="O414" i="13"/>
  <c r="O413" i="13"/>
  <c r="O393" i="13"/>
  <c r="O394" i="13"/>
  <c r="O389" i="13"/>
  <c r="O390" i="13"/>
  <c r="O381" i="13"/>
  <c r="O380" i="13"/>
  <c r="O409" i="13"/>
  <c r="O410" i="13"/>
  <c r="O405" i="13"/>
  <c r="O406" i="13"/>
  <c r="O401" i="13"/>
  <c r="O402" i="13"/>
  <c r="O450" i="13"/>
  <c r="O451" i="13"/>
  <c r="O442" i="13"/>
  <c r="O443" i="13"/>
  <c r="O438" i="13"/>
  <c r="O439" i="13"/>
  <c r="O447" i="13"/>
  <c r="O446" i="13"/>
  <c r="O434" i="13"/>
  <c r="O435" i="13"/>
  <c r="O430" i="13"/>
  <c r="O431" i="13"/>
  <c r="O427" i="13"/>
  <c r="O426" i="13"/>
  <c r="O473" i="13"/>
  <c r="O472" i="13"/>
  <c r="O462" i="13"/>
  <c r="O463" i="13"/>
  <c r="O493" i="13"/>
  <c r="O492" i="13"/>
  <c r="O476" i="13"/>
  <c r="O477" i="13"/>
  <c r="O458" i="13"/>
  <c r="O459" i="13"/>
  <c r="O454" i="13"/>
  <c r="O455" i="13"/>
  <c r="O481" i="13"/>
  <c r="O480" i="13"/>
  <c r="O509" i="13"/>
  <c r="O508" i="13"/>
  <c r="O513" i="13"/>
  <c r="O512" i="13"/>
  <c r="O525" i="13"/>
  <c r="O526" i="13"/>
  <c r="O504" i="13"/>
  <c r="O505" i="13"/>
  <c r="O521" i="13"/>
  <c r="O522" i="13"/>
  <c r="O529" i="13"/>
  <c r="O530" i="13"/>
  <c r="O541" i="13"/>
  <c r="O542" i="13"/>
  <c r="O533" i="13"/>
  <c r="O534" i="13"/>
  <c r="O546" i="13"/>
  <c r="O545" i="13"/>
  <c r="O578" i="13"/>
  <c r="O579" i="13"/>
  <c r="O537" i="13"/>
  <c r="O538" i="13"/>
  <c r="O550" i="13"/>
  <c r="O549" i="13"/>
  <c r="O557" i="13"/>
  <c r="O558" i="13"/>
  <c r="O554" i="13"/>
  <c r="O553" i="13"/>
  <c r="O561" i="13"/>
  <c r="O562" i="13"/>
  <c r="O575" i="13"/>
  <c r="O574" i="13"/>
  <c r="O582" i="13"/>
  <c r="O583" i="13"/>
  <c r="O570" i="13"/>
  <c r="O571" i="13"/>
  <c r="AH269" i="13"/>
  <c r="AH268" i="13"/>
  <c r="J256" i="13"/>
  <c r="J257" i="13"/>
  <c r="Q236" i="13"/>
  <c r="Q235" i="13"/>
  <c r="AH273" i="13"/>
  <c r="AH272" i="13"/>
  <c r="AH240" i="13"/>
  <c r="AH239" i="13"/>
  <c r="AH261" i="13"/>
  <c r="AH260" i="13"/>
  <c r="AH257" i="13"/>
  <c r="AH256" i="13"/>
  <c r="AH253" i="13"/>
  <c r="AH252" i="13"/>
  <c r="AH302" i="13"/>
  <c r="AH301" i="13"/>
  <c r="AH298" i="13"/>
  <c r="AH297" i="13"/>
  <c r="AH319" i="13"/>
  <c r="AH318" i="13"/>
  <c r="AH294" i="13"/>
  <c r="AH293" i="13"/>
  <c r="AH315" i="13"/>
  <c r="AH314" i="13"/>
  <c r="AH290" i="13"/>
  <c r="AH289" i="13"/>
  <c r="AH265" i="13"/>
  <c r="AH264" i="13"/>
  <c r="AH311" i="13"/>
  <c r="AH310" i="13"/>
  <c r="AH286" i="13"/>
  <c r="AH285" i="13"/>
  <c r="AH340" i="13"/>
  <c r="AH339" i="13"/>
  <c r="AH281" i="13"/>
  <c r="AH282" i="13"/>
  <c r="AH344" i="13"/>
  <c r="AH343" i="13"/>
  <c r="AH373" i="13"/>
  <c r="AH372" i="13"/>
  <c r="AH356" i="13"/>
  <c r="AH355" i="13"/>
  <c r="AH331" i="13"/>
  <c r="AH330" i="13"/>
  <c r="AH352" i="13"/>
  <c r="AH351" i="13"/>
  <c r="AH326" i="13"/>
  <c r="AH327" i="13"/>
  <c r="AH365" i="13"/>
  <c r="AH364" i="13"/>
  <c r="AH369" i="13"/>
  <c r="AH368" i="13"/>
  <c r="AH348" i="13"/>
  <c r="AH347" i="13"/>
  <c r="AH406" i="13"/>
  <c r="AH405" i="13"/>
  <c r="AH393" i="13"/>
  <c r="AH394" i="13"/>
  <c r="AH390" i="13"/>
  <c r="AH389" i="13"/>
  <c r="AH435" i="13"/>
  <c r="AH434" i="13"/>
  <c r="AH381" i="13"/>
  <c r="AH377" i="13"/>
  <c r="AH376" i="13"/>
  <c r="AH410" i="13"/>
  <c r="AH409" i="13"/>
  <c r="AH417" i="13"/>
  <c r="AH418" i="13"/>
  <c r="AH402" i="13"/>
  <c r="AH401" i="13"/>
  <c r="AH398" i="13"/>
  <c r="AH397" i="13"/>
  <c r="AH427" i="13"/>
  <c r="AH426" i="13"/>
  <c r="AH413" i="13"/>
  <c r="AH414" i="13"/>
  <c r="AH450" i="13"/>
  <c r="AH451" i="13"/>
  <c r="AH439" i="13"/>
  <c r="AH438" i="13"/>
  <c r="AH431" i="13"/>
  <c r="AH430" i="13"/>
  <c r="AH447" i="13"/>
  <c r="AH446" i="13"/>
  <c r="AH442" i="13"/>
  <c r="AH443" i="13"/>
  <c r="AH462" i="13"/>
  <c r="AH463" i="13"/>
  <c r="AH459" i="13"/>
  <c r="AH458" i="13"/>
  <c r="AH455" i="13"/>
  <c r="AH454" i="13"/>
  <c r="AH472" i="13"/>
  <c r="AH473" i="13"/>
  <c r="AH481" i="13"/>
  <c r="AH480" i="13"/>
  <c r="AH504" i="13"/>
  <c r="AH505" i="13"/>
  <c r="AH530" i="13"/>
  <c r="AH529" i="13"/>
  <c r="AH526" i="13"/>
  <c r="AH525" i="13"/>
  <c r="AH538" i="13"/>
  <c r="AH537" i="13"/>
  <c r="AH513" i="13"/>
  <c r="AH512" i="13"/>
  <c r="AH534" i="13"/>
  <c r="AH533" i="13"/>
  <c r="AH545" i="13"/>
  <c r="AH546" i="13"/>
  <c r="AH542" i="13"/>
  <c r="AH541" i="13"/>
  <c r="AH562" i="13"/>
  <c r="AH561" i="13"/>
  <c r="AH557" i="13"/>
  <c r="AH558" i="13"/>
  <c r="AH554" i="13"/>
  <c r="AH553" i="13"/>
  <c r="AH549" i="13"/>
  <c r="AH550" i="13"/>
  <c r="AH575" i="13"/>
  <c r="AH574" i="13"/>
  <c r="AH583" i="13"/>
  <c r="AH582" i="13"/>
  <c r="AH578" i="13"/>
  <c r="AH579" i="13"/>
  <c r="N260" i="13"/>
  <c r="N261" i="13"/>
  <c r="N272" i="13"/>
  <c r="N273" i="13"/>
  <c r="N239" i="13"/>
  <c r="N240" i="13"/>
  <c r="N236" i="13"/>
  <c r="N257" i="13"/>
  <c r="N256" i="13"/>
  <c r="N252" i="13"/>
  <c r="N253" i="13"/>
  <c r="N264" i="13"/>
  <c r="N265" i="13"/>
  <c r="N302" i="13"/>
  <c r="N301" i="13"/>
  <c r="N339" i="13"/>
  <c r="N340" i="13"/>
  <c r="N297" i="13"/>
  <c r="N298" i="13"/>
  <c r="N293" i="13"/>
  <c r="N294" i="13"/>
  <c r="N289" i="13"/>
  <c r="N290" i="13"/>
  <c r="N310" i="13"/>
  <c r="N311" i="13"/>
  <c r="N286" i="13"/>
  <c r="N285" i="13"/>
  <c r="N282" i="13"/>
  <c r="N281" i="13"/>
  <c r="N343" i="13"/>
  <c r="N344" i="13"/>
  <c r="N364" i="13"/>
  <c r="N365" i="13"/>
  <c r="N368" i="13"/>
  <c r="N369" i="13"/>
  <c r="N355" i="13"/>
  <c r="N356" i="13"/>
  <c r="N330" i="13"/>
  <c r="N331" i="13"/>
  <c r="N352" i="13"/>
  <c r="N351" i="13"/>
  <c r="N372" i="13"/>
  <c r="N373" i="13"/>
  <c r="N326" i="13"/>
  <c r="N327" i="13"/>
  <c r="N347" i="13"/>
  <c r="N348" i="13"/>
  <c r="N393" i="13"/>
  <c r="N394" i="13"/>
  <c r="N405" i="13"/>
  <c r="N406" i="13"/>
  <c r="N389" i="13"/>
  <c r="N390" i="13"/>
  <c r="N380" i="13"/>
  <c r="N381" i="13"/>
  <c r="N409" i="13"/>
  <c r="N410" i="13"/>
  <c r="N377" i="13"/>
  <c r="N376" i="13"/>
  <c r="N401" i="13"/>
  <c r="N402" i="13"/>
  <c r="N434" i="13"/>
  <c r="N435" i="13"/>
  <c r="N397" i="13"/>
  <c r="N398" i="13"/>
  <c r="N442" i="13"/>
  <c r="N443" i="13"/>
  <c r="N427" i="13"/>
  <c r="N426" i="13"/>
  <c r="N447" i="13"/>
  <c r="N446" i="13"/>
  <c r="N413" i="13"/>
  <c r="N414" i="13"/>
  <c r="N418" i="13"/>
  <c r="N417" i="13"/>
  <c r="N438" i="13"/>
  <c r="N439" i="13"/>
  <c r="N430" i="13"/>
  <c r="N431" i="13"/>
  <c r="N472" i="13"/>
  <c r="N473" i="13"/>
  <c r="N450" i="13"/>
  <c r="N451" i="13"/>
  <c r="N462" i="13"/>
  <c r="N463" i="13"/>
  <c r="N458" i="13"/>
  <c r="N459" i="13"/>
  <c r="N454" i="13"/>
  <c r="N455" i="13"/>
  <c r="N481" i="13"/>
  <c r="N480" i="13"/>
  <c r="N525" i="13"/>
  <c r="N526" i="13"/>
  <c r="N529" i="13"/>
  <c r="N530" i="13"/>
  <c r="N533" i="13"/>
  <c r="N534" i="13"/>
  <c r="N541" i="13"/>
  <c r="N542" i="13"/>
  <c r="N513" i="13"/>
  <c r="N538" i="13"/>
  <c r="N537" i="13"/>
  <c r="N546" i="13"/>
  <c r="N545" i="13"/>
  <c r="N561" i="13"/>
  <c r="N562" i="13"/>
  <c r="N550" i="13"/>
  <c r="N549" i="13"/>
  <c r="N574" i="13"/>
  <c r="N575" i="13"/>
  <c r="N579" i="13"/>
  <c r="N578" i="13"/>
  <c r="Y252" i="13"/>
  <c r="Y253" i="13"/>
  <c r="AG244" i="13"/>
  <c r="AG243" i="13"/>
  <c r="AG269" i="13"/>
  <c r="AG268" i="13"/>
  <c r="AG343" i="13"/>
  <c r="AG344" i="13"/>
  <c r="AG257" i="13"/>
  <c r="AG256" i="13"/>
  <c r="AG232" i="13"/>
  <c r="AG231" i="13"/>
  <c r="AG253" i="13"/>
  <c r="AG252" i="13"/>
  <c r="AG294" i="13"/>
  <c r="AG293" i="13"/>
  <c r="AG227" i="13"/>
  <c r="AG228" i="13"/>
  <c r="AG298" i="13"/>
  <c r="AG297" i="13"/>
  <c r="AG319" i="13"/>
  <c r="AG318" i="13"/>
  <c r="AG315" i="13"/>
  <c r="AG314" i="13"/>
  <c r="AG290" i="13"/>
  <c r="AG289" i="13"/>
  <c r="AG265" i="13"/>
  <c r="AG264" i="13"/>
  <c r="AG311" i="13"/>
  <c r="AG310" i="13"/>
  <c r="AG286" i="13"/>
  <c r="AG285" i="13"/>
  <c r="AG261" i="13"/>
  <c r="AG260" i="13"/>
  <c r="AG281" i="13"/>
  <c r="AG282" i="13"/>
  <c r="AG302" i="13"/>
  <c r="AG301" i="13"/>
  <c r="AG340" i="13"/>
  <c r="AG339" i="13"/>
  <c r="AG390" i="13"/>
  <c r="AG389" i="13"/>
  <c r="AG356" i="13"/>
  <c r="AG355" i="13"/>
  <c r="AG331" i="13"/>
  <c r="AG330" i="13"/>
  <c r="AG352" i="13"/>
  <c r="AG351" i="13"/>
  <c r="AG326" i="13"/>
  <c r="AG327" i="13"/>
  <c r="AG365" i="13"/>
  <c r="AG364" i="13"/>
  <c r="AG369" i="13"/>
  <c r="AG368" i="13"/>
  <c r="AG348" i="13"/>
  <c r="AG347" i="13"/>
  <c r="AG322" i="13"/>
  <c r="AG323" i="13"/>
  <c r="AG393" i="13"/>
  <c r="AG394" i="13"/>
  <c r="AG398" i="13"/>
  <c r="AG397" i="13"/>
  <c r="AG410" i="13"/>
  <c r="AG409" i="13"/>
  <c r="AG377" i="13"/>
  <c r="AG376" i="13"/>
  <c r="AG406" i="13"/>
  <c r="AG405" i="13"/>
  <c r="AG373" i="13"/>
  <c r="AG372" i="13"/>
  <c r="AG435" i="13"/>
  <c r="AG434" i="13"/>
  <c r="AG402" i="13"/>
  <c r="AG401" i="13"/>
  <c r="AG413" i="13"/>
  <c r="AG414" i="13"/>
  <c r="AG439" i="13"/>
  <c r="AG438" i="13"/>
  <c r="AG431" i="13"/>
  <c r="AG430" i="13"/>
  <c r="AG446" i="13"/>
  <c r="AG447" i="13"/>
  <c r="AG427" i="13"/>
  <c r="AG426" i="13"/>
  <c r="AG442" i="13"/>
  <c r="AG443" i="13"/>
  <c r="AG417" i="13"/>
  <c r="AG418" i="13"/>
  <c r="AG462" i="13"/>
  <c r="AG463" i="13"/>
  <c r="AG459" i="13"/>
  <c r="AG458" i="13"/>
  <c r="AG454" i="13"/>
  <c r="AG455" i="13"/>
  <c r="AG472" i="13"/>
  <c r="AG473" i="13"/>
  <c r="AG450" i="13"/>
  <c r="AG451" i="13"/>
  <c r="AG509" i="13"/>
  <c r="AG508" i="13"/>
  <c r="AG484" i="13"/>
  <c r="AG485" i="13"/>
  <c r="AG481" i="13"/>
  <c r="AG480" i="13"/>
  <c r="AG505" i="13"/>
  <c r="AG522" i="13"/>
  <c r="AG493" i="13"/>
  <c r="AG492" i="13"/>
  <c r="AG526" i="13"/>
  <c r="AG525" i="13"/>
  <c r="AG513" i="13"/>
  <c r="AG512" i="13"/>
  <c r="AG530" i="13"/>
  <c r="AG529" i="13"/>
  <c r="AG538" i="13"/>
  <c r="AG537" i="13"/>
  <c r="AG542" i="13"/>
  <c r="AG541" i="13"/>
  <c r="AG534" i="13"/>
  <c r="AG533" i="13"/>
  <c r="AG557" i="13"/>
  <c r="AG558" i="13"/>
  <c r="AG554" i="13"/>
  <c r="AG553" i="13"/>
  <c r="AG550" i="13"/>
  <c r="AG549" i="13"/>
  <c r="AG571" i="13"/>
  <c r="AG570" i="13"/>
  <c r="AG546" i="13"/>
  <c r="AG545" i="13"/>
  <c r="AG575" i="13"/>
  <c r="AG574" i="13"/>
  <c r="AG583" i="13"/>
  <c r="AG579" i="13"/>
  <c r="AG578" i="13"/>
  <c r="AG562" i="13"/>
  <c r="AG561" i="13"/>
  <c r="M268" i="13"/>
  <c r="M269" i="13"/>
  <c r="M272" i="13"/>
  <c r="M273" i="13"/>
  <c r="M297" i="13"/>
  <c r="M298" i="13"/>
  <c r="M256" i="13"/>
  <c r="M257" i="13"/>
  <c r="M232" i="13"/>
  <c r="M231" i="13"/>
  <c r="M252" i="13"/>
  <c r="M253" i="13"/>
  <c r="M264" i="13"/>
  <c r="M265" i="13"/>
  <c r="M228" i="13"/>
  <c r="M227" i="13"/>
  <c r="M339" i="13"/>
  <c r="M340" i="13"/>
  <c r="M318" i="13"/>
  <c r="M319" i="13"/>
  <c r="M315" i="13"/>
  <c r="M314" i="13"/>
  <c r="M289" i="13"/>
  <c r="M290" i="13"/>
  <c r="M310" i="13"/>
  <c r="M311" i="13"/>
  <c r="M285" i="13"/>
  <c r="M286" i="13"/>
  <c r="M343" i="13"/>
  <c r="M344" i="13"/>
  <c r="M281" i="13"/>
  <c r="M282" i="13"/>
  <c r="M301" i="13"/>
  <c r="M302" i="13"/>
  <c r="M389" i="13"/>
  <c r="M390" i="13"/>
  <c r="M364" i="13"/>
  <c r="M365" i="13"/>
  <c r="M368" i="13"/>
  <c r="M369" i="13"/>
  <c r="M355" i="13"/>
  <c r="M356" i="13"/>
  <c r="M330" i="13"/>
  <c r="M331" i="13"/>
  <c r="M351" i="13"/>
  <c r="M352" i="13"/>
  <c r="M327" i="13"/>
  <c r="M326" i="13"/>
  <c r="M347" i="13"/>
  <c r="M348" i="13"/>
  <c r="M322" i="13"/>
  <c r="M323" i="13"/>
  <c r="M393" i="13"/>
  <c r="M394" i="13"/>
  <c r="M405" i="13"/>
  <c r="M406" i="13"/>
  <c r="M380" i="13"/>
  <c r="M381" i="13"/>
  <c r="M409" i="13"/>
  <c r="M410" i="13"/>
  <c r="M376" i="13"/>
  <c r="M377" i="13"/>
  <c r="M397" i="13"/>
  <c r="M398" i="13"/>
  <c r="M372" i="13"/>
  <c r="M373" i="13"/>
  <c r="M401" i="13"/>
  <c r="M402" i="13"/>
  <c r="M434" i="13"/>
  <c r="M435" i="13"/>
  <c r="M413" i="13"/>
  <c r="M414" i="13"/>
  <c r="M438" i="13"/>
  <c r="M439" i="13"/>
  <c r="M447" i="13"/>
  <c r="M446" i="13"/>
  <c r="M430" i="13"/>
  <c r="M431" i="13"/>
  <c r="M426" i="13"/>
  <c r="M427" i="13"/>
  <c r="M442" i="13"/>
  <c r="M443" i="13"/>
  <c r="M418" i="13"/>
  <c r="M417" i="13"/>
  <c r="M472" i="13"/>
  <c r="M473" i="13"/>
  <c r="M462" i="13"/>
  <c r="M463" i="13"/>
  <c r="M458" i="13"/>
  <c r="M459" i="13"/>
  <c r="M455" i="13"/>
  <c r="M454" i="13"/>
  <c r="M450" i="13"/>
  <c r="M451" i="13"/>
  <c r="M480" i="13"/>
  <c r="M481" i="13"/>
  <c r="M477" i="13"/>
  <c r="M476" i="13"/>
  <c r="M505" i="13"/>
  <c r="M504" i="13"/>
  <c r="M521" i="13"/>
  <c r="M522" i="13"/>
  <c r="M493" i="13"/>
  <c r="M492" i="13"/>
  <c r="M509" i="13"/>
  <c r="M508" i="13"/>
  <c r="M525" i="13"/>
  <c r="M526" i="13"/>
  <c r="M529" i="13"/>
  <c r="M530" i="13"/>
  <c r="M513" i="13"/>
  <c r="M512" i="13"/>
  <c r="M538" i="13"/>
  <c r="M537" i="13"/>
  <c r="M570" i="13"/>
  <c r="M571" i="13"/>
  <c r="M533" i="13"/>
  <c r="M534" i="13"/>
  <c r="M541" i="13"/>
  <c r="M542" i="13"/>
  <c r="M558" i="13"/>
  <c r="M557" i="13"/>
  <c r="M553" i="13"/>
  <c r="M554" i="13"/>
  <c r="M550" i="13"/>
  <c r="M549" i="13"/>
  <c r="M546" i="13"/>
  <c r="M545" i="13"/>
  <c r="M574" i="13"/>
  <c r="M575" i="13"/>
  <c r="M583" i="13"/>
  <c r="M582" i="13"/>
  <c r="M578" i="13"/>
  <c r="M579" i="13"/>
  <c r="M562" i="13"/>
  <c r="M561" i="13"/>
  <c r="L273" i="13"/>
  <c r="L272" i="13"/>
  <c r="L289" i="13"/>
  <c r="L290" i="13"/>
  <c r="L256" i="13"/>
  <c r="L257" i="13"/>
  <c r="L315" i="13"/>
  <c r="L314" i="13"/>
  <c r="L252" i="13"/>
  <c r="L253" i="13"/>
  <c r="L264" i="13"/>
  <c r="L265" i="13"/>
  <c r="L260" i="13"/>
  <c r="L261" i="13"/>
  <c r="L293" i="13"/>
  <c r="L294" i="13"/>
  <c r="L310" i="13"/>
  <c r="L311" i="13"/>
  <c r="L285" i="13"/>
  <c r="L286" i="13"/>
  <c r="L281" i="13"/>
  <c r="L282" i="13"/>
  <c r="L368" i="13"/>
  <c r="L369" i="13"/>
  <c r="L301" i="13"/>
  <c r="L302" i="13"/>
  <c r="L339" i="13"/>
  <c r="L340" i="13"/>
  <c r="L297" i="13"/>
  <c r="L298" i="13"/>
  <c r="L365" i="13"/>
  <c r="L364" i="13"/>
  <c r="L355" i="13"/>
  <c r="L356" i="13"/>
  <c r="L330" i="13"/>
  <c r="L331" i="13"/>
  <c r="L351" i="13"/>
  <c r="L352" i="13"/>
  <c r="L326" i="13"/>
  <c r="L327" i="13"/>
  <c r="L347" i="13"/>
  <c r="L348" i="13"/>
  <c r="L344" i="13"/>
  <c r="L343" i="13"/>
  <c r="L389" i="13"/>
  <c r="L390" i="13"/>
  <c r="L401" i="13"/>
  <c r="L402" i="13"/>
  <c r="L380" i="13"/>
  <c r="L381" i="13"/>
  <c r="L377" i="13"/>
  <c r="L376" i="13"/>
  <c r="L372" i="13"/>
  <c r="L373" i="13"/>
  <c r="L393" i="13"/>
  <c r="L394" i="13"/>
  <c r="L405" i="13"/>
  <c r="L406" i="13"/>
  <c r="L398" i="13"/>
  <c r="L397" i="13"/>
  <c r="L414" i="13"/>
  <c r="L413" i="13"/>
  <c r="L410" i="13"/>
  <c r="L409" i="13"/>
  <c r="L430" i="13"/>
  <c r="L431" i="13"/>
  <c r="L434" i="13"/>
  <c r="L435" i="13"/>
  <c r="L426" i="13"/>
  <c r="L427" i="13"/>
  <c r="L458" i="13"/>
  <c r="L459" i="13"/>
  <c r="L442" i="13"/>
  <c r="L443" i="13"/>
  <c r="L417" i="13"/>
  <c r="L418" i="13"/>
  <c r="L438" i="13"/>
  <c r="L439" i="13"/>
  <c r="L462" i="13"/>
  <c r="L463" i="13"/>
  <c r="L454" i="13"/>
  <c r="L455" i="13"/>
  <c r="L451" i="13"/>
  <c r="L450" i="13"/>
  <c r="L447" i="13"/>
  <c r="L446" i="13"/>
  <c r="L480" i="13"/>
  <c r="L481" i="13"/>
  <c r="L493" i="13"/>
  <c r="L472" i="13"/>
  <c r="L473" i="13"/>
  <c r="L522" i="13"/>
  <c r="L525" i="13"/>
  <c r="L526" i="13"/>
  <c r="L530" i="13"/>
  <c r="L529" i="13"/>
  <c r="L538" i="13"/>
  <c r="L537" i="13"/>
  <c r="L509" i="13"/>
  <c r="L508" i="13"/>
  <c r="L553" i="13"/>
  <c r="L554" i="13"/>
  <c r="L579" i="13"/>
  <c r="L578" i="13"/>
  <c r="L533" i="13"/>
  <c r="L534" i="13"/>
  <c r="L542" i="13"/>
  <c r="L541" i="13"/>
  <c r="L561" i="13"/>
  <c r="L562" i="13"/>
  <c r="L550" i="13"/>
  <c r="L549" i="13"/>
  <c r="L546" i="13"/>
  <c r="L545" i="13"/>
  <c r="L574" i="13"/>
  <c r="L575" i="13"/>
  <c r="L582" i="13"/>
  <c r="L583" i="13"/>
  <c r="N268" i="13"/>
  <c r="N269" i="13"/>
  <c r="S240" i="13"/>
  <c r="S239" i="13"/>
  <c r="O236" i="13"/>
  <c r="O235" i="13"/>
  <c r="J227" i="13"/>
  <c r="J228" i="13"/>
  <c r="I224" i="13"/>
  <c r="I223" i="13"/>
  <c r="K289" i="13"/>
  <c r="K290" i="13"/>
  <c r="K256" i="13"/>
  <c r="K257" i="13"/>
  <c r="K253" i="13"/>
  <c r="K252" i="13"/>
  <c r="K264" i="13"/>
  <c r="K265" i="13"/>
  <c r="K228" i="13"/>
  <c r="K227" i="13"/>
  <c r="K260" i="13"/>
  <c r="K261" i="13"/>
  <c r="K293" i="13"/>
  <c r="K294" i="13"/>
  <c r="K243" i="13"/>
  <c r="K244" i="13"/>
  <c r="K268" i="13"/>
  <c r="K269" i="13"/>
  <c r="K315" i="13"/>
  <c r="K314" i="13"/>
  <c r="K310" i="13"/>
  <c r="K311" i="13"/>
  <c r="K285" i="13"/>
  <c r="K286" i="13"/>
  <c r="K330" i="13"/>
  <c r="K331" i="13"/>
  <c r="K282" i="13"/>
  <c r="K281" i="13"/>
  <c r="K301" i="13"/>
  <c r="K302" i="13"/>
  <c r="K298" i="13"/>
  <c r="K297" i="13"/>
  <c r="K272" i="13"/>
  <c r="K273" i="13"/>
  <c r="K389" i="13"/>
  <c r="K390" i="13"/>
  <c r="K365" i="13"/>
  <c r="K364" i="13"/>
  <c r="K355" i="13"/>
  <c r="K356" i="13"/>
  <c r="K351" i="13"/>
  <c r="K352" i="13"/>
  <c r="K326" i="13"/>
  <c r="K327" i="13"/>
  <c r="K348" i="13"/>
  <c r="K347" i="13"/>
  <c r="K323" i="13"/>
  <c r="K322" i="13"/>
  <c r="K434" i="13"/>
  <c r="K435" i="13"/>
  <c r="K343" i="13"/>
  <c r="K344" i="13"/>
  <c r="K318" i="13"/>
  <c r="K319" i="13"/>
  <c r="K339" i="13"/>
  <c r="K340" i="13"/>
  <c r="K401" i="13"/>
  <c r="K402" i="13"/>
  <c r="K380" i="13"/>
  <c r="K381" i="13"/>
  <c r="K376" i="13"/>
  <c r="K377" i="13"/>
  <c r="K373" i="13"/>
  <c r="K372" i="13"/>
  <c r="K398" i="13"/>
  <c r="K397" i="13"/>
  <c r="K394" i="13"/>
  <c r="K393" i="13"/>
  <c r="K369" i="13"/>
  <c r="K368" i="13"/>
  <c r="K414" i="13"/>
  <c r="K413" i="13"/>
  <c r="K426" i="13"/>
  <c r="K427" i="13"/>
  <c r="K409" i="13"/>
  <c r="K410" i="13"/>
  <c r="K430" i="13"/>
  <c r="K431" i="13"/>
  <c r="K405" i="13"/>
  <c r="K406" i="13"/>
  <c r="K458" i="13"/>
  <c r="K459" i="13"/>
  <c r="K442" i="13"/>
  <c r="K443" i="13"/>
  <c r="K417" i="13"/>
  <c r="K418" i="13"/>
  <c r="K439" i="13"/>
  <c r="K438" i="13"/>
  <c r="K462" i="13"/>
  <c r="K463" i="13"/>
  <c r="K472" i="13"/>
  <c r="K473" i="13"/>
  <c r="K454" i="13"/>
  <c r="K455" i="13"/>
  <c r="K477" i="13"/>
  <c r="K450" i="13"/>
  <c r="K451" i="13"/>
  <c r="K480" i="13"/>
  <c r="K481" i="13"/>
  <c r="K447" i="13"/>
  <c r="K446" i="13"/>
  <c r="K493" i="13"/>
  <c r="K492" i="13"/>
  <c r="K504" i="13"/>
  <c r="K505" i="13"/>
  <c r="K521" i="13"/>
  <c r="K522" i="13"/>
  <c r="K553" i="13"/>
  <c r="K554" i="13"/>
  <c r="K513" i="13"/>
  <c r="K512" i="13"/>
  <c r="K538" i="13"/>
  <c r="K537" i="13"/>
  <c r="K509" i="13"/>
  <c r="K508" i="13"/>
  <c r="K526" i="13"/>
  <c r="K525" i="13"/>
  <c r="K557" i="13"/>
  <c r="K558" i="13"/>
  <c r="K549" i="13"/>
  <c r="K550" i="13"/>
  <c r="K533" i="13"/>
  <c r="K534" i="13"/>
  <c r="K546" i="13"/>
  <c r="K545" i="13"/>
  <c r="K530" i="13"/>
  <c r="K529" i="13"/>
  <c r="K542" i="13"/>
  <c r="K541" i="13"/>
  <c r="K582" i="13"/>
  <c r="K583" i="13"/>
  <c r="K571" i="13"/>
  <c r="K570" i="13"/>
  <c r="K578" i="13"/>
  <c r="K579" i="13"/>
  <c r="K562" i="13"/>
  <c r="K561" i="13"/>
  <c r="K574" i="13"/>
  <c r="K575" i="13"/>
  <c r="Q252" i="13"/>
  <c r="Q253" i="13"/>
  <c r="AH228" i="13"/>
  <c r="AH227" i="13"/>
  <c r="Z285" i="13"/>
  <c r="Z286" i="13"/>
  <c r="Z281" i="13"/>
  <c r="Z282" i="13"/>
  <c r="Z252" i="13"/>
  <c r="Z253" i="13"/>
  <c r="Z264" i="13"/>
  <c r="Z265" i="13"/>
  <c r="Z289" i="13"/>
  <c r="Z290" i="13"/>
  <c r="Z244" i="13"/>
  <c r="Z243" i="13"/>
  <c r="Z330" i="13"/>
  <c r="Z331" i="13"/>
  <c r="Z326" i="13"/>
  <c r="Z327" i="13"/>
  <c r="Z351" i="13"/>
  <c r="Z352" i="13"/>
  <c r="Z302" i="13"/>
  <c r="Z301" i="13"/>
  <c r="Z297" i="13"/>
  <c r="Z298" i="13"/>
  <c r="Z272" i="13"/>
  <c r="Z273" i="13"/>
  <c r="Z293" i="13"/>
  <c r="Z294" i="13"/>
  <c r="Z269" i="13"/>
  <c r="Z268" i="13"/>
  <c r="Z355" i="13"/>
  <c r="Z356" i="13"/>
  <c r="Z347" i="13"/>
  <c r="Z348" i="13"/>
  <c r="Z343" i="13"/>
  <c r="Z344" i="13"/>
  <c r="Z319" i="13"/>
  <c r="Z318" i="13"/>
  <c r="Z339" i="13"/>
  <c r="Z340" i="13"/>
  <c r="Z315" i="13"/>
  <c r="Z380" i="13"/>
  <c r="Z381" i="13"/>
  <c r="Z393" i="13"/>
  <c r="Z394" i="13"/>
  <c r="Z401" i="13"/>
  <c r="Z402" i="13"/>
  <c r="Z389" i="13"/>
  <c r="Z390" i="13"/>
  <c r="Z397" i="13"/>
  <c r="Z398" i="13"/>
  <c r="Z365" i="13"/>
  <c r="Z364" i="13"/>
  <c r="Z418" i="13"/>
  <c r="Z417" i="13"/>
  <c r="Z413" i="13"/>
  <c r="Z414" i="13"/>
  <c r="Z409" i="13"/>
  <c r="Z410" i="13"/>
  <c r="Z426" i="13"/>
  <c r="Z427" i="13"/>
  <c r="Z405" i="13"/>
  <c r="Z406" i="13"/>
  <c r="Z430" i="13"/>
  <c r="Z431" i="13"/>
  <c r="Z438" i="13"/>
  <c r="Z439" i="13"/>
  <c r="Z434" i="13"/>
  <c r="Z435" i="13"/>
  <c r="Z458" i="13"/>
  <c r="Z459" i="13"/>
  <c r="Z454" i="13"/>
  <c r="Z455" i="13"/>
  <c r="Z451" i="13"/>
  <c r="Z450" i="13"/>
  <c r="Z472" i="13"/>
  <c r="Z473" i="13"/>
  <c r="Z446" i="13"/>
  <c r="Z447" i="13"/>
  <c r="Z480" i="13"/>
  <c r="Z481" i="13"/>
  <c r="Z443" i="13"/>
  <c r="Z442" i="13"/>
  <c r="Z463" i="13"/>
  <c r="Z462" i="13"/>
  <c r="Z542" i="13"/>
  <c r="Z541" i="13"/>
  <c r="Z533" i="13"/>
  <c r="Z534" i="13"/>
  <c r="Z549" i="13"/>
  <c r="Z550" i="13"/>
  <c r="Z530" i="13"/>
  <c r="Z529" i="13"/>
  <c r="Z525" i="13"/>
  <c r="Z526" i="13"/>
  <c r="Z545" i="13"/>
  <c r="Z546" i="13"/>
  <c r="Z538" i="13"/>
  <c r="Z537" i="13"/>
  <c r="Z578" i="13"/>
  <c r="Z579" i="13"/>
  <c r="Z574" i="13"/>
  <c r="Z575" i="13"/>
  <c r="J281" i="13"/>
  <c r="J282" i="13"/>
  <c r="J351" i="13"/>
  <c r="J352" i="13"/>
  <c r="J285" i="13"/>
  <c r="J286" i="13"/>
  <c r="J252" i="13"/>
  <c r="J253" i="13"/>
  <c r="J264" i="13"/>
  <c r="J265" i="13"/>
  <c r="J261" i="13"/>
  <c r="J260" i="13"/>
  <c r="J330" i="13"/>
  <c r="J331" i="13"/>
  <c r="J244" i="13"/>
  <c r="J243" i="13"/>
  <c r="J289" i="13"/>
  <c r="J290" i="13"/>
  <c r="J315" i="13"/>
  <c r="J314" i="13"/>
  <c r="J310" i="13"/>
  <c r="J311" i="13"/>
  <c r="J302" i="13"/>
  <c r="J301" i="13"/>
  <c r="J326" i="13"/>
  <c r="J327" i="13"/>
  <c r="J297" i="13"/>
  <c r="J298" i="13"/>
  <c r="J272" i="13"/>
  <c r="J273" i="13"/>
  <c r="J293" i="13"/>
  <c r="J294" i="13"/>
  <c r="J269" i="13"/>
  <c r="J268" i="13"/>
  <c r="J355" i="13"/>
  <c r="J356" i="13"/>
  <c r="J347" i="13"/>
  <c r="J348" i="13"/>
  <c r="J343" i="13"/>
  <c r="J344" i="13"/>
  <c r="J372" i="13"/>
  <c r="J373" i="13"/>
  <c r="J318" i="13"/>
  <c r="J319" i="13"/>
  <c r="J340" i="13"/>
  <c r="J339" i="13"/>
  <c r="J381" i="13"/>
  <c r="J376" i="13"/>
  <c r="J377" i="13"/>
  <c r="J397" i="13"/>
  <c r="J398" i="13"/>
  <c r="J393" i="13"/>
  <c r="J394" i="13"/>
  <c r="J369" i="13"/>
  <c r="J368" i="13"/>
  <c r="J389" i="13"/>
  <c r="J390" i="13"/>
  <c r="J365" i="13"/>
  <c r="J364" i="13"/>
  <c r="J401" i="13"/>
  <c r="J402" i="13"/>
  <c r="J413" i="13"/>
  <c r="J414" i="13"/>
  <c r="J426" i="13"/>
  <c r="J427" i="13"/>
  <c r="J409" i="13"/>
  <c r="J410" i="13"/>
  <c r="J430" i="13"/>
  <c r="J431" i="13"/>
  <c r="J418" i="13"/>
  <c r="J417" i="13"/>
  <c r="J405" i="13"/>
  <c r="J406" i="13"/>
  <c r="J442" i="13"/>
  <c r="J443" i="13"/>
  <c r="J438" i="13"/>
  <c r="J439" i="13"/>
  <c r="J434" i="13"/>
  <c r="J435" i="13"/>
  <c r="J458" i="13"/>
  <c r="J459" i="13"/>
  <c r="J454" i="13"/>
  <c r="J455" i="13"/>
  <c r="J451" i="13"/>
  <c r="J450" i="13"/>
  <c r="J480" i="13"/>
  <c r="J481" i="13"/>
  <c r="J447" i="13"/>
  <c r="J446" i="13"/>
  <c r="J484" i="13"/>
  <c r="J485" i="13"/>
  <c r="J463" i="13"/>
  <c r="J462" i="13"/>
  <c r="J472" i="13"/>
  <c r="J473" i="13"/>
  <c r="J505" i="13"/>
  <c r="J504" i="13"/>
  <c r="J513" i="13"/>
  <c r="J521" i="13"/>
  <c r="J509" i="13"/>
  <c r="J533" i="13"/>
  <c r="J534" i="13"/>
  <c r="J571" i="13"/>
  <c r="J562" i="13"/>
  <c r="J549" i="13"/>
  <c r="J550" i="13"/>
  <c r="J530" i="13"/>
  <c r="J529" i="13"/>
  <c r="J542" i="13"/>
  <c r="J541" i="13"/>
  <c r="J553" i="13"/>
  <c r="J554" i="13"/>
  <c r="J525" i="13"/>
  <c r="J526" i="13"/>
  <c r="J546" i="13"/>
  <c r="J545" i="13"/>
  <c r="J538" i="13"/>
  <c r="J537" i="13"/>
  <c r="J578" i="13"/>
  <c r="J579" i="13"/>
  <c r="J574" i="13"/>
  <c r="J575" i="13"/>
  <c r="J583" i="13"/>
  <c r="S265" i="13"/>
  <c r="S264" i="13"/>
  <c r="O231" i="13"/>
  <c r="O232" i="13"/>
  <c r="I228" i="13"/>
  <c r="I227" i="13"/>
  <c r="Y281" i="13"/>
  <c r="Y282" i="13"/>
  <c r="Y256" i="13"/>
  <c r="Y257" i="13"/>
  <c r="Y260" i="13"/>
  <c r="Y261" i="13"/>
  <c r="Y264" i="13"/>
  <c r="Y265" i="13"/>
  <c r="Y243" i="13"/>
  <c r="Y244" i="13"/>
  <c r="Y285" i="13"/>
  <c r="Y286" i="13"/>
  <c r="Y326" i="13"/>
  <c r="Y327" i="13"/>
  <c r="Y301" i="13"/>
  <c r="Y302" i="13"/>
  <c r="Y298" i="13"/>
  <c r="Y297" i="13"/>
  <c r="Y272" i="13"/>
  <c r="Y273" i="13"/>
  <c r="Y293" i="13"/>
  <c r="Y294" i="13"/>
  <c r="Y268" i="13"/>
  <c r="Y269" i="13"/>
  <c r="Y314" i="13"/>
  <c r="Y315" i="13"/>
  <c r="Y330" i="13"/>
  <c r="Y331" i="13"/>
  <c r="Y289" i="13"/>
  <c r="Y290" i="13"/>
  <c r="Y351" i="13"/>
  <c r="Y352" i="13"/>
  <c r="Y347" i="13"/>
  <c r="Y348" i="13"/>
  <c r="Y365" i="13"/>
  <c r="Y364" i="13"/>
  <c r="Y344" i="13"/>
  <c r="Y343" i="13"/>
  <c r="Y340" i="13"/>
  <c r="Y339" i="13"/>
  <c r="Y355" i="13"/>
  <c r="Y356" i="13"/>
  <c r="Y380" i="13"/>
  <c r="Y381" i="13"/>
  <c r="Y418" i="13"/>
  <c r="Y417" i="13"/>
  <c r="Y394" i="13"/>
  <c r="Y393" i="13"/>
  <c r="Y413" i="13"/>
  <c r="Y414" i="13"/>
  <c r="Y369" i="13"/>
  <c r="Y368" i="13"/>
  <c r="Y389" i="13"/>
  <c r="Y390" i="13"/>
  <c r="Y397" i="13"/>
  <c r="Y398" i="13"/>
  <c r="Y409" i="13"/>
  <c r="Y410" i="13"/>
  <c r="Y426" i="13"/>
  <c r="Y427" i="13"/>
  <c r="Y405" i="13"/>
  <c r="Y406" i="13"/>
  <c r="Y401" i="13"/>
  <c r="Y402" i="13"/>
  <c r="Y443" i="13"/>
  <c r="Y442" i="13"/>
  <c r="Y447" i="13"/>
  <c r="Y446" i="13"/>
  <c r="Y438" i="13"/>
  <c r="Y439" i="13"/>
  <c r="Y454" i="13"/>
  <c r="Y455" i="13"/>
  <c r="Y434" i="13"/>
  <c r="Y435" i="13"/>
  <c r="Y450" i="13"/>
  <c r="Y451" i="13"/>
  <c r="Y430" i="13"/>
  <c r="Y431" i="13"/>
  <c r="Y458" i="13"/>
  <c r="Y459" i="13"/>
  <c r="Y472" i="13"/>
  <c r="Y473" i="13"/>
  <c r="Y480" i="13"/>
  <c r="Y481" i="13"/>
  <c r="Y463" i="13"/>
  <c r="Y462" i="13"/>
  <c r="Y534" i="13"/>
  <c r="Y533" i="13"/>
  <c r="Y546" i="13"/>
  <c r="Y545" i="13"/>
  <c r="Y542" i="13"/>
  <c r="Y541" i="13"/>
  <c r="Y549" i="13"/>
  <c r="Y550" i="13"/>
  <c r="Y529" i="13"/>
  <c r="Y530" i="13"/>
  <c r="Y526" i="13"/>
  <c r="Y525" i="13"/>
  <c r="Y578" i="13"/>
  <c r="Y579" i="13"/>
  <c r="Y537" i="13"/>
  <c r="Y538" i="13"/>
  <c r="Y575" i="13"/>
  <c r="Y574" i="13"/>
  <c r="I281" i="13"/>
  <c r="I282" i="13"/>
  <c r="I256" i="13"/>
  <c r="I257" i="13"/>
  <c r="I285" i="13"/>
  <c r="I286" i="13"/>
  <c r="I264" i="13"/>
  <c r="I265" i="13"/>
  <c r="I260" i="13"/>
  <c r="I261" i="13"/>
  <c r="I243" i="13"/>
  <c r="I244" i="13"/>
  <c r="I318" i="13"/>
  <c r="I319" i="13"/>
  <c r="I310" i="13"/>
  <c r="I311" i="13"/>
  <c r="I330" i="13"/>
  <c r="I331" i="13"/>
  <c r="I301" i="13"/>
  <c r="I302" i="13"/>
  <c r="I326" i="13"/>
  <c r="I327" i="13"/>
  <c r="I298" i="13"/>
  <c r="I297" i="13"/>
  <c r="I272" i="13"/>
  <c r="I273" i="13"/>
  <c r="I294" i="13"/>
  <c r="I293" i="13"/>
  <c r="I269" i="13"/>
  <c r="I268" i="13"/>
  <c r="I315" i="13"/>
  <c r="I314" i="13"/>
  <c r="I289" i="13"/>
  <c r="I290" i="13"/>
  <c r="I351" i="13"/>
  <c r="I352" i="13"/>
  <c r="I376" i="13"/>
  <c r="I377" i="13"/>
  <c r="I347" i="13"/>
  <c r="I348" i="13"/>
  <c r="I322" i="13"/>
  <c r="I323" i="13"/>
  <c r="I344" i="13"/>
  <c r="I343" i="13"/>
  <c r="I340" i="13"/>
  <c r="I339" i="13"/>
  <c r="I355" i="13"/>
  <c r="I356" i="13"/>
  <c r="I365" i="13"/>
  <c r="I364" i="13"/>
  <c r="I380" i="13"/>
  <c r="I381" i="13"/>
  <c r="I413" i="13"/>
  <c r="I414" i="13"/>
  <c r="I373" i="13"/>
  <c r="I372" i="13"/>
  <c r="I397" i="13"/>
  <c r="I398" i="13"/>
  <c r="I393" i="13"/>
  <c r="I394" i="13"/>
  <c r="I369" i="13"/>
  <c r="I368" i="13"/>
  <c r="I389" i="13"/>
  <c r="I390" i="13"/>
  <c r="I426" i="13"/>
  <c r="I427" i="13"/>
  <c r="I409" i="13"/>
  <c r="I410" i="13"/>
  <c r="I418" i="13"/>
  <c r="I417" i="13"/>
  <c r="I405" i="13"/>
  <c r="I406" i="13"/>
  <c r="I401" i="13"/>
  <c r="I402" i="13"/>
  <c r="I454" i="13"/>
  <c r="I455" i="13"/>
  <c r="I442" i="13"/>
  <c r="I443" i="13"/>
  <c r="I458" i="13"/>
  <c r="I459" i="13"/>
  <c r="I438" i="13"/>
  <c r="I439" i="13"/>
  <c r="I434" i="13"/>
  <c r="I435" i="13"/>
  <c r="I450" i="13"/>
  <c r="I451" i="13"/>
  <c r="I430" i="13"/>
  <c r="I431" i="13"/>
  <c r="I447" i="13"/>
  <c r="I446" i="13"/>
  <c r="I480" i="13"/>
  <c r="I481" i="13"/>
  <c r="I462" i="13"/>
  <c r="I463" i="13"/>
  <c r="I472" i="13"/>
  <c r="I473" i="13"/>
  <c r="I493" i="13"/>
  <c r="I492" i="13"/>
  <c r="I488" i="13"/>
  <c r="I489" i="13"/>
  <c r="I485" i="13"/>
  <c r="I484" i="13"/>
  <c r="I521" i="13"/>
  <c r="I522" i="13"/>
  <c r="I512" i="13"/>
  <c r="I513" i="13"/>
  <c r="I509" i="13"/>
  <c r="I508" i="13"/>
  <c r="I549" i="13"/>
  <c r="I550" i="13"/>
  <c r="I570" i="13"/>
  <c r="I571" i="13"/>
  <c r="I534" i="13"/>
  <c r="I533" i="13"/>
  <c r="I504" i="13"/>
  <c r="I505" i="13"/>
  <c r="I578" i="13"/>
  <c r="I579" i="13"/>
  <c r="I562" i="13"/>
  <c r="I561" i="13"/>
  <c r="I546" i="13"/>
  <c r="I545" i="13"/>
  <c r="I530" i="13"/>
  <c r="I529" i="13"/>
  <c r="I542" i="13"/>
  <c r="I541" i="13"/>
  <c r="I553" i="13"/>
  <c r="I554" i="13"/>
  <c r="I526" i="13"/>
  <c r="I525" i="13"/>
  <c r="I538" i="13"/>
  <c r="I537" i="13"/>
  <c r="I557" i="13"/>
  <c r="I558" i="13"/>
  <c r="I575" i="13"/>
  <c r="I574" i="13"/>
  <c r="I582" i="13"/>
  <c r="I583" i="13"/>
  <c r="Q265" i="13"/>
  <c r="Q264" i="13"/>
  <c r="Q239" i="13"/>
  <c r="Q240" i="13"/>
  <c r="N232" i="13"/>
  <c r="X301" i="13"/>
  <c r="X302" i="13"/>
  <c r="X252" i="13"/>
  <c r="X253" i="13"/>
  <c r="X243" i="13"/>
  <c r="X244" i="13"/>
  <c r="X240" i="13"/>
  <c r="X239" i="13"/>
  <c r="X285" i="13"/>
  <c r="X286" i="13"/>
  <c r="X281" i="13"/>
  <c r="X282" i="13"/>
  <c r="X326" i="13"/>
  <c r="X327" i="13"/>
  <c r="X297" i="13"/>
  <c r="X298" i="13"/>
  <c r="X273" i="13"/>
  <c r="X272" i="13"/>
  <c r="X293" i="13"/>
  <c r="X294" i="13"/>
  <c r="X269" i="13"/>
  <c r="X268" i="13"/>
  <c r="X289" i="13"/>
  <c r="X290" i="13"/>
  <c r="X264" i="13"/>
  <c r="X265" i="13"/>
  <c r="X310" i="13"/>
  <c r="X311" i="13"/>
  <c r="X351" i="13"/>
  <c r="X352" i="13"/>
  <c r="X347" i="13"/>
  <c r="X348" i="13"/>
  <c r="X344" i="13"/>
  <c r="X343" i="13"/>
  <c r="X318" i="13"/>
  <c r="X319" i="13"/>
  <c r="X369" i="13"/>
  <c r="X368" i="13"/>
  <c r="X339" i="13"/>
  <c r="X340" i="13"/>
  <c r="X355" i="13"/>
  <c r="X356" i="13"/>
  <c r="X330" i="13"/>
  <c r="X331" i="13"/>
  <c r="X372" i="13"/>
  <c r="X373" i="13"/>
  <c r="X394" i="13"/>
  <c r="X393" i="13"/>
  <c r="X390" i="13"/>
  <c r="X389" i="13"/>
  <c r="X365" i="13"/>
  <c r="X364" i="13"/>
  <c r="X401" i="13"/>
  <c r="X402" i="13"/>
  <c r="X380" i="13"/>
  <c r="X381" i="13"/>
  <c r="X413" i="13"/>
  <c r="X414" i="13"/>
  <c r="X410" i="13"/>
  <c r="X409" i="13"/>
  <c r="X426" i="13"/>
  <c r="X427" i="13"/>
  <c r="X405" i="13"/>
  <c r="X406" i="13"/>
  <c r="X417" i="13"/>
  <c r="X418" i="13"/>
  <c r="X397" i="13"/>
  <c r="X398" i="13"/>
  <c r="X443" i="13"/>
  <c r="X442" i="13"/>
  <c r="X447" i="13"/>
  <c r="X446" i="13"/>
  <c r="X438" i="13"/>
  <c r="X439" i="13"/>
  <c r="X434" i="13"/>
  <c r="X435" i="13"/>
  <c r="X450" i="13"/>
  <c r="X451" i="13"/>
  <c r="X430" i="13"/>
  <c r="X431" i="13"/>
  <c r="X454" i="13"/>
  <c r="X455" i="13"/>
  <c r="X473" i="13"/>
  <c r="X472" i="13"/>
  <c r="X480" i="13"/>
  <c r="X481" i="13"/>
  <c r="X463" i="13"/>
  <c r="X462" i="13"/>
  <c r="X458" i="13"/>
  <c r="X459" i="13"/>
  <c r="X542" i="13"/>
  <c r="X541" i="13"/>
  <c r="X530" i="13"/>
  <c r="X529" i="13"/>
  <c r="X533" i="13"/>
  <c r="X534" i="13"/>
  <c r="X549" i="13"/>
  <c r="X550" i="13"/>
  <c r="X537" i="13"/>
  <c r="X538" i="13"/>
  <c r="X526" i="13"/>
  <c r="X525" i="13"/>
  <c r="X545" i="13"/>
  <c r="X546" i="13"/>
  <c r="X578" i="13"/>
  <c r="X579" i="13"/>
  <c r="X574" i="13"/>
  <c r="X575" i="13"/>
  <c r="AH244" i="13"/>
  <c r="AH243" i="13"/>
  <c r="AG240" i="13"/>
  <c r="AG239" i="13"/>
  <c r="M236" i="13"/>
  <c r="L268" i="13"/>
  <c r="L269" i="13"/>
  <c r="R227" i="13"/>
  <c r="R228" i="13"/>
  <c r="V243" i="13"/>
  <c r="V244" i="13"/>
  <c r="AM232" i="13"/>
  <c r="R240" i="13"/>
  <c r="R239" i="13"/>
  <c r="T227" i="13"/>
  <c r="T228" i="13"/>
  <c r="AL240" i="13"/>
  <c r="AL239" i="13"/>
  <c r="Q223" i="13"/>
  <c r="Q224" i="13"/>
  <c r="J224" i="13"/>
  <c r="J223" i="13"/>
  <c r="S224" i="13"/>
  <c r="S223" i="13"/>
  <c r="L228" i="13"/>
  <c r="L227" i="13"/>
  <c r="V228" i="13"/>
  <c r="V227" i="13"/>
  <c r="Q231" i="13"/>
  <c r="Q232" i="13"/>
  <c r="T240" i="13"/>
  <c r="T239" i="13"/>
  <c r="AJ228" i="13"/>
  <c r="AJ227" i="13"/>
  <c r="AN240" i="13"/>
  <c r="AN239" i="13"/>
  <c r="T224" i="13"/>
  <c r="W227" i="13"/>
  <c r="W228" i="13"/>
  <c r="U223" i="13"/>
  <c r="U224" i="13"/>
  <c r="AN244" i="13"/>
  <c r="AN243" i="13"/>
  <c r="R257" i="13"/>
  <c r="R256" i="13"/>
  <c r="AH567" i="13"/>
  <c r="AH518" i="13"/>
  <c r="AH469" i="13"/>
  <c r="AH423" i="13"/>
  <c r="AH386" i="13"/>
  <c r="AH336" i="13"/>
  <c r="AH361" i="13"/>
  <c r="AH307" i="13"/>
  <c r="AH278" i="13"/>
  <c r="AH249" i="13"/>
  <c r="AH220" i="13"/>
  <c r="AI6" i="13"/>
  <c r="AK228" i="13"/>
  <c r="AK227" i="13"/>
  <c r="P301" i="13"/>
  <c r="P302" i="13"/>
  <c r="J567" i="13"/>
  <c r="J518" i="13"/>
  <c r="J469" i="13"/>
  <c r="J423" i="13"/>
  <c r="J386" i="13"/>
  <c r="J336" i="13"/>
  <c r="J361" i="13"/>
  <c r="J307" i="13"/>
  <c r="J278" i="13"/>
  <c r="J249" i="13"/>
  <c r="J220" i="13"/>
  <c r="K6" i="13"/>
  <c r="AI228" i="13"/>
  <c r="AI227" i="13"/>
  <c r="CJ42" i="6"/>
  <c r="Q41" i="6"/>
  <c r="S41" i="6" s="1"/>
  <c r="S26" i="6"/>
  <c r="W32" i="6"/>
  <c r="V40" i="6"/>
  <c r="W40" i="6" s="1"/>
  <c r="CJ31" i="6"/>
  <c r="CI39" i="6"/>
  <c r="CJ39" i="6" s="1"/>
  <c r="V42" i="6"/>
  <c r="W42" i="6" s="1"/>
  <c r="W36" i="6"/>
  <c r="G2" i="4"/>
  <c r="Z279" i="1"/>
  <c r="Z308" i="1" s="1"/>
  <c r="Z277" i="1"/>
  <c r="AC277" i="1"/>
  <c r="AC279" i="1"/>
  <c r="AC308" i="1" s="1"/>
  <c r="W277" i="1"/>
  <c r="W279" i="1"/>
  <c r="W308" i="1" s="1"/>
  <c r="U279" i="1"/>
  <c r="U308" i="1" s="1"/>
  <c r="U277" i="1"/>
  <c r="T279" i="1"/>
  <c r="T308" i="1" s="1"/>
  <c r="T277" i="1"/>
  <c r="AG277" i="1"/>
  <c r="AG279" i="1"/>
  <c r="AG308" i="1" s="1"/>
  <c r="AF277" i="1"/>
  <c r="AF279" i="1"/>
  <c r="AF308" i="1" s="1"/>
  <c r="AB277" i="1"/>
  <c r="AB279" i="1"/>
  <c r="AB308" i="1" s="1"/>
  <c r="AA277" i="1"/>
  <c r="AA279" i="1"/>
  <c r="AA308" i="1" s="1"/>
  <c r="T378" i="1"/>
  <c r="T324" i="1"/>
  <c r="T329" i="1"/>
  <c r="T316" i="1"/>
  <c r="T162" i="1"/>
  <c r="AG232" i="1"/>
  <c r="AG320" i="1" s="1"/>
  <c r="AH237" i="1"/>
  <c r="AG230" i="1"/>
  <c r="Y324" i="1"/>
  <c r="Y329" i="1"/>
  <c r="Y316" i="1"/>
  <c r="Y378" i="1"/>
  <c r="Y162" i="1"/>
  <c r="AE316" i="1"/>
  <c r="AE162" i="1"/>
  <c r="AF329" i="1"/>
  <c r="AF378" i="1"/>
  <c r="AF316" i="1"/>
  <c r="AF324" i="1"/>
  <c r="AF162" i="1"/>
  <c r="Z324" i="1"/>
  <c r="Z329" i="1"/>
  <c r="Z316" i="1"/>
  <c r="Z378" i="1"/>
  <c r="Z162" i="1"/>
  <c r="AC324" i="1"/>
  <c r="V307" i="1"/>
  <c r="V165" i="1"/>
  <c r="V167" i="1" s="1"/>
  <c r="V169" i="1" s="1"/>
  <c r="Z617" i="3"/>
  <c r="O416" i="3"/>
  <c r="N419" i="3"/>
  <c r="N417" i="3"/>
  <c r="N565" i="3" s="1"/>
  <c r="S438" i="3"/>
  <c r="S529" i="3" s="1"/>
  <c r="X502" i="3"/>
  <c r="Y408" i="3"/>
  <c r="X602" i="3"/>
  <c r="X413" i="3"/>
  <c r="X418" i="3" s="1"/>
  <c r="Q402" i="3"/>
  <c r="Q379" i="3"/>
  <c r="Q400" i="3"/>
  <c r="Q403" i="3"/>
  <c r="Q525" i="3"/>
  <c r="Q438" i="3"/>
  <c r="W316" i="1"/>
  <c r="K528" i="3"/>
  <c r="K560" i="3" s="1"/>
  <c r="K439" i="3"/>
  <c r="K530" i="3" s="1"/>
  <c r="K559" i="3" s="1"/>
  <c r="AB329" i="1"/>
  <c r="AB316" i="1"/>
  <c r="AB324" i="1"/>
  <c r="AB378" i="1"/>
  <c r="AB162" i="1"/>
  <c r="H548" i="3"/>
  <c r="G570" i="3"/>
  <c r="G575" i="3" s="1"/>
  <c r="G566" i="3"/>
  <c r="G648" i="3" s="1"/>
  <c r="H567" i="3"/>
  <c r="O439" i="3"/>
  <c r="O530" i="3" s="1"/>
  <c r="O559" i="3" s="1"/>
  <c r="O528" i="3"/>
  <c r="O560" i="3" s="1"/>
  <c r="P401" i="3"/>
  <c r="P355" i="3"/>
  <c r="R83" i="13"/>
  <c r="R487" i="13" s="1" a="1"/>
  <c r="R487" i="13" s="1"/>
  <c r="R489" i="13" s="1"/>
  <c r="V283" i="11"/>
  <c r="V284" i="11" s="1"/>
  <c r="M8" i="6"/>
  <c r="BP8" i="6" s="1"/>
  <c r="V362" i="3"/>
  <c r="V363" i="3" s="1"/>
  <c r="V343" i="3"/>
  <c r="K332" i="3"/>
  <c r="K324" i="3"/>
  <c r="Q39" i="6"/>
  <c r="S39" i="6" s="1"/>
  <c r="S31" i="6"/>
  <c r="R80" i="13"/>
  <c r="R475" i="13" s="1" a="1"/>
  <c r="R475" i="13" s="1"/>
  <c r="V271" i="11"/>
  <c r="V272" i="11" s="1"/>
  <c r="V521" i="3"/>
  <c r="V523" i="3" s="1"/>
  <c r="V648" i="3"/>
  <c r="G371" i="3"/>
  <c r="G350" i="3"/>
  <c r="P80" i="13"/>
  <c r="P475" i="13" s="1" a="1"/>
  <c r="P475" i="13" s="1"/>
  <c r="T271" i="11"/>
  <c r="T272" i="11" s="1"/>
  <c r="T521" i="3"/>
  <c r="T523" i="3" s="1"/>
  <c r="W394" i="3"/>
  <c r="X400" i="3"/>
  <c r="Y400" i="3" s="1"/>
  <c r="Z400" i="3" s="1"/>
  <c r="AA400" i="3" s="1"/>
  <c r="AB400" i="3" s="1"/>
  <c r="AC400" i="3" s="1"/>
  <c r="AD400" i="3" s="1"/>
  <c r="AE400" i="3" s="1"/>
  <c r="AF400" i="3" s="1"/>
  <c r="AG400" i="3" s="1"/>
  <c r="AH400" i="3" s="1"/>
  <c r="AI400" i="3" s="1"/>
  <c r="AJ400" i="3" s="1"/>
  <c r="AK400" i="3" s="1"/>
  <c r="AL400" i="3" s="1"/>
  <c r="AM400" i="3" s="1"/>
  <c r="AN400" i="3" s="1"/>
  <c r="V458" i="3"/>
  <c r="M42" i="6"/>
  <c r="BP42" i="6" s="1"/>
  <c r="BP36" i="6"/>
  <c r="T40" i="6"/>
  <c r="U40" i="6" s="1"/>
  <c r="U32" i="6"/>
  <c r="AA315" i="3"/>
  <c r="Y323" i="3"/>
  <c r="X501" i="3"/>
  <c r="Y411" i="3"/>
  <c r="X610" i="3"/>
  <c r="X613" i="3" s="1"/>
  <c r="T458" i="3"/>
  <c r="K42" i="6"/>
  <c r="BN42" i="6" s="1"/>
  <c r="BN36" i="6"/>
  <c r="N80" i="13"/>
  <c r="N475" i="13" s="1" a="1"/>
  <c r="N475" i="13" s="1"/>
  <c r="N477" i="13" s="1"/>
  <c r="R271" i="11"/>
  <c r="R272" i="11" s="1"/>
  <c r="R521" i="3"/>
  <c r="R523" i="3" s="1"/>
  <c r="H54" i="13"/>
  <c r="L322" i="3"/>
  <c r="Y52" i="13"/>
  <c r="AC293" i="3"/>
  <c r="AH329" i="1"/>
  <c r="AH324" i="1"/>
  <c r="AH378" i="1"/>
  <c r="AH316" i="1"/>
  <c r="AH162" i="1"/>
  <c r="K570" i="3"/>
  <c r="K575" i="3" s="1"/>
  <c r="K566" i="3"/>
  <c r="L567" i="3"/>
  <c r="L548" i="3"/>
  <c r="Y609" i="3"/>
  <c r="Z409" i="3"/>
  <c r="I42" i="6"/>
  <c r="BL42" i="6" s="1"/>
  <c r="BL36" i="6"/>
  <c r="S32" i="6"/>
  <c r="Q40" i="6"/>
  <c r="S40" i="6" s="1"/>
  <c r="J548" i="3"/>
  <c r="I648" i="3"/>
  <c r="G42" i="6"/>
  <c r="BJ42" i="6" s="1"/>
  <c r="BJ36" i="6"/>
  <c r="L80" i="13"/>
  <c r="L475" i="13" s="1" a="1"/>
  <c r="L475" i="13" s="1"/>
  <c r="L477" i="13" s="1"/>
  <c r="P271" i="11"/>
  <c r="P272" i="11" s="1"/>
  <c r="P521" i="3"/>
  <c r="P523" i="3" s="1"/>
  <c r="S541" i="3"/>
  <c r="J83" i="13"/>
  <c r="J487" i="13" s="1" a="1"/>
  <c r="J487" i="13" s="1"/>
  <c r="J488" i="13" s="1"/>
  <c r="N283" i="11"/>
  <c r="N284" i="11" s="1"/>
  <c r="N362" i="3"/>
  <c r="N363" i="3" s="1"/>
  <c r="N343" i="3"/>
  <c r="AA608" i="3"/>
  <c r="O403" i="3"/>
  <c r="O525" i="3"/>
  <c r="O400" i="3"/>
  <c r="O395" i="3"/>
  <c r="O379" i="3"/>
  <c r="O380" i="3" s="1"/>
  <c r="O402" i="3"/>
  <c r="M33" i="6"/>
  <c r="V331" i="3"/>
  <c r="U527" i="3"/>
  <c r="U541" i="3"/>
  <c r="W417" i="3"/>
  <c r="W565" i="3" s="1"/>
  <c r="X416" i="3"/>
  <c r="W419" i="3"/>
  <c r="Z603" i="3"/>
  <c r="AA410" i="3"/>
  <c r="H550" i="3"/>
  <c r="H556" i="3" s="1"/>
  <c r="H388" i="3"/>
  <c r="Z51" i="13"/>
  <c r="AD290" i="3"/>
  <c r="Z52" i="13" s="1"/>
  <c r="Z371" i="13" s="1" a="1"/>
  <c r="Z371" i="13" s="1"/>
  <c r="Z373" i="13" s="1"/>
  <c r="AD309" i="3"/>
  <c r="AF287" i="3"/>
  <c r="AA378" i="1"/>
  <c r="AA329" i="1"/>
  <c r="AA316" i="1"/>
  <c r="AA324" i="1"/>
  <c r="AA162" i="1"/>
  <c r="M350" i="3"/>
  <c r="M371" i="3"/>
  <c r="O567" i="3"/>
  <c r="O548" i="3"/>
  <c r="S528" i="3"/>
  <c r="Q541" i="3"/>
  <c r="O82" i="13"/>
  <c r="S524" i="3"/>
  <c r="S527" i="3" s="1"/>
  <c r="S336" i="3"/>
  <c r="S338" i="3" s="1"/>
  <c r="S387" i="3"/>
  <c r="S388" i="3"/>
  <c r="S385" i="3"/>
  <c r="S380" i="3"/>
  <c r="T379" i="3"/>
  <c r="W563" i="3"/>
  <c r="U31" i="6"/>
  <c r="Q103" i="13"/>
  <c r="Q89" i="13"/>
  <c r="U303" i="11"/>
  <c r="U304" i="11" s="1"/>
  <c r="L11" i="6"/>
  <c r="M40" i="6"/>
  <c r="BP40" i="6" s="1"/>
  <c r="BP32" i="6"/>
  <c r="AA217" i="3"/>
  <c r="AA86" i="3"/>
  <c r="R78" i="11"/>
  <c r="R79" i="11" s="1"/>
  <c r="R129" i="3"/>
  <c r="S38" i="13"/>
  <c r="N26" i="6"/>
  <c r="BQ26" i="6" s="1"/>
  <c r="W308" i="3"/>
  <c r="W226" i="3"/>
  <c r="W257" i="3" s="1"/>
  <c r="G452" i="3"/>
  <c r="G516" i="3"/>
  <c r="G520" i="3" s="1"/>
  <c r="G447" i="3"/>
  <c r="G313" i="3"/>
  <c r="G333" i="3"/>
  <c r="G354" i="3"/>
  <c r="G386" i="3" s="1"/>
  <c r="K350" i="3"/>
  <c r="K371" i="3"/>
  <c r="K32" i="6"/>
  <c r="T330" i="3"/>
  <c r="AA93" i="3"/>
  <c r="AA218" i="3"/>
  <c r="AC218" i="3"/>
  <c r="AC93" i="3"/>
  <c r="P124" i="11"/>
  <c r="P125" i="11" s="1"/>
  <c r="P130" i="3"/>
  <c r="V11" i="13"/>
  <c r="V222" i="13" s="1" a="1"/>
  <c r="V222" i="13" s="1"/>
  <c r="V224" i="13" s="1"/>
  <c r="Z87" i="3"/>
  <c r="Z235" i="3"/>
  <c r="Z250" i="3" s="1"/>
  <c r="I32" i="6"/>
  <c r="P78" i="11"/>
  <c r="P79" i="11" s="1"/>
  <c r="P129" i="3"/>
  <c r="Y35" i="13"/>
  <c r="AC237" i="3"/>
  <c r="AC252" i="3" s="1"/>
  <c r="E313" i="3"/>
  <c r="E271" i="11" s="1"/>
  <c r="E272" i="11" s="1"/>
  <c r="E333" i="3"/>
  <c r="G291" i="11"/>
  <c r="G292" i="11" s="1"/>
  <c r="G534" i="3"/>
  <c r="G345" i="3"/>
  <c r="W239" i="11"/>
  <c r="W240" i="11" s="1"/>
  <c r="Y138" i="3"/>
  <c r="N38" i="13"/>
  <c r="N321" i="13" s="1" a="1"/>
  <c r="N321" i="13" s="1"/>
  <c r="N323" i="13" s="1"/>
  <c r="I26" i="6"/>
  <c r="BL26" i="6" s="1"/>
  <c r="R226" i="3"/>
  <c r="R308" i="3"/>
  <c r="R331" i="3" s="1"/>
  <c r="V249" i="11"/>
  <c r="V250" i="11" s="1"/>
  <c r="X219" i="3"/>
  <c r="V219" i="3"/>
  <c r="U528" i="3"/>
  <c r="U439" i="3"/>
  <c r="U530" i="3" s="1"/>
  <c r="Q260" i="3"/>
  <c r="Q240" i="3"/>
  <c r="L249" i="11"/>
  <c r="L250" i="11" s="1"/>
  <c r="L219" i="3"/>
  <c r="AC219" i="3"/>
  <c r="AC100" i="3"/>
  <c r="Y37" i="13" s="1"/>
  <c r="AD155" i="3"/>
  <c r="AB91" i="3"/>
  <c r="V239" i="11"/>
  <c r="V240" i="11" s="1"/>
  <c r="X138" i="3"/>
  <c r="AI127" i="3"/>
  <c r="AG97" i="3"/>
  <c r="Q262" i="3"/>
  <c r="Q242" i="3"/>
  <c r="T249" i="11"/>
  <c r="T250" i="11" s="1"/>
  <c r="T219" i="3"/>
  <c r="P138" i="11"/>
  <c r="P139" i="11" s="1"/>
  <c r="P159" i="3"/>
  <c r="T14" i="13"/>
  <c r="X224" i="3"/>
  <c r="X255" i="3" s="1"/>
  <c r="X306" i="3"/>
  <c r="F40" i="6"/>
  <c r="BI40" i="6" s="1"/>
  <c r="BI32" i="6"/>
  <c r="Y96" i="11"/>
  <c r="Y97" i="11" s="1"/>
  <c r="AA136" i="3"/>
  <c r="AC136" i="3" s="1"/>
  <c r="AE136" i="3" s="1"/>
  <c r="AG136" i="3" s="1"/>
  <c r="AI136" i="3" s="1"/>
  <c r="AK136" i="3" s="1"/>
  <c r="AM136" i="3" s="1"/>
  <c r="AF127" i="3"/>
  <c r="AD97" i="3"/>
  <c r="L124" i="11"/>
  <c r="L125" i="11" s="1"/>
  <c r="N130" i="3"/>
  <c r="L130" i="3"/>
  <c r="L38" i="13"/>
  <c r="L321" i="13" s="1" a="1"/>
  <c r="L321" i="13" s="1"/>
  <c r="L323" i="13" s="1"/>
  <c r="G26" i="6"/>
  <c r="BJ26" i="6" s="1"/>
  <c r="P226" i="3"/>
  <c r="P262" i="3" s="1"/>
  <c r="P308" i="3"/>
  <c r="P331" i="3" s="1"/>
  <c r="R249" i="11"/>
  <c r="R250" i="11" s="1"/>
  <c r="R219" i="3"/>
  <c r="R307" i="3"/>
  <c r="I25" i="6" s="1"/>
  <c r="BL25" i="6" s="1"/>
  <c r="R225" i="3"/>
  <c r="V152" i="11"/>
  <c r="V153" i="11" s="1"/>
  <c r="X218" i="3"/>
  <c r="V218" i="3"/>
  <c r="O541" i="3"/>
  <c r="S371" i="3"/>
  <c r="S350" i="3"/>
  <c r="J551" i="3"/>
  <c r="J403" i="3"/>
  <c r="J395" i="3"/>
  <c r="AE219" i="3"/>
  <c r="AE100" i="3"/>
  <c r="T106" i="11"/>
  <c r="T107" i="11" s="1"/>
  <c r="T217" i="3"/>
  <c r="L78" i="11"/>
  <c r="L79" i="11" s="1"/>
  <c r="L129" i="3"/>
  <c r="P249" i="11"/>
  <c r="P250" i="11" s="1"/>
  <c r="P219" i="3"/>
  <c r="J550" i="3"/>
  <c r="J388" i="3"/>
  <c r="J380" i="3"/>
  <c r="BO24" i="6"/>
  <c r="T24" i="6"/>
  <c r="BL33" i="6"/>
  <c r="T152" i="11"/>
  <c r="T153" i="11" s="1"/>
  <c r="T218" i="3"/>
  <c r="AD178" i="3"/>
  <c r="AB212" i="3"/>
  <c r="AH176" i="3"/>
  <c r="T92" i="11"/>
  <c r="T93" i="11" s="1"/>
  <c r="T158" i="3"/>
  <c r="P307" i="3"/>
  <c r="P225" i="3"/>
  <c r="P261" i="3" s="1"/>
  <c r="I85" i="13"/>
  <c r="M344" i="3"/>
  <c r="L41" i="6"/>
  <c r="BO41" i="6" s="1"/>
  <c r="BO33" i="6"/>
  <c r="T33" i="6"/>
  <c r="R106" i="11"/>
  <c r="R107" i="11" s="1"/>
  <c r="R217" i="3"/>
  <c r="V96" i="11"/>
  <c r="V97" i="11" s="1"/>
  <c r="X136" i="3"/>
  <c r="AE125" i="3"/>
  <c r="AC83" i="3"/>
  <c r="J78" i="11"/>
  <c r="J79" i="11" s="1"/>
  <c r="J129" i="3"/>
  <c r="K41" i="6"/>
  <c r="BN41" i="6" s="1"/>
  <c r="BN33" i="6"/>
  <c r="R152" i="11"/>
  <c r="R153" i="11" s="1"/>
  <c r="R218" i="3"/>
  <c r="AE99" i="3"/>
  <c r="AG167" i="3"/>
  <c r="T138" i="11"/>
  <c r="T139" i="11" s="1"/>
  <c r="T159" i="3"/>
  <c r="R92" i="11"/>
  <c r="R93" i="11" s="1"/>
  <c r="R158" i="3"/>
  <c r="X131" i="3"/>
  <c r="V131" i="3"/>
  <c r="AD125" i="3"/>
  <c r="AB83" i="3"/>
  <c r="U225" i="11"/>
  <c r="U226" i="11" s="1"/>
  <c r="V109" i="3"/>
  <c r="U82" i="11"/>
  <c r="U83" i="11" s="1"/>
  <c r="V107" i="3"/>
  <c r="N447" i="3"/>
  <c r="X245" i="3"/>
  <c r="H78" i="11"/>
  <c r="H79" i="11" s="1"/>
  <c r="H129" i="3"/>
  <c r="M567" i="3"/>
  <c r="M548" i="3"/>
  <c r="I291" i="11"/>
  <c r="I292" i="11" s="1"/>
  <c r="I534" i="3"/>
  <c r="I345" i="3"/>
  <c r="K39" i="6"/>
  <c r="BN39" i="6" s="1"/>
  <c r="BN31" i="6"/>
  <c r="H516" i="3"/>
  <c r="H520" i="3" s="1"/>
  <c r="H354" i="3"/>
  <c r="H386" i="3" s="1"/>
  <c r="H447" i="3"/>
  <c r="AE294" i="3"/>
  <c r="AE322" i="3"/>
  <c r="AE332" i="3" s="1"/>
  <c r="BL31" i="6"/>
  <c r="F78" i="11"/>
  <c r="F79" i="11" s="1"/>
  <c r="F116" i="3"/>
  <c r="F86" i="11" s="1"/>
  <c r="F87" i="11" s="1"/>
  <c r="H24" i="6"/>
  <c r="Q329" i="3"/>
  <c r="Q310" i="3"/>
  <c r="F24" i="6"/>
  <c r="O329" i="3"/>
  <c r="O310" i="3"/>
  <c r="P106" i="11"/>
  <c r="P107" i="11" s="1"/>
  <c r="P217" i="3"/>
  <c r="M27" i="6"/>
  <c r="BP27" i="6" s="1"/>
  <c r="V332" i="3"/>
  <c r="J283" i="11"/>
  <c r="J284" i="11" s="1"/>
  <c r="J343" i="3"/>
  <c r="J344" i="3" s="1"/>
  <c r="J362" i="3"/>
  <c r="J363" i="3" s="1"/>
  <c r="G31" i="6"/>
  <c r="L106" i="11"/>
  <c r="L107" i="11" s="1"/>
  <c r="N217" i="3"/>
  <c r="L217" i="3"/>
  <c r="R131" i="3"/>
  <c r="T131" i="3"/>
  <c r="V38" i="13"/>
  <c r="V321" i="13" s="1" a="1"/>
  <c r="V321" i="13" s="1"/>
  <c r="V323" i="13" s="1"/>
  <c r="Z308" i="3"/>
  <c r="Z226" i="3"/>
  <c r="L14" i="13"/>
  <c r="L234" i="13" s="1" a="1"/>
  <c r="L234" i="13" s="1"/>
  <c r="N235" i="13" s="1"/>
  <c r="P224" i="3"/>
  <c r="P306" i="3"/>
  <c r="P329" i="3" s="1"/>
  <c r="G647" i="3"/>
  <c r="G7" i="3"/>
  <c r="G9" i="3" a="1"/>
  <c r="G9" i="3" s="1"/>
  <c r="G6" i="3" a="1"/>
  <c r="G6" i="3" s="1"/>
  <c r="H4" i="3"/>
  <c r="D129" i="4" s="1"/>
  <c r="G13" i="3"/>
  <c r="I516" i="3"/>
  <c r="I520" i="3" s="1"/>
  <c r="I447" i="3"/>
  <c r="I333" i="3"/>
  <c r="I354" i="3"/>
  <c r="I452" i="3"/>
  <c r="I313" i="3"/>
  <c r="P92" i="11"/>
  <c r="P93" i="11" s="1"/>
  <c r="P158" i="3"/>
  <c r="H283" i="11"/>
  <c r="H284" i="11" s="1"/>
  <c r="H362" i="3"/>
  <c r="H363" i="3" s="1"/>
  <c r="H343" i="3"/>
  <c r="H344" i="3" s="1"/>
  <c r="H534" i="3" s="1"/>
  <c r="H458" i="3"/>
  <c r="AC86" i="3"/>
  <c r="Y13" i="13" s="1"/>
  <c r="AC217" i="3"/>
  <c r="L92" i="11"/>
  <c r="L93" i="11" s="1"/>
  <c r="L158" i="3"/>
  <c r="AG165" i="3"/>
  <c r="AE85" i="3"/>
  <c r="AF165" i="3"/>
  <c r="AD85" i="3"/>
  <c r="AD99" i="3"/>
  <c r="AF167" i="3"/>
  <c r="AH156" i="3"/>
  <c r="AF98" i="3"/>
  <c r="AE86" i="3"/>
  <c r="AE217" i="3"/>
  <c r="AG212" i="3"/>
  <c r="AI176" i="3"/>
  <c r="AI214" i="3"/>
  <c r="AK202" i="3"/>
  <c r="AG219" i="3"/>
  <c r="AG100" i="3"/>
  <c r="AG156" i="3"/>
  <c r="AE98" i="3"/>
  <c r="AF219" i="3"/>
  <c r="AF100" i="3"/>
  <c r="AE218" i="3"/>
  <c r="AE93" i="3"/>
  <c r="AE84" i="3"/>
  <c r="AG154" i="3"/>
  <c r="AG155" i="3"/>
  <c r="AE91" i="3"/>
  <c r="AJ213" i="3"/>
  <c r="AL192" i="3"/>
  <c r="AF92" i="3"/>
  <c r="AH166" i="3"/>
  <c r="G86" i="13"/>
  <c r="K291" i="11"/>
  <c r="K292" i="11" s="1"/>
  <c r="K534" i="3"/>
  <c r="K345" i="3"/>
  <c r="BJ33" i="6"/>
  <c r="AK192" i="3"/>
  <c r="AI213" i="3"/>
  <c r="AJ28" i="1"/>
  <c r="D132" i="4" l="1"/>
  <c r="H313" i="3"/>
  <c r="D144" i="4"/>
  <c r="H333" i="3"/>
  <c r="D117" i="4"/>
  <c r="D109" i="4"/>
  <c r="Z257" i="3"/>
  <c r="AL13" i="13"/>
  <c r="AL230" i="13" s="1" a="1"/>
  <c r="AL230" i="13" s="1"/>
  <c r="AL231" i="13" s="1"/>
  <c r="D131" i="4"/>
  <c r="D108" i="4"/>
  <c r="AK553" i="13"/>
  <c r="G3" i="4"/>
  <c r="J582" i="13"/>
  <c r="D130" i="4"/>
  <c r="AI553" i="13"/>
  <c r="AJ553" i="13"/>
  <c r="D107" i="4"/>
  <c r="D139" i="4"/>
  <c r="D160" i="4"/>
  <c r="D116" i="4"/>
  <c r="D146" i="4"/>
  <c r="D119" i="4"/>
  <c r="D121" i="4"/>
  <c r="D153" i="4"/>
  <c r="V527" i="3"/>
  <c r="V533" i="3" s="1"/>
  <c r="D138" i="4"/>
  <c r="D102" i="4"/>
  <c r="H236" i="13"/>
  <c r="AJ570" i="13"/>
  <c r="D122" i="4"/>
  <c r="D112" i="4"/>
  <c r="D159" i="4"/>
  <c r="D147" i="4"/>
  <c r="D137" i="4"/>
  <c r="D128" i="4"/>
  <c r="D120" i="4"/>
  <c r="D111" i="4"/>
  <c r="D158" i="4"/>
  <c r="T231" i="13"/>
  <c r="D145" i="4"/>
  <c r="D136" i="4"/>
  <c r="D127" i="4"/>
  <c r="D118" i="4"/>
  <c r="D110" i="4"/>
  <c r="D154" i="4"/>
  <c r="D202" i="4" s="1"/>
  <c r="N318" i="13"/>
  <c r="AJ571" i="13"/>
  <c r="J561" i="13"/>
  <c r="L319" i="13"/>
  <c r="R231" i="13"/>
  <c r="N554" i="13"/>
  <c r="AJ558" i="13"/>
  <c r="N553" i="13"/>
  <c r="AJ557" i="13"/>
  <c r="M516" i="3"/>
  <c r="M520" i="3" s="1"/>
  <c r="P232" i="13"/>
  <c r="L231" i="13"/>
  <c r="N231" i="13"/>
  <c r="M354" i="3"/>
  <c r="M401" i="3" s="1"/>
  <c r="W485" i="3"/>
  <c r="W487" i="3" s="1"/>
  <c r="R504" i="13"/>
  <c r="AL37" i="13"/>
  <c r="AL317" i="13" s="1" a="1"/>
  <c r="AL317" i="13" s="1"/>
  <c r="AM318" i="13" s="1"/>
  <c r="J557" i="13"/>
  <c r="AG381" i="13"/>
  <c r="AH493" i="13"/>
  <c r="AE324" i="1"/>
  <c r="X228" i="13"/>
  <c r="AE378" i="1"/>
  <c r="T321" i="1"/>
  <c r="AH509" i="13"/>
  <c r="L623" i="3"/>
  <c r="L2" i="3" s="1"/>
  <c r="P623" i="3"/>
  <c r="P2" i="3" s="1"/>
  <c r="L521" i="13"/>
  <c r="T648" i="3"/>
  <c r="K623" i="3"/>
  <c r="K2" i="3" s="1"/>
  <c r="V231" i="13"/>
  <c r="U482" i="3"/>
  <c r="U487" i="3" s="1"/>
  <c r="U371" i="3" s="1"/>
  <c r="X329" i="1"/>
  <c r="X316" i="1"/>
  <c r="T487" i="3"/>
  <c r="T371" i="3" s="1"/>
  <c r="X324" i="1"/>
  <c r="AG504" i="13"/>
  <c r="X162" i="1"/>
  <c r="T494" i="3"/>
  <c r="T495" i="3" s="1"/>
  <c r="J452" i="3"/>
  <c r="J458" i="3" s="1"/>
  <c r="I24" i="6"/>
  <c r="AD322" i="1"/>
  <c r="L557" i="13"/>
  <c r="AK582" i="13"/>
  <c r="S575" i="3"/>
  <c r="S599" i="3"/>
  <c r="S606" i="3" s="1"/>
  <c r="S615" i="3" s="1"/>
  <c r="P570" i="13"/>
  <c r="V318" i="13"/>
  <c r="U344" i="3"/>
  <c r="U291" i="11" s="1"/>
  <c r="U292" i="11" s="1"/>
  <c r="S578" i="3"/>
  <c r="S585" i="3" s="1"/>
  <c r="S597" i="3" s="1"/>
  <c r="J558" i="13"/>
  <c r="U378" i="1"/>
  <c r="AD162" i="1"/>
  <c r="U324" i="1"/>
  <c r="AD324" i="1"/>
  <c r="T319" i="13"/>
  <c r="AC321" i="1"/>
  <c r="AD316" i="1"/>
  <c r="P314" i="13"/>
  <c r="AD329" i="1"/>
  <c r="M235" i="13"/>
  <c r="R557" i="13"/>
  <c r="V245" i="3"/>
  <c r="AE322" i="1"/>
  <c r="Q307" i="11"/>
  <c r="Q308" i="11" s="1"/>
  <c r="Q487" i="3"/>
  <c r="Q350" i="3" s="1"/>
  <c r="Q494" i="3"/>
  <c r="Q495" i="3" s="1"/>
  <c r="N623" i="3"/>
  <c r="N2" i="3" s="1"/>
  <c r="Q623" i="3"/>
  <c r="Q2" i="3" s="1"/>
  <c r="AF323" i="3"/>
  <c r="N493" i="13"/>
  <c r="AH154" i="3"/>
  <c r="J354" i="3"/>
  <c r="J355" i="3" s="1"/>
  <c r="J447" i="3"/>
  <c r="J271" i="11"/>
  <c r="J272" i="11" s="1"/>
  <c r="T8" i="6"/>
  <c r="U8" i="6" s="1"/>
  <c r="Z321" i="1"/>
  <c r="J512" i="13"/>
  <c r="AJ377" i="13"/>
  <c r="R318" i="13"/>
  <c r="R314" i="13"/>
  <c r="J516" i="3"/>
  <c r="J520" i="3" s="1"/>
  <c r="J523" i="3" s="1"/>
  <c r="J527" i="3" s="1"/>
  <c r="J533" i="3" s="1"/>
  <c r="J492" i="13"/>
  <c r="AJ376" i="13"/>
  <c r="U38" i="13"/>
  <c r="U321" i="13" s="1" a="1"/>
  <c r="U321" i="13" s="1"/>
  <c r="U323" i="13" s="1"/>
  <c r="Y321" i="1"/>
  <c r="AF93" i="3"/>
  <c r="AK583" i="13"/>
  <c r="U162" i="1"/>
  <c r="S500" i="3"/>
  <c r="S503" i="3" s="1"/>
  <c r="S507" i="3" s="1"/>
  <c r="J493" i="13"/>
  <c r="AI508" i="13"/>
  <c r="AJ522" i="13"/>
  <c r="AI287" i="3"/>
  <c r="AI309" i="3" s="1"/>
  <c r="U316" i="1"/>
  <c r="T569" i="3"/>
  <c r="T428" i="3" s="1"/>
  <c r="T430" i="3" s="1"/>
  <c r="Z314" i="13"/>
  <c r="L570" i="13"/>
  <c r="AJ521" i="13"/>
  <c r="R369" i="13"/>
  <c r="J333" i="3"/>
  <c r="AG309" i="3"/>
  <c r="AH218" i="3"/>
  <c r="AE321" i="1"/>
  <c r="Y322" i="1"/>
  <c r="X315" i="13"/>
  <c r="AO314" i="13"/>
  <c r="V246" i="3"/>
  <c r="AG582" i="13"/>
  <c r="R508" i="13"/>
  <c r="V232" i="13"/>
  <c r="Y226" i="3"/>
  <c r="Y257" i="3" s="1"/>
  <c r="Y321" i="3" s="1"/>
  <c r="Y331" i="3" s="1"/>
  <c r="V247" i="3"/>
  <c r="M623" i="3"/>
  <c r="M2" i="3" s="1"/>
  <c r="AB308" i="3"/>
  <c r="N314" i="13"/>
  <c r="AD321" i="1"/>
  <c r="AG521" i="13"/>
  <c r="N583" i="13"/>
  <c r="P509" i="13"/>
  <c r="AB226" i="3"/>
  <c r="AB257" i="3" s="1"/>
  <c r="N582" i="13"/>
  <c r="P492" i="13"/>
  <c r="AG162" i="1"/>
  <c r="AG307" i="1" s="1"/>
  <c r="P493" i="13"/>
  <c r="AG324" i="1"/>
  <c r="AG316" i="1"/>
  <c r="AL310" i="13"/>
  <c r="AG378" i="1"/>
  <c r="AL311" i="13"/>
  <c r="V311" i="13"/>
  <c r="AC322" i="1"/>
  <c r="AA478" i="3"/>
  <c r="AA479" i="3" s="1"/>
  <c r="AA484" i="3" s="1"/>
  <c r="AJ202" i="3"/>
  <c r="AJ214" i="3" s="1"/>
  <c r="AA474" i="3"/>
  <c r="AA483" i="3" s="1"/>
  <c r="L504" i="13"/>
  <c r="N224" i="13"/>
  <c r="K236" i="13"/>
  <c r="P318" i="13"/>
  <c r="Y224" i="3"/>
  <c r="Y255" i="3" s="1"/>
  <c r="Y319" i="3" s="1"/>
  <c r="U14" i="13"/>
  <c r="U234" i="13" s="1" a="1"/>
  <c r="U234" i="13" s="1"/>
  <c r="N319" i="13"/>
  <c r="AF322" i="1"/>
  <c r="W324" i="1"/>
  <c r="AF321" i="1"/>
  <c r="V321" i="1"/>
  <c r="G54" i="14"/>
  <c r="W378" i="1"/>
  <c r="AL223" i="13"/>
  <c r="N504" i="13"/>
  <c r="X382" i="3"/>
  <c r="X587" i="3" s="1"/>
  <c r="X524" i="3"/>
  <c r="N505" i="13"/>
  <c r="AJ582" i="13"/>
  <c r="AI582" i="13"/>
  <c r="U322" i="1"/>
  <c r="L345" i="3"/>
  <c r="U321" i="1"/>
  <c r="AL377" i="13"/>
  <c r="W329" i="1"/>
  <c r="M452" i="3"/>
  <c r="P223" i="13"/>
  <c r="R240" i="3"/>
  <c r="T245" i="3" s="1"/>
  <c r="M447" i="3"/>
  <c r="W260" i="3"/>
  <c r="K313" i="3"/>
  <c r="AL314" i="13"/>
  <c r="AK570" i="13"/>
  <c r="AL315" i="13"/>
  <c r="AG93" i="3"/>
  <c r="L512" i="13"/>
  <c r="N570" i="13"/>
  <c r="N512" i="13"/>
  <c r="X322" i="1"/>
  <c r="J322" i="13"/>
  <c r="R223" i="13"/>
  <c r="T322" i="1"/>
  <c r="AJ235" i="13"/>
  <c r="M313" i="3"/>
  <c r="I80" i="13" s="1"/>
  <c r="AJ236" i="13"/>
  <c r="S439" i="3"/>
  <c r="S530" i="3" s="1"/>
  <c r="I54" i="14"/>
  <c r="R476" i="13"/>
  <c r="W321" i="1"/>
  <c r="L311" i="3"/>
  <c r="L333" i="3" s="1"/>
  <c r="AD293" i="3"/>
  <c r="Z53" i="13" s="1"/>
  <c r="Z375" i="13" s="1" a="1"/>
  <c r="Z375" i="13" s="1"/>
  <c r="W322" i="1"/>
  <c r="X321" i="1"/>
  <c r="N557" i="13"/>
  <c r="U623" i="3"/>
  <c r="U2" i="3" s="1"/>
  <c r="AC316" i="1"/>
  <c r="AH520" i="13" a="1"/>
  <c r="AH520" i="13" s="1"/>
  <c r="AH569" i="13" a="1"/>
  <c r="AH569" i="13" s="1"/>
  <c r="AC329" i="1"/>
  <c r="N516" i="3"/>
  <c r="N520" i="3" s="1"/>
  <c r="N313" i="3"/>
  <c r="N271" i="11" s="1"/>
  <c r="N272" i="11" s="1"/>
  <c r="AC378" i="1"/>
  <c r="X321" i="3"/>
  <c r="O33" i="6" s="1"/>
  <c r="S236" i="13"/>
  <c r="AL232" i="13"/>
  <c r="J508" i="13"/>
  <c r="N558" i="13"/>
  <c r="P557" i="13"/>
  <c r="G41" i="6"/>
  <c r="BJ41" i="6" s="1"/>
  <c r="AG166" i="3"/>
  <c r="AC101" i="3"/>
  <c r="Y38" i="13" s="1"/>
  <c r="L534" i="3"/>
  <c r="L291" i="11"/>
  <c r="L292" i="11" s="1"/>
  <c r="P508" i="13"/>
  <c r="N522" i="13"/>
  <c r="N521" i="13"/>
  <c r="AN12" i="13"/>
  <c r="AN226" i="13" s="1" a="1"/>
  <c r="AN226" i="13" s="1"/>
  <c r="AO227" i="13" s="1"/>
  <c r="V541" i="3"/>
  <c r="V543" i="3" s="1"/>
  <c r="N508" i="13"/>
  <c r="AN310" i="13"/>
  <c r="F383" i="1"/>
  <c r="H345" i="3"/>
  <c r="R477" i="13"/>
  <c r="U533" i="3"/>
  <c r="P476" i="13"/>
  <c r="S533" i="3"/>
  <c r="K648" i="3"/>
  <c r="N322" i="13"/>
  <c r="V322" i="13"/>
  <c r="X322" i="13"/>
  <c r="Z372" i="13"/>
  <c r="AH322" i="1"/>
  <c r="AH321" i="1"/>
  <c r="AG322" i="1"/>
  <c r="AG321" i="1"/>
  <c r="I495" i="13" a="1"/>
  <c r="I495" i="13" s="1"/>
  <c r="T234" i="13" a="1"/>
  <c r="T234" i="13" s="1"/>
  <c r="AL14" i="13"/>
  <c r="AL234" i="13" s="1" a="1"/>
  <c r="AL234" i="13" s="1"/>
  <c r="U24" i="6"/>
  <c r="T39" i="6"/>
  <c r="U39" i="6" s="1"/>
  <c r="BK24" i="6"/>
  <c r="H39" i="6"/>
  <c r="BK39" i="6" s="1"/>
  <c r="K333" i="3"/>
  <c r="H291" i="11"/>
  <c r="H292" i="11" s="1"/>
  <c r="R330" i="3"/>
  <c r="AH492" i="13"/>
  <c r="AL376" i="13"/>
  <c r="AH14" i="13"/>
  <c r="AH234" i="13" s="1" a="1"/>
  <c r="AH234" i="13" s="1"/>
  <c r="K354" i="3"/>
  <c r="K386" i="3" s="1"/>
  <c r="AA321" i="1"/>
  <c r="J489" i="13"/>
  <c r="L236" i="13"/>
  <c r="AH224" i="13"/>
  <c r="X53" i="13"/>
  <c r="AB294" i="3"/>
  <c r="AB322" i="3"/>
  <c r="AB332" i="3" s="1"/>
  <c r="AK80" i="13"/>
  <c r="AK475" i="13" s="1" a="1"/>
  <c r="AK475" i="13" s="1"/>
  <c r="AK83" i="13"/>
  <c r="AK487" i="13" s="1" a="1"/>
  <c r="AK487" i="13" s="1"/>
  <c r="L235" i="13"/>
  <c r="AH223" i="13"/>
  <c r="K447" i="3"/>
  <c r="K516" i="3"/>
  <c r="K520" i="3" s="1"/>
  <c r="J556" i="3"/>
  <c r="J570" i="3" s="1"/>
  <c r="J575" i="3" s="1"/>
  <c r="AO37" i="13"/>
  <c r="AO317" i="13" s="1" a="1"/>
  <c r="AO317" i="13" s="1"/>
  <c r="Y317" i="13" a="1"/>
  <c r="Y317" i="13" s="1"/>
  <c r="AO52" i="13"/>
  <c r="AO371" i="13" s="1" a="1"/>
  <c r="AO371" i="13" s="1"/>
  <c r="Y371" i="13" a="1"/>
  <c r="Y371" i="13" s="1"/>
  <c r="AM11" i="13"/>
  <c r="AM222" i="13" s="1" a="1"/>
  <c r="AM222" i="13" s="1"/>
  <c r="AG83" i="13"/>
  <c r="AG487" i="13" s="1" a="1"/>
  <c r="AG487" i="13" s="1"/>
  <c r="O483" i="13" a="1"/>
  <c r="O483" i="13" s="1"/>
  <c r="H379" i="13" a="1"/>
  <c r="H379" i="13" s="1"/>
  <c r="AF54" i="13"/>
  <c r="AF379" i="13" s="1" a="1"/>
  <c r="AF379" i="13" s="1"/>
  <c r="AB321" i="1"/>
  <c r="P242" i="3"/>
  <c r="AH80" i="13"/>
  <c r="AH475" i="13" s="1" a="1"/>
  <c r="AH475" i="13" s="1"/>
  <c r="AH38" i="13"/>
  <c r="AH321" i="13" s="1" a="1"/>
  <c r="AH321" i="13" s="1"/>
  <c r="AJ80" i="13"/>
  <c r="AJ475" i="13" s="1" a="1"/>
  <c r="AJ475" i="13" s="1"/>
  <c r="Q495" i="13" a="1"/>
  <c r="Q495" i="13" s="1"/>
  <c r="Z367" i="13" a="1"/>
  <c r="Z367" i="13" s="1"/>
  <c r="AO51" i="13"/>
  <c r="AO367" i="13" s="1" a="1"/>
  <c r="AO367" i="13" s="1"/>
  <c r="N476" i="13"/>
  <c r="AI80" i="13"/>
  <c r="AI475" i="13" s="1" a="1"/>
  <c r="AI475" i="13" s="1"/>
  <c r="Y309" i="13" a="1"/>
  <c r="Y309" i="13" s="1"/>
  <c r="AK89" i="13"/>
  <c r="AK511" i="13" s="1" a="1"/>
  <c r="AK511" i="13" s="1"/>
  <c r="Q511" i="13" a="1"/>
  <c r="Q511" i="13" s="1"/>
  <c r="J570" i="13"/>
  <c r="AK103" i="13"/>
  <c r="AK560" i="13" s="1" a="1"/>
  <c r="AK560" i="13" s="1"/>
  <c r="Q560" i="13" a="1"/>
  <c r="Q560" i="13" s="1"/>
  <c r="L322" i="13"/>
  <c r="AI38" i="13"/>
  <c r="AI321" i="13" s="1" a="1"/>
  <c r="AI321" i="13" s="1"/>
  <c r="Y230" i="13" a="1"/>
  <c r="Y230" i="13" s="1"/>
  <c r="BI24" i="6"/>
  <c r="F39" i="6"/>
  <c r="BI39" i="6" s="1"/>
  <c r="R310" i="3"/>
  <c r="AL38" i="13"/>
  <c r="AL321" i="13" s="1" a="1"/>
  <c r="AL321" i="13" s="1"/>
  <c r="S321" i="13" a="1"/>
  <c r="S321" i="13" s="1"/>
  <c r="V223" i="13"/>
  <c r="X323" i="13"/>
  <c r="P477" i="13"/>
  <c r="G8" i="3"/>
  <c r="G3" i="3" s="1"/>
  <c r="W336" i="3"/>
  <c r="S82" i="13"/>
  <c r="P322" i="13"/>
  <c r="AF86" i="13"/>
  <c r="AF499" i="13" s="1" a="1"/>
  <c r="AF499" i="13" s="1"/>
  <c r="AF501" i="13" s="1"/>
  <c r="G499" i="13" a="1"/>
  <c r="G499" i="13" s="1"/>
  <c r="G501" i="13" s="1"/>
  <c r="D201" i="4"/>
  <c r="I41" i="6"/>
  <c r="BL41" i="6" s="1"/>
  <c r="G7" i="14"/>
  <c r="G2" i="14" s="1"/>
  <c r="AA322" i="1"/>
  <c r="P541" i="3"/>
  <c r="R541" i="3"/>
  <c r="T541" i="3"/>
  <c r="F313" i="3"/>
  <c r="F271" i="11" s="1"/>
  <c r="F272" i="11" s="1"/>
  <c r="F333" i="3"/>
  <c r="AE237" i="3"/>
  <c r="AE252" i="3" s="1"/>
  <c r="AE101" i="3"/>
  <c r="Y501" i="3"/>
  <c r="Q529" i="3"/>
  <c r="Q558" i="3" s="1"/>
  <c r="Q567" i="3" s="1"/>
  <c r="Q439" i="3"/>
  <c r="Q530" i="3" s="1"/>
  <c r="Q559" i="3" s="1"/>
  <c r="R262" i="3"/>
  <c r="R242" i="3"/>
  <c r="O419" i="3"/>
  <c r="O417" i="3"/>
  <c r="O565" i="3" s="1"/>
  <c r="O566" i="3" s="1"/>
  <c r="O648" i="3" s="1"/>
  <c r="G649" i="3"/>
  <c r="X246" i="3"/>
  <c r="W37" i="13"/>
  <c r="AA101" i="3"/>
  <c r="W38" i="13" s="1"/>
  <c r="AF178" i="3"/>
  <c r="AD212" i="3"/>
  <c r="R85" i="13"/>
  <c r="R495" i="13" s="1" a="1"/>
  <c r="R495" i="13" s="1"/>
  <c r="V344" i="3"/>
  <c r="N386" i="3"/>
  <c r="N355" i="3"/>
  <c r="N401" i="3"/>
  <c r="L332" i="3"/>
  <c r="L324" i="3"/>
  <c r="Z474" i="3"/>
  <c r="Z483" i="3" s="1"/>
  <c r="AB473" i="3"/>
  <c r="Z478" i="3"/>
  <c r="Z479" i="3" s="1"/>
  <c r="Z484" i="3" s="1"/>
  <c r="Q245" i="3"/>
  <c r="S245" i="3"/>
  <c r="G449" i="3"/>
  <c r="P260" i="3"/>
  <c r="P240" i="3"/>
  <c r="I401" i="3"/>
  <c r="I386" i="3"/>
  <c r="J401" i="3"/>
  <c r="N333" i="3"/>
  <c r="N452" i="3"/>
  <c r="G434" i="3"/>
  <c r="G117" i="3"/>
  <c r="G116" i="3"/>
  <c r="R241" i="3"/>
  <c r="R261" i="3"/>
  <c r="G25" i="6"/>
  <c r="P330" i="3"/>
  <c r="Q246" i="3"/>
  <c r="S246" i="3"/>
  <c r="W13" i="13"/>
  <c r="AA87" i="3"/>
  <c r="W14" i="13" s="1"/>
  <c r="G425" i="3"/>
  <c r="Q247" i="3"/>
  <c r="S247" i="3"/>
  <c r="G24" i="6"/>
  <c r="BJ24" i="6" s="1"/>
  <c r="P310" i="3"/>
  <c r="P241" i="3"/>
  <c r="AI218" i="3"/>
  <c r="AI93" i="3"/>
  <c r="AK213" i="3"/>
  <c r="AM192" i="3"/>
  <c r="AM213" i="3" s="1"/>
  <c r="AH92" i="3"/>
  <c r="AJ166" i="3"/>
  <c r="AL213" i="3"/>
  <c r="AN192" i="3"/>
  <c r="AN213" i="3" s="1"/>
  <c r="AJ218" i="3"/>
  <c r="AJ93" i="3"/>
  <c r="AI155" i="3"/>
  <c r="AG91" i="3"/>
  <c r="AB321" i="3"/>
  <c r="AB262" i="3"/>
  <c r="AI154" i="3"/>
  <c r="AG84" i="3"/>
  <c r="AL202" i="3"/>
  <c r="AH219" i="3"/>
  <c r="AH100" i="3"/>
  <c r="AJ154" i="3"/>
  <c r="AH84" i="3"/>
  <c r="AI156" i="3"/>
  <c r="AG98" i="3"/>
  <c r="AK214" i="3"/>
  <c r="AM202" i="3"/>
  <c r="AM214" i="3" s="1"/>
  <c r="AI219" i="3"/>
  <c r="AI100" i="3"/>
  <c r="AK176" i="3"/>
  <c r="AI212" i="3"/>
  <c r="AG86" i="3"/>
  <c r="AG217" i="3"/>
  <c r="AJ156" i="3"/>
  <c r="AH98" i="3"/>
  <c r="AH167" i="3"/>
  <c r="AF99" i="3"/>
  <c r="AH165" i="3"/>
  <c r="AF85" i="3"/>
  <c r="AI165" i="3"/>
  <c r="AG85" i="3"/>
  <c r="N31" i="6"/>
  <c r="W329" i="3"/>
  <c r="I271" i="11"/>
  <c r="I272" i="11" s="1"/>
  <c r="I521" i="3"/>
  <c r="I523" i="3" s="1"/>
  <c r="I458" i="3"/>
  <c r="I402" i="3"/>
  <c r="I387" i="3"/>
  <c r="I355" i="3"/>
  <c r="G145" i="3"/>
  <c r="G146" i="3"/>
  <c r="G118" i="3"/>
  <c r="G147" i="3"/>
  <c r="H647" i="3"/>
  <c r="H7" i="3"/>
  <c r="H9" i="3" a="1"/>
  <c r="H9" i="3" s="1"/>
  <c r="H6" i="3" a="1"/>
  <c r="H6" i="3" s="1"/>
  <c r="I4" i="3"/>
  <c r="H13" i="3"/>
  <c r="D183" i="4"/>
  <c r="J402" i="3"/>
  <c r="J387" i="3"/>
  <c r="Z321" i="3"/>
  <c r="Z331" i="3" s="1"/>
  <c r="Z262" i="3"/>
  <c r="BJ31" i="6"/>
  <c r="J291" i="11"/>
  <c r="J292" i="11" s="1"/>
  <c r="J534" i="3"/>
  <c r="J345" i="3"/>
  <c r="G80" i="13"/>
  <c r="K271" i="11"/>
  <c r="K272" i="11" s="1"/>
  <c r="K521" i="3"/>
  <c r="K458" i="3"/>
  <c r="AG294" i="3"/>
  <c r="AG322" i="3"/>
  <c r="H402" i="3"/>
  <c r="H387" i="3"/>
  <c r="H355" i="3"/>
  <c r="H401" i="3"/>
  <c r="AH323" i="3"/>
  <c r="AJ315" i="3"/>
  <c r="N548" i="3"/>
  <c r="M566" i="3"/>
  <c r="M648" i="3" s="1"/>
  <c r="N567" i="3"/>
  <c r="M570" i="3"/>
  <c r="M575" i="3" s="1"/>
  <c r="M402" i="3"/>
  <c r="M458" i="3"/>
  <c r="J80" i="13"/>
  <c r="J475" i="13" s="1" a="1"/>
  <c r="J475" i="13" s="1"/>
  <c r="N521" i="3"/>
  <c r="N523" i="3" s="1"/>
  <c r="N402" i="3"/>
  <c r="N387" i="3"/>
  <c r="V82" i="11"/>
  <c r="V83" i="11" s="1"/>
  <c r="W107" i="3"/>
  <c r="V225" i="11"/>
  <c r="V226" i="11" s="1"/>
  <c r="W109" i="3"/>
  <c r="X11" i="13"/>
  <c r="AB235" i="3"/>
  <c r="AB250" i="3" s="1"/>
  <c r="AF125" i="3"/>
  <c r="AD83" i="3"/>
  <c r="AG99" i="3"/>
  <c r="AI167" i="3"/>
  <c r="Y11" i="13"/>
  <c r="AC87" i="3"/>
  <c r="AC235" i="3"/>
  <c r="AC250" i="3" s="1"/>
  <c r="AG125" i="3"/>
  <c r="AE83" i="3"/>
  <c r="X96" i="11"/>
  <c r="X97" i="11" s="1"/>
  <c r="Z136" i="3"/>
  <c r="U33" i="6"/>
  <c r="T41" i="6"/>
  <c r="U41" i="6" s="1"/>
  <c r="I86" i="13"/>
  <c r="M291" i="11"/>
  <c r="M292" i="11" s="1"/>
  <c r="M534" i="3"/>
  <c r="M345" i="3"/>
  <c r="AJ176" i="3"/>
  <c r="AB86" i="3"/>
  <c r="X13" i="13" s="1"/>
  <c r="X230" i="13" s="1" a="1"/>
  <c r="X230" i="13" s="1"/>
  <c r="AB217" i="3"/>
  <c r="Z35" i="13"/>
  <c r="Z309" i="13" s="1" a="1"/>
  <c r="Z309" i="13" s="1"/>
  <c r="AD237" i="3"/>
  <c r="AD252" i="3" s="1"/>
  <c r="AD101" i="3"/>
  <c r="AF97" i="3"/>
  <c r="AH127" i="3"/>
  <c r="O24" i="6"/>
  <c r="BR24" i="6" s="1"/>
  <c r="X260" i="3"/>
  <c r="X319" i="3"/>
  <c r="AK127" i="3"/>
  <c r="AI97" i="3"/>
  <c r="X239" i="11"/>
  <c r="X240" i="11" s="1"/>
  <c r="Z138" i="3"/>
  <c r="AF155" i="3"/>
  <c r="AD91" i="3"/>
  <c r="Y239" i="11"/>
  <c r="Y240" i="11" s="1"/>
  <c r="AA138" i="3"/>
  <c r="AC138" i="3" s="1"/>
  <c r="AE138" i="3" s="1"/>
  <c r="AG138" i="3" s="1"/>
  <c r="AI138" i="3" s="1"/>
  <c r="AK138" i="3" s="1"/>
  <c r="AM138" i="3" s="1"/>
  <c r="I40" i="6"/>
  <c r="BL40" i="6" s="1"/>
  <c r="BL32" i="6"/>
  <c r="V14" i="13"/>
  <c r="V234" i="13" s="1" a="1"/>
  <c r="V234" i="13" s="1"/>
  <c r="Z306" i="3"/>
  <c r="Z224" i="3"/>
  <c r="Z255" i="3" s="1"/>
  <c r="K40" i="6"/>
  <c r="BN40" i="6" s="1"/>
  <c r="BN32" i="6"/>
  <c r="G402" i="3"/>
  <c r="G387" i="3"/>
  <c r="G355" i="3"/>
  <c r="G401" i="3"/>
  <c r="G271" i="11"/>
  <c r="G272" i="11" s="1"/>
  <c r="G521" i="3"/>
  <c r="G523" i="3" s="1"/>
  <c r="G527" i="3" s="1"/>
  <c r="G533" i="3" s="1"/>
  <c r="G537" i="3" s="1"/>
  <c r="G538" i="3" s="1"/>
  <c r="G458" i="3"/>
  <c r="G460" i="3" s="1"/>
  <c r="G454" i="3"/>
  <c r="W321" i="3"/>
  <c r="W262" i="3"/>
  <c r="BO11" i="6"/>
  <c r="T11" i="6"/>
  <c r="P82" i="13"/>
  <c r="P483" i="13" s="1" a="1"/>
  <c r="P483" i="13" s="1"/>
  <c r="T524" i="3"/>
  <c r="T527" i="3" s="1"/>
  <c r="T533" i="3" s="1"/>
  <c r="T336" i="3"/>
  <c r="T338" i="3" s="1"/>
  <c r="T387" i="3"/>
  <c r="T388" i="3"/>
  <c r="T385" i="3"/>
  <c r="T380" i="3"/>
  <c r="O83" i="13"/>
  <c r="S283" i="11"/>
  <c r="S284" i="11" s="1"/>
  <c r="J8" i="6"/>
  <c r="S362" i="3"/>
  <c r="S363" i="3" s="1"/>
  <c r="S343" i="3"/>
  <c r="P548" i="3"/>
  <c r="O543" i="3"/>
  <c r="O545" i="3" s="1"/>
  <c r="O570" i="3"/>
  <c r="O575" i="3" s="1"/>
  <c r="P567" i="3"/>
  <c r="AA307" i="1"/>
  <c r="AA165" i="1"/>
  <c r="AA167" i="1" s="1"/>
  <c r="AA169" i="1" s="1"/>
  <c r="AF290" i="3"/>
  <c r="AF293" i="3" s="1"/>
  <c r="AF309" i="3"/>
  <c r="AH287" i="3"/>
  <c r="AA603" i="3"/>
  <c r="AB410" i="3"/>
  <c r="U546" i="3"/>
  <c r="U543" i="3" s="1"/>
  <c r="U545" i="3" s="1"/>
  <c r="M41" i="6"/>
  <c r="BP41" i="6" s="1"/>
  <c r="BP33" i="6"/>
  <c r="K82" i="13"/>
  <c r="O524" i="3"/>
  <c r="O527" i="3" s="1"/>
  <c r="O533" i="3" s="1"/>
  <c r="P379" i="3"/>
  <c r="P388" i="3" s="1"/>
  <c r="O336" i="3"/>
  <c r="O338" i="3" s="1"/>
  <c r="O388" i="3"/>
  <c r="O387" i="3"/>
  <c r="O385" i="3"/>
  <c r="AC474" i="3"/>
  <c r="AC483" i="3" s="1"/>
  <c r="AC478" i="3"/>
  <c r="AC479" i="3" s="1"/>
  <c r="AC484" i="3" s="1"/>
  <c r="AE473" i="3"/>
  <c r="AB608" i="3"/>
  <c r="J85" i="13"/>
  <c r="J495" i="13" s="1" a="1"/>
  <c r="J495" i="13" s="1"/>
  <c r="N344" i="3"/>
  <c r="S546" i="3"/>
  <c r="S543" i="3" s="1"/>
  <c r="S545" i="3" s="1"/>
  <c r="Z609" i="3"/>
  <c r="AA409" i="3"/>
  <c r="L570" i="3"/>
  <c r="L575" i="3" s="1"/>
  <c r="L566" i="3"/>
  <c r="L648" i="3" s="1"/>
  <c r="AH307" i="1"/>
  <c r="AH165" i="1"/>
  <c r="AH167" i="1" s="1"/>
  <c r="AH169" i="1" s="1"/>
  <c r="Y53" i="13"/>
  <c r="AC322" i="3"/>
  <c r="AC332" i="3" s="1"/>
  <c r="AC294" i="3"/>
  <c r="Y610" i="3"/>
  <c r="Y613" i="3" s="1"/>
  <c r="Z411" i="3"/>
  <c r="AC315" i="3"/>
  <c r="AA323" i="3"/>
  <c r="W525" i="3"/>
  <c r="U307" i="1"/>
  <c r="U165" i="1"/>
  <c r="U167" i="1" s="1"/>
  <c r="U169" i="1" s="1"/>
  <c r="H566" i="3"/>
  <c r="H648" i="3" s="1"/>
  <c r="H570" i="3"/>
  <c r="H575" i="3" s="1"/>
  <c r="AB307" i="1"/>
  <c r="AB165" i="1"/>
  <c r="AB167" i="1" s="1"/>
  <c r="AB169" i="1" s="1"/>
  <c r="W307" i="1"/>
  <c r="W165" i="1"/>
  <c r="W167" i="1" s="1"/>
  <c r="W169" i="1" s="1"/>
  <c r="M82" i="13"/>
  <c r="Q388" i="3"/>
  <c r="Q336" i="3"/>
  <c r="Q338" i="3" s="1"/>
  <c r="Q385" i="3"/>
  <c r="Q524" i="3"/>
  <c r="Q527" i="3" s="1"/>
  <c r="Q380" i="3"/>
  <c r="Q387" i="3"/>
  <c r="R379" i="3"/>
  <c r="R380" i="3" s="1"/>
  <c r="X417" i="3"/>
  <c r="X565" i="3" s="1"/>
  <c r="Y416" i="3"/>
  <c r="X419" i="3"/>
  <c r="Y602" i="3"/>
  <c r="Z408" i="3"/>
  <c r="Y502" i="3"/>
  <c r="Y413" i="3"/>
  <c r="Y418" i="3" s="1"/>
  <c r="AA617" i="3"/>
  <c r="V297" i="1"/>
  <c r="V317" i="1"/>
  <c r="V323" i="1"/>
  <c r="V172" i="1"/>
  <c r="AC307" i="1"/>
  <c r="AC165" i="1"/>
  <c r="AC167" i="1" s="1"/>
  <c r="AC169" i="1" s="1"/>
  <c r="Z307" i="1"/>
  <c r="Z165" i="1"/>
  <c r="Z167" i="1" s="1"/>
  <c r="Z169" i="1" s="1"/>
  <c r="AF307" i="1"/>
  <c r="AF165" i="1"/>
  <c r="AF167" i="1" s="1"/>
  <c r="AF169" i="1" s="1"/>
  <c r="AE307" i="1"/>
  <c r="AE165" i="1"/>
  <c r="AE167" i="1" s="1"/>
  <c r="AE169" i="1" s="1"/>
  <c r="Y307" i="1"/>
  <c r="Y165" i="1"/>
  <c r="Y167" i="1" s="1"/>
  <c r="Y169" i="1" s="1"/>
  <c r="X307" i="1"/>
  <c r="X165" i="1"/>
  <c r="X167" i="1" s="1"/>
  <c r="X169" i="1" s="1"/>
  <c r="AD307" i="1"/>
  <c r="AD165" i="1"/>
  <c r="AD167" i="1" s="1"/>
  <c r="AD169" i="1" s="1"/>
  <c r="T307" i="1"/>
  <c r="T165" i="1"/>
  <c r="T167" i="1" s="1"/>
  <c r="T169" i="1" s="1"/>
  <c r="H2" i="4"/>
  <c r="K567" i="13"/>
  <c r="K518" i="13"/>
  <c r="K469" i="13"/>
  <c r="K423" i="13"/>
  <c r="K386" i="13"/>
  <c r="K336" i="13"/>
  <c r="K361" i="13"/>
  <c r="K307" i="13"/>
  <c r="K278" i="13"/>
  <c r="K249" i="13"/>
  <c r="K220" i="13"/>
  <c r="L6" i="13"/>
  <c r="AI567" i="13"/>
  <c r="AI518" i="13"/>
  <c r="AI469" i="13"/>
  <c r="AI423" i="13"/>
  <c r="AI386" i="13"/>
  <c r="AI336" i="13"/>
  <c r="AI361" i="13"/>
  <c r="AI307" i="13"/>
  <c r="AI278" i="13"/>
  <c r="AI249" i="13"/>
  <c r="AI220" i="13"/>
  <c r="AJ6" i="13"/>
  <c r="I3" i="14"/>
  <c r="H8" i="14" a="1"/>
  <c r="H8" i="14" s="1"/>
  <c r="H5" i="14" a="1"/>
  <c r="H5" i="14" s="1"/>
  <c r="H6" i="14"/>
  <c r="AL383" i="1"/>
  <c r="AL319" i="13" l="1"/>
  <c r="H271" i="11"/>
  <c r="H272" i="11" s="1"/>
  <c r="H521" i="3"/>
  <c r="H523" i="3" s="1"/>
  <c r="H541" i="3" s="1"/>
  <c r="H543" i="3" s="1"/>
  <c r="H3" i="4"/>
  <c r="AM231" i="13"/>
  <c r="X482" i="3"/>
  <c r="X485" i="3" s="1"/>
  <c r="X307" i="11" s="1"/>
  <c r="X308" i="11" s="1"/>
  <c r="W307" i="11"/>
  <c r="W308" i="11" s="1"/>
  <c r="W493" i="3"/>
  <c r="AG332" i="3"/>
  <c r="M386" i="3"/>
  <c r="M387" i="3"/>
  <c r="M355" i="3"/>
  <c r="T350" i="3"/>
  <c r="AL318" i="13"/>
  <c r="U345" i="3"/>
  <c r="U534" i="3"/>
  <c r="U537" i="3" s="1"/>
  <c r="U538" i="3" s="1"/>
  <c r="Q86" i="13"/>
  <c r="Q499" i="13" s="1" a="1"/>
  <c r="Q499" i="13" s="1"/>
  <c r="J386" i="3"/>
  <c r="S623" i="3"/>
  <c r="S2" i="3" s="1"/>
  <c r="R245" i="3"/>
  <c r="U350" i="3"/>
  <c r="AM38" i="13"/>
  <c r="AM321" i="13" s="1" a="1"/>
  <c r="AM321" i="13" s="1"/>
  <c r="AM323" i="13" s="1"/>
  <c r="AI290" i="3"/>
  <c r="AI293" i="3" s="1"/>
  <c r="AI294" i="3" s="1"/>
  <c r="BL24" i="6"/>
  <c r="I39" i="6"/>
  <c r="BL39" i="6" s="1"/>
  <c r="T575" i="3"/>
  <c r="Q371" i="3"/>
  <c r="AK287" i="3"/>
  <c r="AM287" i="3" s="1"/>
  <c r="Y262" i="3"/>
  <c r="AB331" i="3"/>
  <c r="M521" i="3"/>
  <c r="M523" i="3" s="1"/>
  <c r="M541" i="3" s="1"/>
  <c r="M271" i="11"/>
  <c r="M272" i="11" s="1"/>
  <c r="AC226" i="3"/>
  <c r="AC257" i="3" s="1"/>
  <c r="AC321" i="3" s="1"/>
  <c r="AC331" i="3" s="1"/>
  <c r="AC308" i="3"/>
  <c r="Y260" i="3"/>
  <c r="AG165" i="1"/>
  <c r="AG167" i="1" s="1"/>
  <c r="AG169" i="1" s="1"/>
  <c r="AG317" i="1" s="1"/>
  <c r="X331" i="3"/>
  <c r="Y379" i="3"/>
  <c r="Y524" i="3" s="1"/>
  <c r="Y377" i="3"/>
  <c r="K523" i="3"/>
  <c r="K527" i="3" s="1"/>
  <c r="K533" i="3" s="1"/>
  <c r="K537" i="3" s="1"/>
  <c r="K538" i="3" s="1"/>
  <c r="AD322" i="3"/>
  <c r="AD332" i="3" s="1"/>
  <c r="AD294" i="3"/>
  <c r="V545" i="3"/>
  <c r="K355" i="3"/>
  <c r="D114" i="4"/>
  <c r="G39" i="6"/>
  <c r="BJ39" i="6" s="1"/>
  <c r="L452" i="3"/>
  <c r="L458" i="3" s="1"/>
  <c r="L516" i="3"/>
  <c r="L520" i="3" s="1"/>
  <c r="L354" i="3"/>
  <c r="L313" i="3"/>
  <c r="L447" i="3"/>
  <c r="Q533" i="3"/>
  <c r="Q548" i="3"/>
  <c r="Q570" i="3" s="1"/>
  <c r="Q575" i="3" s="1"/>
  <c r="AN227" i="13"/>
  <c r="AG92" i="3"/>
  <c r="AI166" i="3"/>
  <c r="AI570" i="13"/>
  <c r="AH570" i="13"/>
  <c r="AH571" i="13"/>
  <c r="J541" i="3"/>
  <c r="J543" i="3" s="1"/>
  <c r="AI521" i="13"/>
  <c r="AH522" i="13"/>
  <c r="AH521" i="13"/>
  <c r="K387" i="3"/>
  <c r="K401" i="3"/>
  <c r="D141" i="4"/>
  <c r="K402" i="3"/>
  <c r="J648" i="3"/>
  <c r="H527" i="3"/>
  <c r="H533" i="3" s="1"/>
  <c r="H537" i="3" s="1"/>
  <c r="H538" i="3" s="1"/>
  <c r="AG237" i="3"/>
  <c r="AG252" i="3" s="1"/>
  <c r="AN228" i="13"/>
  <c r="H8" i="3"/>
  <c r="H3" i="3" s="1"/>
  <c r="F381" i="1"/>
  <c r="Z377" i="13"/>
  <c r="AN13" i="13"/>
  <c r="AN230" i="13" s="1" a="1"/>
  <c r="AN230" i="13" s="1"/>
  <c r="W230" i="13" a="1"/>
  <c r="W230" i="13" s="1"/>
  <c r="Y231" i="13" s="1"/>
  <c r="H381" i="13"/>
  <c r="J380" i="13"/>
  <c r="AO53" i="13"/>
  <c r="AO375" i="13" s="1" a="1"/>
  <c r="AO375" i="13" s="1"/>
  <c r="Y375" i="13" a="1"/>
  <c r="Y375" i="13" s="1"/>
  <c r="O487" i="13" a="1"/>
  <c r="O487" i="13" s="1"/>
  <c r="V235" i="13"/>
  <c r="V236" i="13"/>
  <c r="D149" i="4"/>
  <c r="Q484" i="13"/>
  <c r="O485" i="13"/>
  <c r="I499" i="13" a="1"/>
  <c r="I499" i="13" s="1"/>
  <c r="J537" i="3"/>
  <c r="J538" i="3" s="1"/>
  <c r="AJ82" i="13"/>
  <c r="AJ483" i="13" s="1" a="1"/>
  <c r="AJ483" i="13" s="1"/>
  <c r="G462" i="3"/>
  <c r="AG101" i="3"/>
  <c r="AG308" i="3" s="1"/>
  <c r="G475" i="13" a="1"/>
  <c r="G475" i="13" s="1"/>
  <c r="G477" i="13" s="1"/>
  <c r="AG488" i="13"/>
  <c r="AG489" i="13"/>
  <c r="Y373" i="13"/>
  <c r="Y372" i="13"/>
  <c r="AK489" i="13"/>
  <c r="Z310" i="13"/>
  <c r="Z311" i="13"/>
  <c r="D195" i="4"/>
  <c r="E101" i="4"/>
  <c r="W234" i="13" a="1"/>
  <c r="W234" i="13" s="1"/>
  <c r="BJ25" i="6"/>
  <c r="G40" i="6"/>
  <c r="BJ40" i="6" s="1"/>
  <c r="V291" i="11"/>
  <c r="V292" i="11" s="1"/>
  <c r="R86" i="13"/>
  <c r="R499" i="13" s="1" a="1"/>
  <c r="R499" i="13" s="1"/>
  <c r="AH322" i="13"/>
  <c r="AH323" i="13"/>
  <c r="AM223" i="13"/>
  <c r="AM224" i="13"/>
  <c r="AO372" i="13"/>
  <c r="AO373" i="13"/>
  <c r="AK477" i="13"/>
  <c r="AK476" i="13"/>
  <c r="AL236" i="13"/>
  <c r="AL235" i="13"/>
  <c r="G541" i="3"/>
  <c r="X222" i="13" a="1"/>
  <c r="X222" i="13" s="1"/>
  <c r="AN11" i="13"/>
  <c r="AN222" i="13" s="1" a="1"/>
  <c r="AN222" i="13" s="1"/>
  <c r="R497" i="13"/>
  <c r="AH477" i="13"/>
  <c r="Y319" i="13"/>
  <c r="AH235" i="13"/>
  <c r="AI235" i="13"/>
  <c r="AH236" i="13"/>
  <c r="T235" i="13"/>
  <c r="T236" i="13"/>
  <c r="P83" i="13"/>
  <c r="P487" i="13" s="1" a="1"/>
  <c r="P487" i="13" s="1"/>
  <c r="T283" i="11"/>
  <c r="T284" i="11" s="1"/>
  <c r="K8" i="6"/>
  <c r="BN8" i="6" s="1"/>
  <c r="AO369" i="13"/>
  <c r="AO368" i="13"/>
  <c r="AO319" i="13"/>
  <c r="Q562" i="13"/>
  <c r="Q561" i="13"/>
  <c r="AF381" i="13"/>
  <c r="AG380" i="13"/>
  <c r="K483" i="13" a="1"/>
  <c r="K483" i="13" s="1"/>
  <c r="Z369" i="13"/>
  <c r="Z368" i="13"/>
  <c r="X375" i="13" a="1"/>
  <c r="X375" i="13" s="1"/>
  <c r="AN53" i="13"/>
  <c r="AN375" i="13" s="1" a="1"/>
  <c r="AN375" i="13" s="1"/>
  <c r="I496" i="13"/>
  <c r="I497" i="13"/>
  <c r="J477" i="13"/>
  <c r="R484" i="13"/>
  <c r="P485" i="13"/>
  <c r="Y321" i="13" a="1"/>
  <c r="Y321" i="13" s="1"/>
  <c r="AG80" i="13"/>
  <c r="AG475" i="13" s="1" a="1"/>
  <c r="AG475" i="13" s="1"/>
  <c r="AH476" i="13" s="1"/>
  <c r="I475" i="13" a="1"/>
  <c r="I475" i="13" s="1"/>
  <c r="D124" i="4"/>
  <c r="AN38" i="13"/>
  <c r="AN321" i="13" s="1" a="1"/>
  <c r="AN321" i="13" s="1"/>
  <c r="W321" i="13" a="1"/>
  <c r="W321" i="13" s="1"/>
  <c r="Q512" i="13"/>
  <c r="Q513" i="13"/>
  <c r="Q497" i="13"/>
  <c r="AG85" i="13"/>
  <c r="AG495" i="13" s="1" a="1"/>
  <c r="AG495" i="13" s="1"/>
  <c r="AN37" i="13"/>
  <c r="AN317" i="13" s="1" a="1"/>
  <c r="AN317" i="13" s="1"/>
  <c r="W317" i="13" a="1"/>
  <c r="W317" i="13" s="1"/>
  <c r="AK513" i="13"/>
  <c r="AK512" i="13"/>
  <c r="AK85" i="13"/>
  <c r="AK495" i="13" s="1" a="1"/>
  <c r="AK495" i="13" s="1"/>
  <c r="M483" i="13" a="1"/>
  <c r="M483" i="13" s="1"/>
  <c r="O484" i="13" s="1"/>
  <c r="X231" i="13"/>
  <c r="X232" i="13"/>
  <c r="G120" i="3"/>
  <c r="G86" i="11"/>
  <c r="G87" i="11" s="1"/>
  <c r="Y310" i="13"/>
  <c r="Y311" i="13"/>
  <c r="Y222" i="13" a="1"/>
  <c r="Y222" i="13" s="1"/>
  <c r="G121" i="3"/>
  <c r="G132" i="11"/>
  <c r="G133" i="11" s="1"/>
  <c r="S322" i="13"/>
  <c r="S323" i="13"/>
  <c r="U322" i="13"/>
  <c r="Y232" i="13"/>
  <c r="AO35" i="13"/>
  <c r="AO309" i="13" s="1" a="1"/>
  <c r="AO309" i="13" s="1"/>
  <c r="U235" i="13"/>
  <c r="U236" i="13"/>
  <c r="AK562" i="13"/>
  <c r="AK561" i="13"/>
  <c r="J496" i="13"/>
  <c r="J497" i="13"/>
  <c r="S483" i="13" a="1"/>
  <c r="S483" i="13" s="1"/>
  <c r="AL322" i="13"/>
  <c r="AL323" i="13"/>
  <c r="D134" i="4"/>
  <c r="AM14" i="13"/>
  <c r="AM234" i="13" s="1" a="1"/>
  <c r="AM234" i="13" s="1"/>
  <c r="L476" i="13"/>
  <c r="AI323" i="13"/>
  <c r="AJ322" i="13"/>
  <c r="AI322" i="13"/>
  <c r="H7" i="14"/>
  <c r="H2" i="14" s="1"/>
  <c r="AI477" i="13"/>
  <c r="AI476" i="13"/>
  <c r="AJ477" i="13"/>
  <c r="AJ476" i="13"/>
  <c r="N527" i="3"/>
  <c r="N533" i="3" s="1"/>
  <c r="N541" i="3"/>
  <c r="N543" i="3" s="1"/>
  <c r="I541" i="3"/>
  <c r="I527" i="3"/>
  <c r="I533" i="3" s="1"/>
  <c r="I537" i="3" s="1"/>
  <c r="I538" i="3" s="1"/>
  <c r="M527" i="3"/>
  <c r="M533" i="3" s="1"/>
  <c r="M537" i="3" s="1"/>
  <c r="M538" i="3" s="1"/>
  <c r="H545" i="3"/>
  <c r="AE308" i="3"/>
  <c r="AE226" i="3"/>
  <c r="AE257" i="3" s="1"/>
  <c r="N458" i="3"/>
  <c r="V345" i="3"/>
  <c r="V534" i="3"/>
  <c r="V537" i="3" s="1"/>
  <c r="V538" i="3" s="1"/>
  <c r="R247" i="3"/>
  <c r="T247" i="3"/>
  <c r="AD473" i="3"/>
  <c r="AB474" i="3"/>
  <c r="AB483" i="3" s="1"/>
  <c r="AB478" i="3"/>
  <c r="AB479" i="3" s="1"/>
  <c r="AB484" i="3" s="1"/>
  <c r="AD217" i="3"/>
  <c r="AD86" i="3"/>
  <c r="Z13" i="13" s="1"/>
  <c r="AH178" i="3"/>
  <c r="AF212" i="3"/>
  <c r="Z501" i="3"/>
  <c r="H145" i="3"/>
  <c r="H434" i="3"/>
  <c r="H146" i="3"/>
  <c r="H454" i="3"/>
  <c r="H116" i="3"/>
  <c r="T543" i="3"/>
  <c r="T545" i="3" s="1"/>
  <c r="AA308" i="3"/>
  <c r="AA226" i="3"/>
  <c r="AA257" i="3" s="1"/>
  <c r="T362" i="3"/>
  <c r="T363" i="3" s="1"/>
  <c r="T343" i="3"/>
  <c r="AB87" i="3"/>
  <c r="X14" i="13" s="1"/>
  <c r="X234" i="13" s="1" a="1"/>
  <c r="X234" i="13" s="1"/>
  <c r="R246" i="3"/>
  <c r="T246" i="3"/>
  <c r="H449" i="3"/>
  <c r="H649" i="3"/>
  <c r="H425" i="3"/>
  <c r="AA224" i="3"/>
  <c r="AA255" i="3" s="1"/>
  <c r="AA306" i="3"/>
  <c r="H460" i="3"/>
  <c r="J3" i="14"/>
  <c r="I8" i="14" a="1"/>
  <c r="I8" i="14" s="1"/>
  <c r="I6" i="14"/>
  <c r="I5" i="14" a="1"/>
  <c r="I5" i="14" s="1"/>
  <c r="AJ567" i="13"/>
  <c r="AJ518" i="13"/>
  <c r="AJ469" i="13"/>
  <c r="AJ423" i="13"/>
  <c r="AJ386" i="13"/>
  <c r="AJ336" i="13"/>
  <c r="AJ361" i="13"/>
  <c r="AJ278" i="13"/>
  <c r="AJ307" i="13"/>
  <c r="AJ249" i="13"/>
  <c r="AJ220" i="13"/>
  <c r="AK6" i="13"/>
  <c r="L567" i="13"/>
  <c r="L518" i="13"/>
  <c r="L469" i="13"/>
  <c r="L423" i="13"/>
  <c r="L386" i="13"/>
  <c r="L336" i="13"/>
  <c r="L361" i="13"/>
  <c r="L307" i="13"/>
  <c r="L278" i="13"/>
  <c r="L249" i="13"/>
  <c r="L220" i="13"/>
  <c r="M6" i="13"/>
  <c r="I2" i="4"/>
  <c r="T297" i="1"/>
  <c r="T317" i="1"/>
  <c r="T323" i="1"/>
  <c r="T172" i="1"/>
  <c r="AD323" i="1"/>
  <c r="AD317" i="1"/>
  <c r="AD172" i="1"/>
  <c r="AD297" i="1"/>
  <c r="X297" i="1"/>
  <c r="X317" i="1"/>
  <c r="X323" i="1"/>
  <c r="X172" i="1"/>
  <c r="Y297" i="1"/>
  <c r="Y317" i="1"/>
  <c r="Y323" i="1"/>
  <c r="Y172" i="1"/>
  <c r="AE323" i="1"/>
  <c r="AE297" i="1"/>
  <c r="AE317" i="1"/>
  <c r="AE172" i="1"/>
  <c r="AF323" i="1"/>
  <c r="AF172" i="1"/>
  <c r="AF297" i="1"/>
  <c r="AF317" i="1"/>
  <c r="Z323" i="1"/>
  <c r="Z317" i="1"/>
  <c r="Z297" i="1"/>
  <c r="Z172" i="1"/>
  <c r="AC323" i="1"/>
  <c r="AC297" i="1"/>
  <c r="AC317" i="1"/>
  <c r="AC172" i="1"/>
  <c r="V298" i="1"/>
  <c r="V176" i="1"/>
  <c r="V299" i="1" s="1"/>
  <c r="AB617" i="3"/>
  <c r="Y417" i="3"/>
  <c r="Y565" i="3" s="1"/>
  <c r="Z416" i="3"/>
  <c r="Y419" i="3"/>
  <c r="Z502" i="3"/>
  <c r="Z602" i="3"/>
  <c r="Z413" i="3"/>
  <c r="Z418" i="3" s="1"/>
  <c r="AA408" i="3"/>
  <c r="N82" i="13"/>
  <c r="N483" i="13" s="1" a="1"/>
  <c r="N483" i="13" s="1"/>
  <c r="P484" i="13" s="1"/>
  <c r="R524" i="3"/>
  <c r="R527" i="3" s="1"/>
  <c r="R533" i="3" s="1"/>
  <c r="R336" i="3"/>
  <c r="R338" i="3" s="1"/>
  <c r="R387" i="3"/>
  <c r="R385" i="3"/>
  <c r="R388" i="3"/>
  <c r="M83" i="13"/>
  <c r="Q283" i="11"/>
  <c r="Q284" i="11" s="1"/>
  <c r="H8" i="6"/>
  <c r="BK8" i="6" s="1"/>
  <c r="Q362" i="3"/>
  <c r="Q363" i="3" s="1"/>
  <c r="Q343" i="3"/>
  <c r="R567" i="3"/>
  <c r="Q566" i="3"/>
  <c r="W297" i="1"/>
  <c r="W317" i="1"/>
  <c r="W323" i="1"/>
  <c r="W172" i="1"/>
  <c r="AB323" i="1"/>
  <c r="AB297" i="1"/>
  <c r="AB317" i="1"/>
  <c r="AB172" i="1"/>
  <c r="U317" i="1"/>
  <c r="U323" i="1"/>
  <c r="U172" i="1"/>
  <c r="U297" i="1"/>
  <c r="AE315" i="3"/>
  <c r="AC323" i="3"/>
  <c r="Z610" i="3"/>
  <c r="Z613" i="3" s="1"/>
  <c r="AA411" i="3"/>
  <c r="AH297" i="1"/>
  <c r="AH317" i="1"/>
  <c r="AH323" i="1"/>
  <c r="AH172" i="1"/>
  <c r="AA609" i="3"/>
  <c r="AB409" i="3"/>
  <c r="J86" i="13"/>
  <c r="J499" i="13" s="1" a="1"/>
  <c r="J499" i="13" s="1"/>
  <c r="N291" i="11"/>
  <c r="N292" i="11" s="1"/>
  <c r="N534" i="3"/>
  <c r="N345" i="3"/>
  <c r="AC608" i="3"/>
  <c r="AE474" i="3"/>
  <c r="AE483" i="3" s="1"/>
  <c r="AG473" i="3"/>
  <c r="AE478" i="3"/>
  <c r="AE479" i="3" s="1"/>
  <c r="AE484" i="3" s="1"/>
  <c r="K83" i="13"/>
  <c r="O283" i="11"/>
  <c r="O284" i="11" s="1"/>
  <c r="F8" i="6"/>
  <c r="BI8" i="6" s="1"/>
  <c r="O362" i="3"/>
  <c r="O363" i="3" s="1"/>
  <c r="O343" i="3"/>
  <c r="L82" i="13"/>
  <c r="L483" i="13" s="1" a="1"/>
  <c r="L483" i="13" s="1"/>
  <c r="P524" i="3"/>
  <c r="P527" i="3" s="1"/>
  <c r="P533" i="3" s="1"/>
  <c r="P336" i="3"/>
  <c r="P338" i="3" s="1"/>
  <c r="P387" i="3"/>
  <c r="P385" i="3"/>
  <c r="P380" i="3"/>
  <c r="AC410" i="3"/>
  <c r="AB603" i="3"/>
  <c r="AH290" i="3"/>
  <c r="AH293" i="3" s="1"/>
  <c r="AH309" i="3"/>
  <c r="AJ287" i="3"/>
  <c r="AF294" i="3"/>
  <c r="AF322" i="3"/>
  <c r="AF332" i="3" s="1"/>
  <c r="AA317" i="1"/>
  <c r="AA323" i="1"/>
  <c r="AA297" i="1"/>
  <c r="AA172" i="1"/>
  <c r="P566" i="3"/>
  <c r="P648" i="3" s="1"/>
  <c r="P570" i="3"/>
  <c r="P575" i="3" s="1"/>
  <c r="P543" i="3"/>
  <c r="P545" i="3" s="1"/>
  <c r="O85" i="13"/>
  <c r="S344" i="3"/>
  <c r="Q8" i="6"/>
  <c r="S8" i="6" s="1"/>
  <c r="BM8" i="6"/>
  <c r="N33" i="6"/>
  <c r="W331" i="3"/>
  <c r="Z319" i="3"/>
  <c r="Z260" i="3"/>
  <c r="AH155" i="3"/>
  <c r="AF91" i="3"/>
  <c r="Z239" i="11"/>
  <c r="Z240" i="11" s="1"/>
  <c r="AB138" i="3"/>
  <c r="AD138" i="3" s="1"/>
  <c r="AF138" i="3" s="1"/>
  <c r="AH138" i="3" s="1"/>
  <c r="AJ138" i="3" s="1"/>
  <c r="AL138" i="3" s="1"/>
  <c r="AN138" i="3" s="1"/>
  <c r="AK97" i="3"/>
  <c r="AM127" i="3"/>
  <c r="AM97" i="3" s="1"/>
  <c r="O31" i="6"/>
  <c r="X329" i="3"/>
  <c r="AJ127" i="3"/>
  <c r="AH97" i="3"/>
  <c r="AF237" i="3"/>
  <c r="AF252" i="3" s="1"/>
  <c r="AF101" i="3"/>
  <c r="Z38" i="13"/>
  <c r="Z321" i="13" s="1" a="1"/>
  <c r="Z321" i="13" s="1"/>
  <c r="AD226" i="3"/>
  <c r="AD257" i="3" s="1"/>
  <c r="AD308" i="3"/>
  <c r="Y329" i="3"/>
  <c r="AL176" i="3"/>
  <c r="O41" i="6"/>
  <c r="BR41" i="6" s="1"/>
  <c r="BR33" i="6"/>
  <c r="Z96" i="11"/>
  <c r="Z97" i="11" s="1"/>
  <c r="AB136" i="3"/>
  <c r="AD136" i="3" s="1"/>
  <c r="AF136" i="3" s="1"/>
  <c r="AH136" i="3" s="1"/>
  <c r="AJ136" i="3" s="1"/>
  <c r="AL136" i="3" s="1"/>
  <c r="AN136" i="3" s="1"/>
  <c r="AE87" i="3"/>
  <c r="AE235" i="3"/>
  <c r="AE250" i="3" s="1"/>
  <c r="AI125" i="3"/>
  <c r="AG83" i="3"/>
  <c r="Y14" i="13"/>
  <c r="AC306" i="3"/>
  <c r="AC224" i="3"/>
  <c r="AC255" i="3" s="1"/>
  <c r="AK167" i="3"/>
  <c r="AI99" i="3"/>
  <c r="Z11" i="13"/>
  <c r="Z222" i="13" s="1" a="1"/>
  <c r="Z222" i="13" s="1"/>
  <c r="AD235" i="3"/>
  <c r="AD250" i="3" s="1"/>
  <c r="AH125" i="3"/>
  <c r="AF83" i="3"/>
  <c r="W225" i="11"/>
  <c r="W226" i="11" s="1"/>
  <c r="X109" i="3"/>
  <c r="W82" i="11"/>
  <c r="W83" i="11" s="1"/>
  <c r="X107" i="3"/>
  <c r="N570" i="3"/>
  <c r="N575" i="3" s="1"/>
  <c r="N566" i="3"/>
  <c r="N648" i="3" s="1"/>
  <c r="AJ323" i="3"/>
  <c r="AL315" i="3"/>
  <c r="H118" i="3"/>
  <c r="H117" i="3"/>
  <c r="H147" i="3"/>
  <c r="I647" i="3"/>
  <c r="I649" i="3" s="1"/>
  <c r="J4" i="3"/>
  <c r="E120" i="4" s="1"/>
  <c r="I9" i="3" a="1"/>
  <c r="I9" i="3" s="1"/>
  <c r="I6" i="3" a="1"/>
  <c r="I6" i="3" s="1"/>
  <c r="I13" i="3"/>
  <c r="I460" i="3" s="1"/>
  <c r="I7" i="3"/>
  <c r="G243" i="11"/>
  <c r="G244" i="11" s="1"/>
  <c r="G151" i="3"/>
  <c r="G229" i="11"/>
  <c r="G230" i="11" s="1"/>
  <c r="G122" i="3"/>
  <c r="G146" i="11"/>
  <c r="G147" i="11" s="1"/>
  <c r="G150" i="3"/>
  <c r="G100" i="11"/>
  <c r="G101" i="11" s="1"/>
  <c r="G149" i="3"/>
  <c r="N39" i="6"/>
  <c r="BQ39" i="6" s="1"/>
  <c r="BQ31" i="6"/>
  <c r="AI85" i="3"/>
  <c r="AK165" i="3"/>
  <c r="AJ165" i="3"/>
  <c r="AH85" i="3"/>
  <c r="AJ167" i="3"/>
  <c r="AH99" i="3"/>
  <c r="AJ98" i="3"/>
  <c r="AL156" i="3"/>
  <c r="AI217" i="3"/>
  <c r="AI86" i="3"/>
  <c r="AK212" i="3"/>
  <c r="AM176" i="3"/>
  <c r="AM212" i="3" s="1"/>
  <c r="AM219" i="3"/>
  <c r="AM100" i="3"/>
  <c r="AK100" i="3"/>
  <c r="AK219" i="3"/>
  <c r="AK156" i="3"/>
  <c r="AI98" i="3"/>
  <c r="AL154" i="3"/>
  <c r="AJ84" i="3"/>
  <c r="AL214" i="3"/>
  <c r="AN202" i="3"/>
  <c r="AN214" i="3" s="1"/>
  <c r="AJ100" i="3"/>
  <c r="AJ219" i="3"/>
  <c r="AK154" i="3"/>
  <c r="AI84" i="3"/>
  <c r="AI91" i="3"/>
  <c r="AK155" i="3"/>
  <c r="AN93" i="3"/>
  <c r="AN218" i="3"/>
  <c r="AL93" i="3"/>
  <c r="AL218" i="3"/>
  <c r="AL166" i="3"/>
  <c r="AJ92" i="3"/>
  <c r="AM93" i="3"/>
  <c r="AM218" i="3"/>
  <c r="AK218" i="3"/>
  <c r="AK93" i="3"/>
  <c r="AL381" i="1"/>
  <c r="E119" i="4" l="1"/>
  <c r="E108" i="4"/>
  <c r="E118" i="4"/>
  <c r="E158" i="4"/>
  <c r="G543" i="3"/>
  <c r="E139" i="4"/>
  <c r="E147" i="4"/>
  <c r="E109" i="4"/>
  <c r="E132" i="4"/>
  <c r="E111" i="4"/>
  <c r="E137" i="4"/>
  <c r="E102" i="4"/>
  <c r="E138" i="4"/>
  <c r="E131" i="4"/>
  <c r="E144" i="4"/>
  <c r="E110" i="4"/>
  <c r="E128" i="4"/>
  <c r="E122" i="4"/>
  <c r="E107" i="4"/>
  <c r="AI322" i="3"/>
  <c r="AI332" i="3" s="1"/>
  <c r="E146" i="4"/>
  <c r="E145" i="4"/>
  <c r="E129" i="4"/>
  <c r="E136" i="4"/>
  <c r="E117" i="4"/>
  <c r="E121" i="4"/>
  <c r="E154" i="4"/>
  <c r="E202" i="4" s="1"/>
  <c r="E112" i="4"/>
  <c r="I3" i="4"/>
  <c r="Y482" i="3"/>
  <c r="Y485" i="3" s="1"/>
  <c r="Y307" i="11" s="1"/>
  <c r="Y308" i="11" s="1"/>
  <c r="E153" i="4"/>
  <c r="E159" i="4"/>
  <c r="E160" i="4"/>
  <c r="X487" i="3"/>
  <c r="E116" i="4"/>
  <c r="E130" i="4"/>
  <c r="E127" i="4"/>
  <c r="AC262" i="3"/>
  <c r="S89" i="13"/>
  <c r="S511" i="13" s="1" a="1"/>
  <c r="S511" i="13" s="1"/>
  <c r="S103" i="13"/>
  <c r="S560" i="13" s="1" a="1"/>
  <c r="S560" i="13" s="1"/>
  <c r="S562" i="13" s="1"/>
  <c r="N11" i="6"/>
  <c r="BQ11" i="6" s="1"/>
  <c r="W303" i="11"/>
  <c r="W304" i="11" s="1"/>
  <c r="AK290" i="3"/>
  <c r="AK293" i="3" s="1"/>
  <c r="AK294" i="3" s="1"/>
  <c r="AK309" i="3"/>
  <c r="AG226" i="3"/>
  <c r="AG257" i="3" s="1"/>
  <c r="AG321" i="3" s="1"/>
  <c r="AG331" i="3" s="1"/>
  <c r="AM322" i="13"/>
  <c r="K541" i="3"/>
  <c r="AG323" i="1"/>
  <c r="AG297" i="1"/>
  <c r="AG172" i="1"/>
  <c r="AD87" i="3"/>
  <c r="R548" i="3"/>
  <c r="Q543" i="3"/>
  <c r="Q545" i="3" s="1"/>
  <c r="Q648" i="3"/>
  <c r="D125" i="4"/>
  <c r="AI237" i="3"/>
  <c r="AI252" i="3" s="1"/>
  <c r="J545" i="3"/>
  <c r="L271" i="11"/>
  <c r="L272" i="11" s="1"/>
  <c r="H80" i="13"/>
  <c r="L521" i="3"/>
  <c r="L523" i="3" s="1"/>
  <c r="L401" i="3"/>
  <c r="L386" i="3"/>
  <c r="L402" i="3"/>
  <c r="L355" i="3"/>
  <c r="L387" i="3"/>
  <c r="D142" i="4"/>
  <c r="F382" i="1"/>
  <c r="AK166" i="3"/>
  <c r="AI92" i="3"/>
  <c r="AI101" i="3"/>
  <c r="AI226" i="3" s="1"/>
  <c r="AB224" i="3"/>
  <c r="AB255" i="3" s="1"/>
  <c r="AB319" i="3" s="1"/>
  <c r="AB306" i="3"/>
  <c r="AO38" i="13"/>
  <c r="AO321" i="13" s="1" a="1"/>
  <c r="AO321" i="13" s="1"/>
  <c r="AO323" i="13" s="1"/>
  <c r="N83" i="13"/>
  <c r="N487" i="13" s="1" a="1"/>
  <c r="N487" i="13" s="1"/>
  <c r="P488" i="13" s="1"/>
  <c r="I8" i="6"/>
  <c r="BL8" i="6" s="1"/>
  <c r="R283" i="11"/>
  <c r="R284" i="11" s="1"/>
  <c r="Y224" i="13"/>
  <c r="Y223" i="13"/>
  <c r="Y323" i="13"/>
  <c r="Y322" i="13"/>
  <c r="W236" i="13"/>
  <c r="W235" i="13"/>
  <c r="Y376" i="13"/>
  <c r="Y377" i="13"/>
  <c r="L484" i="13"/>
  <c r="L485" i="13"/>
  <c r="I7" i="14"/>
  <c r="I2" i="14" s="1"/>
  <c r="AO11" i="13"/>
  <c r="AO222" i="13" s="1" a="1"/>
  <c r="AO222" i="13" s="1"/>
  <c r="W318" i="13"/>
  <c r="W319" i="13"/>
  <c r="AN14" i="13"/>
  <c r="AN234" i="13" s="1" a="1"/>
  <c r="AN234" i="13" s="1"/>
  <c r="I500" i="13"/>
  <c r="I501" i="13"/>
  <c r="AO377" i="13"/>
  <c r="AO376" i="13"/>
  <c r="S485" i="13"/>
  <c r="S484" i="13"/>
  <c r="AN319" i="13"/>
  <c r="AN318" i="13"/>
  <c r="P489" i="13"/>
  <c r="R488" i="13"/>
  <c r="AG86" i="13"/>
  <c r="AG499" i="13" s="1" a="1"/>
  <c r="AG499" i="13" s="1"/>
  <c r="E201" i="4"/>
  <c r="AG497" i="13"/>
  <c r="AG496" i="13"/>
  <c r="N485" i="13"/>
  <c r="N484" i="13"/>
  <c r="H120" i="3"/>
  <c r="H86" i="11"/>
  <c r="H87" i="11" s="1"/>
  <c r="X236" i="13"/>
  <c r="X235" i="13"/>
  <c r="H150" i="3"/>
  <c r="H146" i="11"/>
  <c r="H147" i="11" s="1"/>
  <c r="K487" i="13" a="1"/>
  <c r="K487" i="13" s="1"/>
  <c r="AN223" i="13"/>
  <c r="AN224" i="13"/>
  <c r="W231" i="13"/>
  <c r="W232" i="13"/>
  <c r="H149" i="3"/>
  <c r="H100" i="11"/>
  <c r="H101" i="11" s="1"/>
  <c r="Y318" i="13"/>
  <c r="X223" i="13"/>
  <c r="X224" i="13"/>
  <c r="AN231" i="13"/>
  <c r="AN232" i="13"/>
  <c r="AM236" i="13"/>
  <c r="AM235" i="13"/>
  <c r="M484" i="13"/>
  <c r="M485" i="13"/>
  <c r="AN377" i="13"/>
  <c r="AN376" i="13"/>
  <c r="AO311" i="13"/>
  <c r="AO310" i="13"/>
  <c r="AI82" i="13"/>
  <c r="AI483" i="13" s="1" a="1"/>
  <c r="AI483" i="13" s="1"/>
  <c r="AJ484" i="13" s="1"/>
  <c r="W322" i="13"/>
  <c r="W323" i="13"/>
  <c r="X376" i="13"/>
  <c r="X377" i="13"/>
  <c r="R501" i="13"/>
  <c r="Z323" i="13"/>
  <c r="Z322" i="13"/>
  <c r="O495" i="13" a="1"/>
  <c r="O495" i="13" s="1"/>
  <c r="AN323" i="13"/>
  <c r="AN322" i="13"/>
  <c r="Z376" i="13"/>
  <c r="AO318" i="13"/>
  <c r="G545" i="3"/>
  <c r="Z224" i="13"/>
  <c r="Z223" i="13"/>
  <c r="Y234" i="13" a="1"/>
  <c r="Y234" i="13" s="1"/>
  <c r="J500" i="13"/>
  <c r="J501" i="13"/>
  <c r="M487" i="13" a="1"/>
  <c r="M487" i="13" s="1"/>
  <c r="S512" i="13"/>
  <c r="S513" i="13"/>
  <c r="AK497" i="13"/>
  <c r="I476" i="13"/>
  <c r="K476" i="13"/>
  <c r="I477" i="13"/>
  <c r="K484" i="13"/>
  <c r="K485" i="13"/>
  <c r="Q501" i="13"/>
  <c r="Q488" i="13"/>
  <c r="O489" i="13"/>
  <c r="L83" i="13"/>
  <c r="L487" i="13" s="1" a="1"/>
  <c r="L487" i="13" s="1"/>
  <c r="P283" i="11"/>
  <c r="P284" i="11" s="1"/>
  <c r="G8" i="6"/>
  <c r="BJ8" i="6" s="1"/>
  <c r="Z230" i="13" a="1"/>
  <c r="Z230" i="13" s="1"/>
  <c r="AO13" i="13"/>
  <c r="AO230" i="13" s="1" a="1"/>
  <c r="AO230" i="13" s="1"/>
  <c r="AG477" i="13"/>
  <c r="AH82" i="13"/>
  <c r="AH483" i="13" s="1" a="1"/>
  <c r="AH483" i="13" s="1"/>
  <c r="AK86" i="13"/>
  <c r="AK499" i="13" s="1" a="1"/>
  <c r="AK499" i="13" s="1"/>
  <c r="AK484" i="13"/>
  <c r="AJ485" i="13"/>
  <c r="AJ83" i="13"/>
  <c r="AJ487" i="13" s="1" a="1"/>
  <c r="AJ487" i="13" s="1"/>
  <c r="P362" i="3"/>
  <c r="P363" i="3" s="1"/>
  <c r="P343" i="3"/>
  <c r="AF217" i="3"/>
  <c r="AF86" i="3"/>
  <c r="AF87" i="3" s="1"/>
  <c r="AA319" i="3"/>
  <c r="AA260" i="3"/>
  <c r="R362" i="3"/>
  <c r="R363" i="3" s="1"/>
  <c r="R343" i="3"/>
  <c r="H462" i="3"/>
  <c r="M543" i="3"/>
  <c r="M545" i="3" s="1"/>
  <c r="AD478" i="3"/>
  <c r="AD479" i="3" s="1"/>
  <c r="AD484" i="3" s="1"/>
  <c r="AF473" i="3"/>
  <c r="AD474" i="3"/>
  <c r="AD483" i="3" s="1"/>
  <c r="K543" i="3"/>
  <c r="K545" i="3" s="1"/>
  <c r="I434" i="3"/>
  <c r="I146" i="3"/>
  <c r="I118" i="3"/>
  <c r="I116" i="3"/>
  <c r="I425" i="3"/>
  <c r="I454" i="3"/>
  <c r="I449" i="3"/>
  <c r="I8" i="3"/>
  <c r="I3" i="3" s="1"/>
  <c r="P85" i="13"/>
  <c r="P495" i="13" s="1" a="1"/>
  <c r="P495" i="13" s="1"/>
  <c r="T344" i="3"/>
  <c r="I543" i="3"/>
  <c r="I545" i="3" s="1"/>
  <c r="AE262" i="3"/>
  <c r="AE321" i="3"/>
  <c r="AE331" i="3" s="1"/>
  <c r="AJ178" i="3"/>
  <c r="AH212" i="3"/>
  <c r="Y487" i="3"/>
  <c r="N545" i="3"/>
  <c r="AA501" i="3"/>
  <c r="AA262" i="3"/>
  <c r="AA321" i="3"/>
  <c r="AA331" i="3" s="1"/>
  <c r="N537" i="3"/>
  <c r="N538" i="3" s="1"/>
  <c r="AN166" i="3"/>
  <c r="AN92" i="3" s="1"/>
  <c r="AL92" i="3"/>
  <c r="AK91" i="3"/>
  <c r="AM155" i="3"/>
  <c r="AM91" i="3" s="1"/>
  <c r="AM154" i="3"/>
  <c r="AM84" i="3" s="1"/>
  <c r="AK84" i="3"/>
  <c r="AN100" i="3"/>
  <c r="AN219" i="3"/>
  <c r="AL219" i="3"/>
  <c r="AL100" i="3"/>
  <c r="AN154" i="3"/>
  <c r="AN84" i="3" s="1"/>
  <c r="AL84" i="3"/>
  <c r="AK98" i="3"/>
  <c r="AM156" i="3"/>
  <c r="AM98" i="3" s="1"/>
  <c r="AM217" i="3"/>
  <c r="AM86" i="3"/>
  <c r="AK217" i="3"/>
  <c r="AK86" i="3"/>
  <c r="AL98" i="3"/>
  <c r="AN156" i="3"/>
  <c r="AN98" i="3" s="1"/>
  <c r="AJ99" i="3"/>
  <c r="AL167" i="3"/>
  <c r="AJ85" i="3"/>
  <c r="AL165" i="3"/>
  <c r="AK85" i="3"/>
  <c r="AM165" i="3"/>
  <c r="AM85" i="3" s="1"/>
  <c r="I77" i="15"/>
  <c r="I76" i="15"/>
  <c r="I145" i="3"/>
  <c r="I147" i="3"/>
  <c r="I117" i="3"/>
  <c r="J647" i="3"/>
  <c r="J649" i="3" s="1"/>
  <c r="J9" i="3" a="1"/>
  <c r="J9" i="3" s="1"/>
  <c r="J6" i="3" a="1"/>
  <c r="J6" i="3" s="1"/>
  <c r="K4" i="3"/>
  <c r="J13" i="3"/>
  <c r="J7" i="3"/>
  <c r="H243" i="11"/>
  <c r="H244" i="11" s="1"/>
  <c r="H151" i="3"/>
  <c r="H132" i="11"/>
  <c r="H133" i="11" s="1"/>
  <c r="H121" i="3"/>
  <c r="H229" i="11"/>
  <c r="H230" i="11" s="1"/>
  <c r="H122" i="3"/>
  <c r="AM309" i="3"/>
  <c r="AM290" i="3"/>
  <c r="AM293" i="3" s="1"/>
  <c r="AL323" i="3"/>
  <c r="AN315" i="3"/>
  <c r="AN323" i="3" s="1"/>
  <c r="X82" i="11"/>
  <c r="X83" i="11" s="1"/>
  <c r="Y107" i="3"/>
  <c r="X225" i="11"/>
  <c r="X226" i="11" s="1"/>
  <c r="Y109" i="3"/>
  <c r="AB260" i="3"/>
  <c r="AF235" i="3"/>
  <c r="AF250" i="3" s="1"/>
  <c r="AJ125" i="3"/>
  <c r="AH83" i="3"/>
  <c r="Z14" i="13"/>
  <c r="Z234" i="13" s="1" a="1"/>
  <c r="Z234" i="13" s="1"/>
  <c r="AD306" i="3"/>
  <c r="AD224" i="3"/>
  <c r="AD255" i="3" s="1"/>
  <c r="AM167" i="3"/>
  <c r="AM99" i="3" s="1"/>
  <c r="AK99" i="3"/>
  <c r="AC319" i="3"/>
  <c r="AC260" i="3"/>
  <c r="AG235" i="3"/>
  <c r="AG250" i="3" s="1"/>
  <c r="AG87" i="3"/>
  <c r="AK125" i="3"/>
  <c r="AI83" i="3"/>
  <c r="AE306" i="3"/>
  <c r="AE224" i="3"/>
  <c r="AE255" i="3" s="1"/>
  <c r="AN176" i="3"/>
  <c r="AD321" i="3"/>
  <c r="AD331" i="3" s="1"/>
  <c r="AD262" i="3"/>
  <c r="AF226" i="3"/>
  <c r="AF257" i="3" s="1"/>
  <c r="AF308" i="3"/>
  <c r="AH101" i="3"/>
  <c r="AH237" i="3"/>
  <c r="AH252" i="3" s="1"/>
  <c r="AL127" i="3"/>
  <c r="AJ97" i="3"/>
  <c r="O39" i="6"/>
  <c r="BR39" i="6" s="1"/>
  <c r="BR31" i="6"/>
  <c r="AH91" i="3"/>
  <c r="AJ155" i="3"/>
  <c r="Z329" i="3"/>
  <c r="N41" i="6"/>
  <c r="BQ41" i="6" s="1"/>
  <c r="BQ33" i="6"/>
  <c r="O86" i="13"/>
  <c r="S291" i="11"/>
  <c r="S292" i="11" s="1"/>
  <c r="S534" i="3"/>
  <c r="S537" i="3" s="1"/>
  <c r="S538" i="3" s="1"/>
  <c r="S345" i="3"/>
  <c r="AA298" i="1"/>
  <c r="AA176" i="1"/>
  <c r="AA299" i="1" s="1"/>
  <c r="AL287" i="3"/>
  <c r="AJ290" i="3"/>
  <c r="AJ293" i="3" s="1"/>
  <c r="AJ309" i="3"/>
  <c r="AH294" i="3"/>
  <c r="AH322" i="3"/>
  <c r="AH332" i="3" s="1"/>
  <c r="AC603" i="3"/>
  <c r="AD410" i="3"/>
  <c r="K85" i="13"/>
  <c r="O344" i="3"/>
  <c r="AG474" i="3"/>
  <c r="AG483" i="3" s="1"/>
  <c r="AG478" i="3"/>
  <c r="AG479" i="3" s="1"/>
  <c r="AG484" i="3" s="1"/>
  <c r="AI473" i="3"/>
  <c r="AD608" i="3"/>
  <c r="AB609" i="3"/>
  <c r="AC409" i="3"/>
  <c r="AH298" i="1"/>
  <c r="AH176" i="1"/>
  <c r="AH299" i="1" s="1"/>
  <c r="AA610" i="3"/>
  <c r="AA613" i="3" s="1"/>
  <c r="AB411" i="3"/>
  <c r="AE323" i="3"/>
  <c r="AG315" i="3"/>
  <c r="U298" i="1"/>
  <c r="U176" i="1"/>
  <c r="U299" i="1" s="1"/>
  <c r="AB298" i="1"/>
  <c r="AB176" i="1"/>
  <c r="AB299" i="1" s="1"/>
  <c r="W298" i="1"/>
  <c r="W176" i="1"/>
  <c r="W299" i="1" s="1"/>
  <c r="R566" i="3"/>
  <c r="R648" i="3" s="1"/>
  <c r="R570" i="3"/>
  <c r="R575" i="3" s="1"/>
  <c r="R543" i="3"/>
  <c r="R545" i="3" s="1"/>
  <c r="M85" i="13"/>
  <c r="Q344" i="3"/>
  <c r="AA602" i="3"/>
  <c r="AA413" i="3"/>
  <c r="AA418" i="3" s="1"/>
  <c r="AA502" i="3"/>
  <c r="AB408" i="3"/>
  <c r="AA416" i="3"/>
  <c r="Z419" i="3"/>
  <c r="Z417" i="3"/>
  <c r="Z565" i="3" s="1"/>
  <c r="AC617" i="3"/>
  <c r="AC176" i="1"/>
  <c r="AC299" i="1" s="1"/>
  <c r="AC298" i="1"/>
  <c r="Z298" i="1"/>
  <c r="Z176" i="1"/>
  <c r="Z299" i="1" s="1"/>
  <c r="AG298" i="1"/>
  <c r="AG176" i="1"/>
  <c r="AG299" i="1" s="1"/>
  <c r="AF298" i="1"/>
  <c r="AF176" i="1"/>
  <c r="AF299" i="1" s="1"/>
  <c r="AE298" i="1"/>
  <c r="AE176" i="1"/>
  <c r="AE299" i="1" s="1"/>
  <c r="Y298" i="1"/>
  <c r="Y176" i="1"/>
  <c r="Y299" i="1" s="1"/>
  <c r="X298" i="1"/>
  <c r="X176" i="1"/>
  <c r="X299" i="1" s="1"/>
  <c r="AD298" i="1"/>
  <c r="AD176" i="1"/>
  <c r="AD299" i="1" s="1"/>
  <c r="T298" i="1"/>
  <c r="T176" i="1"/>
  <c r="T299" i="1" s="1"/>
  <c r="J2" i="4"/>
  <c r="M567" i="13"/>
  <c r="M518" i="13"/>
  <c r="M469" i="13"/>
  <c r="M423" i="13"/>
  <c r="M386" i="13"/>
  <c r="M336" i="13"/>
  <c r="M361" i="13"/>
  <c r="M307" i="13"/>
  <c r="M249" i="13"/>
  <c r="M220" i="13"/>
  <c r="M278" i="13"/>
  <c r="N6" i="13"/>
  <c r="AK567" i="13"/>
  <c r="AK518" i="13"/>
  <c r="AK469" i="13"/>
  <c r="AK423" i="13"/>
  <c r="AK336" i="13"/>
  <c r="AK361" i="13"/>
  <c r="AK386" i="13"/>
  <c r="AK278" i="13"/>
  <c r="AK307" i="13"/>
  <c r="AK249" i="13"/>
  <c r="AK220" i="13"/>
  <c r="AL6" i="13"/>
  <c r="K3" i="14"/>
  <c r="J8" i="14" a="1"/>
  <c r="J8" i="14" s="1"/>
  <c r="J5" i="14" a="1"/>
  <c r="J5" i="14" s="1"/>
  <c r="J6" i="14"/>
  <c r="AL382" i="1"/>
  <c r="Z482" i="3" l="1"/>
  <c r="Z485" i="3" s="1"/>
  <c r="Z307" i="11" s="1"/>
  <c r="Z308" i="11" s="1"/>
  <c r="AG262" i="3"/>
  <c r="J3" i="4"/>
  <c r="AK322" i="3"/>
  <c r="AK332" i="3" s="1"/>
  <c r="S561" i="13"/>
  <c r="AI83" i="13"/>
  <c r="AI487" i="13" s="1" a="1"/>
  <c r="AI487" i="13" s="1"/>
  <c r="AJ488" i="13" s="1"/>
  <c r="D151" i="4"/>
  <c r="AI257" i="3"/>
  <c r="AI262" i="3" s="1"/>
  <c r="AI308" i="3"/>
  <c r="AO322" i="13"/>
  <c r="L541" i="3"/>
  <c r="L543" i="3" s="1"/>
  <c r="L545" i="3" s="1"/>
  <c r="L527" i="3"/>
  <c r="L533" i="3" s="1"/>
  <c r="L537" i="3" s="1"/>
  <c r="L538" i="3" s="1"/>
  <c r="H475" i="13" a="1"/>
  <c r="H475" i="13" s="1"/>
  <c r="AF80" i="13"/>
  <c r="AF475" i="13" s="1" a="1"/>
  <c r="AF475" i="13" s="1"/>
  <c r="AK237" i="3"/>
  <c r="AK252" i="3" s="1"/>
  <c r="AK92" i="3"/>
  <c r="AM166" i="3"/>
  <c r="AM92" i="3" s="1"/>
  <c r="AM101" i="3"/>
  <c r="AM308" i="3" s="1"/>
  <c r="AJ85" i="13"/>
  <c r="AJ495" i="13" s="1" a="1"/>
  <c r="AJ495" i="13" s="1"/>
  <c r="AK496" i="13" s="1"/>
  <c r="E124" i="4"/>
  <c r="I150" i="3"/>
  <c r="I146" i="11"/>
  <c r="I147" i="11" s="1"/>
  <c r="E114" i="4"/>
  <c r="E149" i="4"/>
  <c r="Z232" i="13"/>
  <c r="Z231" i="13"/>
  <c r="AH485" i="13"/>
  <c r="AH484" i="13"/>
  <c r="I122" i="3"/>
  <c r="I229" i="11"/>
  <c r="I230" i="11" s="1"/>
  <c r="M489" i="13"/>
  <c r="M488" i="13"/>
  <c r="O497" i="13"/>
  <c r="Q496" i="13"/>
  <c r="AJ489" i="13"/>
  <c r="AK488" i="13"/>
  <c r="G383" i="1"/>
  <c r="N489" i="13"/>
  <c r="N488" i="13"/>
  <c r="Y235" i="13"/>
  <c r="Y236" i="13"/>
  <c r="M495" i="13" a="1"/>
  <c r="M495" i="13" s="1"/>
  <c r="O496" i="13" s="1"/>
  <c r="AK101" i="3"/>
  <c r="AK308" i="3" s="1"/>
  <c r="AO14" i="13"/>
  <c r="AO234" i="13" s="1" a="1"/>
  <c r="AO234" i="13" s="1"/>
  <c r="E183" i="4"/>
  <c r="AO224" i="13"/>
  <c r="AO223" i="13"/>
  <c r="Z235" i="13"/>
  <c r="Z236" i="13"/>
  <c r="P86" i="13"/>
  <c r="P499" i="13" s="1" a="1"/>
  <c r="P499" i="13" s="1"/>
  <c r="T291" i="11"/>
  <c r="T292" i="11" s="1"/>
  <c r="AM237" i="3"/>
  <c r="AM252" i="3" s="1"/>
  <c r="P497" i="13"/>
  <c r="R496" i="13"/>
  <c r="L488" i="13"/>
  <c r="L489" i="13"/>
  <c r="E134" i="4"/>
  <c r="G381" i="1"/>
  <c r="AN236" i="13"/>
  <c r="AN235" i="13"/>
  <c r="K489" i="13"/>
  <c r="K488" i="13"/>
  <c r="AG500" i="13"/>
  <c r="AG501" i="13"/>
  <c r="O499" i="13" a="1"/>
  <c r="O499" i="13" s="1"/>
  <c r="O488" i="13"/>
  <c r="AI485" i="13"/>
  <c r="AI484" i="13"/>
  <c r="AH83" i="13"/>
  <c r="AH487" i="13" s="1" a="1"/>
  <c r="AH487" i="13" s="1"/>
  <c r="E195" i="4"/>
  <c r="F101" i="4"/>
  <c r="AK501" i="13"/>
  <c r="E141" i="4"/>
  <c r="G382" i="1"/>
  <c r="J7" i="14"/>
  <c r="J2" i="14" s="1"/>
  <c r="K495" i="13" a="1"/>
  <c r="K495" i="13" s="1"/>
  <c r="I120" i="3"/>
  <c r="I86" i="11"/>
  <c r="I87" i="11" s="1"/>
  <c r="AO231" i="13"/>
  <c r="AO232" i="13"/>
  <c r="I462" i="3"/>
  <c r="N85" i="13"/>
  <c r="N495" i="13" s="1" a="1"/>
  <c r="N495" i="13" s="1"/>
  <c r="R344" i="3"/>
  <c r="AA482" i="3"/>
  <c r="AA485" i="3" s="1"/>
  <c r="Z487" i="3"/>
  <c r="AB501" i="3"/>
  <c r="AA329" i="3"/>
  <c r="AH217" i="3"/>
  <c r="AH86" i="3"/>
  <c r="AH87" i="3" s="1"/>
  <c r="AL178" i="3"/>
  <c r="AJ212" i="3"/>
  <c r="J145" i="3"/>
  <c r="J146" i="3"/>
  <c r="J116" i="3"/>
  <c r="J434" i="3"/>
  <c r="J454" i="3"/>
  <c r="J425" i="3"/>
  <c r="J449" i="3"/>
  <c r="J460" i="3"/>
  <c r="J8" i="3"/>
  <c r="J3" i="3" s="1"/>
  <c r="L85" i="13"/>
  <c r="L495" i="13" s="1" a="1"/>
  <c r="L495" i="13" s="1"/>
  <c r="P344" i="3"/>
  <c r="T534" i="3"/>
  <c r="T537" i="3" s="1"/>
  <c r="T538" i="3" s="1"/>
  <c r="T345" i="3"/>
  <c r="AH473" i="3"/>
  <c r="AF478" i="3"/>
  <c r="AF479" i="3" s="1"/>
  <c r="AF484" i="3" s="1"/>
  <c r="AF474" i="3"/>
  <c r="AF483" i="3" s="1"/>
  <c r="K8" i="14" a="1"/>
  <c r="K8" i="14" s="1"/>
  <c r="L3" i="14"/>
  <c r="K5" i="14" a="1"/>
  <c r="K5" i="14" s="1"/>
  <c r="K6" i="14"/>
  <c r="AL567" i="13"/>
  <c r="AL469" i="13"/>
  <c r="AL518" i="13"/>
  <c r="AL423" i="13"/>
  <c r="AL386" i="13"/>
  <c r="AL361" i="13"/>
  <c r="AL336" i="13"/>
  <c r="AL278" i="13"/>
  <c r="AL307" i="13"/>
  <c r="AL249" i="13"/>
  <c r="AL220" i="13"/>
  <c r="AM6" i="13"/>
  <c r="N567" i="13"/>
  <c r="N518" i="13"/>
  <c r="N469" i="13"/>
  <c r="N423" i="13"/>
  <c r="N386" i="13"/>
  <c r="N336" i="13"/>
  <c r="N361" i="13"/>
  <c r="N307" i="13"/>
  <c r="N249" i="13"/>
  <c r="N278" i="13"/>
  <c r="N220" i="13"/>
  <c r="O6" i="13"/>
  <c r="K2" i="4"/>
  <c r="AD617" i="3"/>
  <c r="AB602" i="3"/>
  <c r="AC408" i="3"/>
  <c r="AB413" i="3"/>
  <c r="AB418" i="3" s="1"/>
  <c r="AB502" i="3"/>
  <c r="AB416" i="3"/>
  <c r="AA417" i="3"/>
  <c r="AA565" i="3" s="1"/>
  <c r="AA419" i="3"/>
  <c r="M86" i="13"/>
  <c r="Q291" i="11"/>
  <c r="Q292" i="11" s="1"/>
  <c r="Q534" i="3"/>
  <c r="Q537" i="3" s="1"/>
  <c r="Q538" i="3" s="1"/>
  <c r="Q345" i="3"/>
  <c r="AG323" i="3"/>
  <c r="AI315" i="3"/>
  <c r="AB610" i="3"/>
  <c r="AB613" i="3" s="1"/>
  <c r="AC411" i="3"/>
  <c r="AC609" i="3"/>
  <c r="AD409" i="3"/>
  <c r="AE608" i="3"/>
  <c r="AI478" i="3"/>
  <c r="AI479" i="3" s="1"/>
  <c r="AI484" i="3" s="1"/>
  <c r="AI474" i="3"/>
  <c r="AI483" i="3" s="1"/>
  <c r="AK473" i="3"/>
  <c r="K86" i="13"/>
  <c r="O291" i="11"/>
  <c r="O292" i="11" s="1"/>
  <c r="O534" i="3"/>
  <c r="O537" i="3" s="1"/>
  <c r="O538" i="3" s="1"/>
  <c r="O345" i="3"/>
  <c r="AD603" i="3"/>
  <c r="AE410" i="3"/>
  <c r="AN287" i="3"/>
  <c r="AL290" i="3"/>
  <c r="AL293" i="3" s="1"/>
  <c r="AL309" i="3"/>
  <c r="AJ294" i="3"/>
  <c r="AJ322" i="3"/>
  <c r="AJ332" i="3" s="1"/>
  <c r="AJ91" i="3"/>
  <c r="AL155" i="3"/>
  <c r="AJ237" i="3"/>
  <c r="AJ252" i="3" s="1"/>
  <c r="AJ101" i="3"/>
  <c r="AL97" i="3"/>
  <c r="AN127" i="3"/>
  <c r="AN97" i="3" s="1"/>
  <c r="AH226" i="3"/>
  <c r="AH257" i="3" s="1"/>
  <c r="AH308" i="3"/>
  <c r="AF321" i="3"/>
  <c r="AF331" i="3" s="1"/>
  <c r="AF262" i="3"/>
  <c r="AE319" i="3"/>
  <c r="AE260" i="3"/>
  <c r="AI235" i="3"/>
  <c r="AI250" i="3" s="1"/>
  <c r="AI87" i="3"/>
  <c r="AK83" i="3"/>
  <c r="AM125" i="3"/>
  <c r="AM83" i="3" s="1"/>
  <c r="AG306" i="3"/>
  <c r="AG224" i="3"/>
  <c r="AG255" i="3" s="1"/>
  <c r="AC329" i="3"/>
  <c r="AD319" i="3"/>
  <c r="AD260" i="3"/>
  <c r="AH235" i="3"/>
  <c r="AH250" i="3" s="1"/>
  <c r="AL125" i="3"/>
  <c r="AJ83" i="3"/>
  <c r="AF224" i="3"/>
  <c r="AF255" i="3" s="1"/>
  <c r="AF306" i="3"/>
  <c r="AB329" i="3"/>
  <c r="Y225" i="11"/>
  <c r="Y226" i="11" s="1"/>
  <c r="Z109" i="3"/>
  <c r="Y82" i="11"/>
  <c r="Y83" i="11" s="1"/>
  <c r="Z107" i="3"/>
  <c r="AM294" i="3"/>
  <c r="AM322" i="3"/>
  <c r="AM332" i="3" s="1"/>
  <c r="J147" i="3"/>
  <c r="J118" i="3"/>
  <c r="J117" i="3"/>
  <c r="K647" i="3"/>
  <c r="K649" i="3" s="1"/>
  <c r="K13" i="3"/>
  <c r="L4" i="3"/>
  <c r="F144" i="4" s="1"/>
  <c r="K7" i="3"/>
  <c r="K9" i="3" a="1"/>
  <c r="K9" i="3" s="1"/>
  <c r="K6" i="3" a="1"/>
  <c r="K6" i="3" s="1"/>
  <c r="I132" i="11"/>
  <c r="I133" i="11" s="1"/>
  <c r="I121" i="3"/>
  <c r="I243" i="11"/>
  <c r="I244" i="11" s="1"/>
  <c r="I151" i="3"/>
  <c r="I100" i="11"/>
  <c r="I101" i="11" s="1"/>
  <c r="I149" i="3"/>
  <c r="AL85" i="3"/>
  <c r="AN165" i="3"/>
  <c r="AN85" i="3" s="1"/>
  <c r="AN167" i="3"/>
  <c r="AN99" i="3" s="1"/>
  <c r="AL99" i="3"/>
  <c r="AM383" i="1"/>
  <c r="AM381" i="1"/>
  <c r="AM382" i="1"/>
  <c r="F121" i="4" l="1"/>
  <c r="F137" i="4"/>
  <c r="F145" i="4"/>
  <c r="F117" i="4"/>
  <c r="F109" i="4"/>
  <c r="AI321" i="3"/>
  <c r="AI331" i="3" s="1"/>
  <c r="AI489" i="13"/>
  <c r="F154" i="4"/>
  <c r="F112" i="4"/>
  <c r="F136" i="4"/>
  <c r="F138" i="4"/>
  <c r="F108" i="4"/>
  <c r="F127" i="4"/>
  <c r="F158" i="4"/>
  <c r="F159" i="4"/>
  <c r="F128" i="4"/>
  <c r="F131" i="4"/>
  <c r="F119" i="4"/>
  <c r="F139" i="4"/>
  <c r="F118" i="4"/>
  <c r="K3" i="4"/>
  <c r="F160" i="4"/>
  <c r="F107" i="4"/>
  <c r="F153" i="4"/>
  <c r="F146" i="4"/>
  <c r="F132" i="4"/>
  <c r="F147" i="4"/>
  <c r="F120" i="4"/>
  <c r="F116" i="4"/>
  <c r="F102" i="4"/>
  <c r="F111" i="4"/>
  <c r="F130" i="4"/>
  <c r="AK226" i="3"/>
  <c r="F122" i="4"/>
  <c r="F129" i="4"/>
  <c r="AJ86" i="13"/>
  <c r="AJ499" i="13" s="1" a="1"/>
  <c r="AJ499" i="13" s="1"/>
  <c r="AJ501" i="13" s="1"/>
  <c r="AM226" i="3"/>
  <c r="AM257" i="3" s="1"/>
  <c r="AM321" i="3" s="1"/>
  <c r="AM331" i="3" s="1"/>
  <c r="AK257" i="3"/>
  <c r="AK321" i="3" s="1"/>
  <c r="AK331" i="3" s="1"/>
  <c r="AF477" i="13"/>
  <c r="AG476" i="13"/>
  <c r="H477" i="13"/>
  <c r="J476" i="13"/>
  <c r="E142" i="4"/>
  <c r="AJ497" i="13"/>
  <c r="K8" i="3"/>
  <c r="K3" i="3" s="1"/>
  <c r="AH85" i="13"/>
  <c r="AH495" i="13" s="1" a="1"/>
  <c r="AH495" i="13" s="1"/>
  <c r="AH496" i="13" s="1"/>
  <c r="AI85" i="13"/>
  <c r="AI495" i="13" s="1" a="1"/>
  <c r="AI495" i="13" s="1"/>
  <c r="AJ496" i="13" s="1"/>
  <c r="K496" i="13"/>
  <c r="K497" i="13"/>
  <c r="AH488" i="13"/>
  <c r="AH489" i="13"/>
  <c r="L497" i="13"/>
  <c r="L496" i="13"/>
  <c r="AI488" i="13"/>
  <c r="O501" i="13"/>
  <c r="Q500" i="13"/>
  <c r="N86" i="13"/>
  <c r="N499" i="13" s="1" a="1"/>
  <c r="N499" i="13" s="1"/>
  <c r="R291" i="11"/>
  <c r="R292" i="11" s="1"/>
  <c r="N497" i="13"/>
  <c r="N496" i="13"/>
  <c r="P501" i="13"/>
  <c r="R500" i="13"/>
  <c r="F202" i="4"/>
  <c r="M499" i="13" a="1"/>
  <c r="M499" i="13" s="1"/>
  <c r="AO235" i="13"/>
  <c r="AO236" i="13"/>
  <c r="F201" i="4"/>
  <c r="K7" i="14"/>
  <c r="K2" i="14" s="1"/>
  <c r="J120" i="3"/>
  <c r="J86" i="11"/>
  <c r="J87" i="11" s="1"/>
  <c r="J150" i="3"/>
  <c r="J146" i="11"/>
  <c r="J147" i="11" s="1"/>
  <c r="E125" i="4"/>
  <c r="J149" i="3"/>
  <c r="J100" i="11"/>
  <c r="J101" i="11" s="1"/>
  <c r="K499" i="13" a="1"/>
  <c r="K499" i="13" s="1"/>
  <c r="P496" i="13"/>
  <c r="L86" i="13"/>
  <c r="L499" i="13" s="1" a="1"/>
  <c r="L499" i="13" s="1"/>
  <c r="P291" i="11"/>
  <c r="P292" i="11" s="1"/>
  <c r="M496" i="13"/>
  <c r="M497" i="13"/>
  <c r="AN178" i="3"/>
  <c r="AN212" i="3" s="1"/>
  <c r="AL212" i="3"/>
  <c r="P345" i="3"/>
  <c r="P534" i="3"/>
  <c r="P537" i="3" s="1"/>
  <c r="P538" i="3" s="1"/>
  <c r="AH474" i="3"/>
  <c r="AH483" i="3" s="1"/>
  <c r="AJ473" i="3"/>
  <c r="AH478" i="3"/>
  <c r="AH479" i="3" s="1"/>
  <c r="AH484" i="3" s="1"/>
  <c r="AJ217" i="3"/>
  <c r="AJ86" i="3"/>
  <c r="AJ87" i="3" s="1"/>
  <c r="AB482" i="3"/>
  <c r="AB485" i="3" s="1"/>
  <c r="AA487" i="3"/>
  <c r="J462" i="3"/>
  <c r="R534" i="3"/>
  <c r="R537" i="3" s="1"/>
  <c r="R538" i="3" s="1"/>
  <c r="R345" i="3"/>
  <c r="AC501" i="3"/>
  <c r="K425" i="3"/>
  <c r="K145" i="3"/>
  <c r="K434" i="3"/>
  <c r="K454" i="3"/>
  <c r="K449" i="3"/>
  <c r="K460" i="3"/>
  <c r="L647" i="3"/>
  <c r="L649" i="3" s="1"/>
  <c r="M4" i="3"/>
  <c r="L13" i="3"/>
  <c r="L9" i="3" a="1"/>
  <c r="L9" i="3" s="1"/>
  <c r="L7" i="3"/>
  <c r="L6" i="3" a="1"/>
  <c r="L6" i="3" s="1"/>
  <c r="K118" i="3"/>
  <c r="K116" i="3"/>
  <c r="K147" i="3"/>
  <c r="K146" i="3"/>
  <c r="K117" i="3"/>
  <c r="J132" i="11"/>
  <c r="J133" i="11" s="1"/>
  <c r="J121" i="3"/>
  <c r="J229" i="11"/>
  <c r="J230" i="11" s="1"/>
  <c r="J122" i="3"/>
  <c r="J243" i="11"/>
  <c r="J244" i="11" s="1"/>
  <c r="J151" i="3"/>
  <c r="Z82" i="11"/>
  <c r="Z83" i="11" s="1"/>
  <c r="AA107" i="3"/>
  <c r="AB107" i="3" s="1"/>
  <c r="AC107" i="3" s="1"/>
  <c r="AD107" i="3" s="1"/>
  <c r="AE107" i="3" s="1"/>
  <c r="AF107" i="3" s="1"/>
  <c r="AG107" i="3" s="1"/>
  <c r="AH107" i="3" s="1"/>
  <c r="AI107" i="3" s="1"/>
  <c r="AJ107" i="3" s="1"/>
  <c r="AK107" i="3" s="1"/>
  <c r="AL107" i="3" s="1"/>
  <c r="AM107" i="3" s="1"/>
  <c r="AN107" i="3" s="1"/>
  <c r="Z225" i="11"/>
  <c r="Z226" i="11" s="1"/>
  <c r="AA109" i="3"/>
  <c r="AB109" i="3" s="1"/>
  <c r="AC109" i="3" s="1"/>
  <c r="AD109" i="3" s="1"/>
  <c r="AE109" i="3" s="1"/>
  <c r="AF109" i="3" s="1"/>
  <c r="AG109" i="3" s="1"/>
  <c r="AH109" i="3" s="1"/>
  <c r="AI109" i="3" s="1"/>
  <c r="AJ109" i="3" s="1"/>
  <c r="AK109" i="3" s="1"/>
  <c r="AL109" i="3" s="1"/>
  <c r="AM109" i="3" s="1"/>
  <c r="AN109" i="3" s="1"/>
  <c r="AF319" i="3"/>
  <c r="AF260" i="3"/>
  <c r="AJ235" i="3"/>
  <c r="AJ250" i="3" s="1"/>
  <c r="AL83" i="3"/>
  <c r="AN125" i="3"/>
  <c r="AN83" i="3" s="1"/>
  <c r="AH224" i="3"/>
  <c r="AH255" i="3" s="1"/>
  <c r="AH306" i="3"/>
  <c r="AD329" i="3"/>
  <c r="AG319" i="3"/>
  <c r="AG260" i="3"/>
  <c r="AM235" i="3"/>
  <c r="AM250" i="3" s="1"/>
  <c r="AM87" i="3"/>
  <c r="AK235" i="3"/>
  <c r="AK250" i="3" s="1"/>
  <c r="AK87" i="3"/>
  <c r="AI306" i="3"/>
  <c r="AI224" i="3"/>
  <c r="AI255" i="3" s="1"/>
  <c r="AE329" i="3"/>
  <c r="AH321" i="3"/>
  <c r="AH331" i="3" s="1"/>
  <c r="AH262" i="3"/>
  <c r="AN237" i="3"/>
  <c r="AN252" i="3" s="1"/>
  <c r="AN101" i="3"/>
  <c r="AL101" i="3"/>
  <c r="AL237" i="3"/>
  <c r="AL252" i="3" s="1"/>
  <c r="AJ226" i="3"/>
  <c r="AJ257" i="3" s="1"/>
  <c r="AJ308" i="3"/>
  <c r="AK262" i="3"/>
  <c r="AL91" i="3"/>
  <c r="AN155" i="3"/>
  <c r="AN91" i="3" s="1"/>
  <c r="AN290" i="3"/>
  <c r="AN293" i="3" s="1"/>
  <c r="AN309" i="3"/>
  <c r="AL294" i="3"/>
  <c r="AL322" i="3"/>
  <c r="AL332" i="3" s="1"/>
  <c r="AF410" i="3"/>
  <c r="AE603" i="3"/>
  <c r="AK478" i="3"/>
  <c r="AK479" i="3" s="1"/>
  <c r="AK484" i="3" s="1"/>
  <c r="AM473" i="3"/>
  <c r="AK474" i="3"/>
  <c r="AK483" i="3" s="1"/>
  <c r="AF608" i="3"/>
  <c r="AD609" i="3"/>
  <c r="AE409" i="3"/>
  <c r="AC610" i="3"/>
  <c r="AC613" i="3" s="1"/>
  <c r="AD411" i="3"/>
  <c r="AI323" i="3"/>
  <c r="AK315" i="3"/>
  <c r="AB417" i="3"/>
  <c r="AB565" i="3" s="1"/>
  <c r="AB419" i="3"/>
  <c r="AC416" i="3"/>
  <c r="AC602" i="3"/>
  <c r="AC413" i="3"/>
  <c r="AC418" i="3" s="1"/>
  <c r="AC502" i="3"/>
  <c r="AD408" i="3"/>
  <c r="AE617" i="3"/>
  <c r="L2" i="4"/>
  <c r="O567" i="13"/>
  <c r="O518" i="13"/>
  <c r="O469" i="13"/>
  <c r="O423" i="13"/>
  <c r="O386" i="13"/>
  <c r="O336" i="13"/>
  <c r="O361" i="13"/>
  <c r="O278" i="13"/>
  <c r="O307" i="13"/>
  <c r="O249" i="13"/>
  <c r="O220" i="13"/>
  <c r="P6" i="13"/>
  <c r="AM567" i="13"/>
  <c r="AM518" i="13"/>
  <c r="AM469" i="13"/>
  <c r="AM423" i="13"/>
  <c r="AM386" i="13"/>
  <c r="AM361" i="13"/>
  <c r="AM336" i="13"/>
  <c r="AM278" i="13"/>
  <c r="AM307" i="13"/>
  <c r="AM249" i="13"/>
  <c r="AM220" i="13"/>
  <c r="AN6" i="13"/>
  <c r="M3" i="14"/>
  <c r="L5" i="14" a="1"/>
  <c r="L5" i="14" s="1"/>
  <c r="L8" i="14" a="1"/>
  <c r="L8" i="14" s="1"/>
  <c r="L6" i="14"/>
  <c r="AK500" i="13" l="1"/>
  <c r="L3" i="4"/>
  <c r="AH497" i="13"/>
  <c r="AI496" i="13"/>
  <c r="AI497" i="13"/>
  <c r="AM262" i="3"/>
  <c r="AI86" i="13"/>
  <c r="AI499" i="13" s="1" a="1"/>
  <c r="AI499" i="13" s="1"/>
  <c r="AJ500" i="13" s="1"/>
  <c r="F183" i="4"/>
  <c r="N500" i="13"/>
  <c r="N501" i="13"/>
  <c r="F149" i="4"/>
  <c r="F155" i="4" s="1"/>
  <c r="L7" i="14"/>
  <c r="L2" i="14" s="1"/>
  <c r="F124" i="4"/>
  <c r="M500" i="13"/>
  <c r="M501" i="13"/>
  <c r="K500" i="13"/>
  <c r="K501" i="13"/>
  <c r="F134" i="4"/>
  <c r="AH86" i="13"/>
  <c r="AH499" i="13" s="1" a="1"/>
  <c r="AH499" i="13" s="1"/>
  <c r="P500" i="13"/>
  <c r="L500" i="13"/>
  <c r="L501" i="13"/>
  <c r="K149" i="3"/>
  <c r="K100" i="11"/>
  <c r="K101" i="11" s="1"/>
  <c r="E151" i="4"/>
  <c r="F195" i="4"/>
  <c r="G101" i="4"/>
  <c r="F141" i="4"/>
  <c r="O500" i="13"/>
  <c r="AC482" i="3"/>
  <c r="AC485" i="3" s="1"/>
  <c r="AB487" i="3"/>
  <c r="K462" i="3"/>
  <c r="AJ474" i="3"/>
  <c r="AJ483" i="3" s="1"/>
  <c r="AL473" i="3"/>
  <c r="AJ478" i="3"/>
  <c r="AJ479" i="3" s="1"/>
  <c r="AJ484" i="3" s="1"/>
  <c r="L8" i="3"/>
  <c r="L3" i="3" s="1"/>
  <c r="AD501" i="3"/>
  <c r="L146" i="3"/>
  <c r="L145" i="3"/>
  <c r="L116" i="3"/>
  <c r="L454" i="3"/>
  <c r="L117" i="3"/>
  <c r="L434" i="3"/>
  <c r="L425" i="3"/>
  <c r="L449" i="3"/>
  <c r="L460" i="3"/>
  <c r="AL86" i="3"/>
  <c r="AL87" i="3" s="1"/>
  <c r="AL217" i="3"/>
  <c r="AN86" i="3"/>
  <c r="AN87" i="3" s="1"/>
  <c r="AN217" i="3"/>
  <c r="M5" i="14" a="1"/>
  <c r="M5" i="14" s="1"/>
  <c r="M6" i="14"/>
  <c r="M8" i="14" a="1"/>
  <c r="M8" i="14" s="1"/>
  <c r="N3" i="14"/>
  <c r="AN567" i="13"/>
  <c r="AN469" i="13"/>
  <c r="AN518" i="13"/>
  <c r="AN423" i="13"/>
  <c r="AN386" i="13"/>
  <c r="AN361" i="13"/>
  <c r="AN278" i="13"/>
  <c r="AN307" i="13"/>
  <c r="AN336" i="13"/>
  <c r="AN249" i="13"/>
  <c r="AN220" i="13"/>
  <c r="AO6" i="13"/>
  <c r="P567" i="13"/>
  <c r="P518" i="13"/>
  <c r="P469" i="13"/>
  <c r="P423" i="13"/>
  <c r="P336" i="13"/>
  <c r="P361" i="13"/>
  <c r="P386" i="13"/>
  <c r="P278" i="13"/>
  <c r="P307" i="13"/>
  <c r="P249" i="13"/>
  <c r="P220" i="13"/>
  <c r="Q6" i="13"/>
  <c r="M2" i="4"/>
  <c r="AF617" i="3"/>
  <c r="AD602" i="3"/>
  <c r="AD413" i="3"/>
  <c r="AD418" i="3" s="1"/>
  <c r="AE408" i="3"/>
  <c r="AD502" i="3"/>
  <c r="AC419" i="3"/>
  <c r="AD416" i="3"/>
  <c r="AC417" i="3"/>
  <c r="AC565" i="3" s="1"/>
  <c r="AK323" i="3"/>
  <c r="AM315" i="3"/>
  <c r="AM323" i="3" s="1"/>
  <c r="AE411" i="3"/>
  <c r="AD610" i="3"/>
  <c r="AD613" i="3" s="1"/>
  <c r="AE609" i="3"/>
  <c r="AF409" i="3"/>
  <c r="AG608" i="3"/>
  <c r="AM474" i="3"/>
  <c r="AM483" i="3" s="1"/>
  <c r="AM478" i="3"/>
  <c r="AM479" i="3" s="1"/>
  <c r="AM484" i="3" s="1"/>
  <c r="AG410" i="3"/>
  <c r="AF603" i="3"/>
  <c r="AN322" i="3"/>
  <c r="AN332" i="3" s="1"/>
  <c r="AN294" i="3"/>
  <c r="AJ321" i="3"/>
  <c r="AJ331" i="3" s="1"/>
  <c r="AJ262" i="3"/>
  <c r="AL308" i="3"/>
  <c r="AL226" i="3"/>
  <c r="AL257" i="3" s="1"/>
  <c r="AN226" i="3"/>
  <c r="AN257" i="3" s="1"/>
  <c r="AN308" i="3"/>
  <c r="AI319" i="3"/>
  <c r="AI260" i="3"/>
  <c r="AK224" i="3"/>
  <c r="AK255" i="3" s="1"/>
  <c r="AK306" i="3"/>
  <c r="AM224" i="3"/>
  <c r="AM255" i="3" s="1"/>
  <c r="AM306" i="3"/>
  <c r="AG329" i="3"/>
  <c r="AH319" i="3"/>
  <c r="AH260" i="3"/>
  <c r="AN235" i="3"/>
  <c r="AN250" i="3" s="1"/>
  <c r="AL235" i="3"/>
  <c r="AL250" i="3" s="1"/>
  <c r="AJ224" i="3"/>
  <c r="AJ255" i="3" s="1"/>
  <c r="AJ306" i="3"/>
  <c r="AF329" i="3"/>
  <c r="K132" i="11"/>
  <c r="K133" i="11" s="1"/>
  <c r="K121" i="3"/>
  <c r="K146" i="11"/>
  <c r="K147" i="11" s="1"/>
  <c r="K150" i="3"/>
  <c r="K243" i="11"/>
  <c r="K244" i="11" s="1"/>
  <c r="K151" i="3"/>
  <c r="K86" i="11"/>
  <c r="K87" i="11" s="1"/>
  <c r="K120" i="3"/>
  <c r="K229" i="11"/>
  <c r="K230" i="11" s="1"/>
  <c r="K122" i="3"/>
  <c r="L118" i="3"/>
  <c r="L147" i="3"/>
  <c r="M647" i="3"/>
  <c r="M649" i="3" s="1"/>
  <c r="M13" i="3"/>
  <c r="M9" i="3" a="1"/>
  <c r="M9" i="3" s="1"/>
  <c r="N4" i="3"/>
  <c r="G146" i="4" s="1"/>
  <c r="M6" i="3" a="1"/>
  <c r="M6" i="3" s="1"/>
  <c r="M7" i="3"/>
  <c r="G145" i="4" l="1"/>
  <c r="G122" i="4"/>
  <c r="G137" i="4"/>
  <c r="G159" i="4"/>
  <c r="G110" i="4"/>
  <c r="G136" i="4"/>
  <c r="G120" i="4"/>
  <c r="M3" i="4"/>
  <c r="G153" i="4"/>
  <c r="G112" i="4"/>
  <c r="G121" i="4"/>
  <c r="G116" i="4"/>
  <c r="G147" i="4"/>
  <c r="G129" i="4"/>
  <c r="G111" i="4"/>
  <c r="G117" i="4"/>
  <c r="G102" i="4"/>
  <c r="G131" i="4"/>
  <c r="G130" i="4"/>
  <c r="G118" i="4"/>
  <c r="I191" i="1" s="1"/>
  <c r="G132" i="4"/>
  <c r="AI501" i="13"/>
  <c r="F142" i="4"/>
  <c r="H382" i="1"/>
  <c r="G201" i="4"/>
  <c r="AH501" i="13"/>
  <c r="AH500" i="13"/>
  <c r="H381" i="1"/>
  <c r="L121" i="3"/>
  <c r="L132" i="11"/>
  <c r="L133" i="11" s="1"/>
  <c r="AI500" i="13"/>
  <c r="L120" i="3"/>
  <c r="L86" i="11"/>
  <c r="L87" i="11" s="1"/>
  <c r="L149" i="3"/>
  <c r="L100" i="11"/>
  <c r="L101" i="11" s="1"/>
  <c r="L150" i="3"/>
  <c r="L146" i="11"/>
  <c r="L147" i="11" s="1"/>
  <c r="H383" i="1"/>
  <c r="M7" i="14"/>
  <c r="M2" i="14" s="1"/>
  <c r="I224" i="1"/>
  <c r="AL474" i="3"/>
  <c r="AL483" i="3" s="1"/>
  <c r="AN473" i="3"/>
  <c r="AL478" i="3"/>
  <c r="AL479" i="3" s="1"/>
  <c r="AL484" i="3" s="1"/>
  <c r="M8" i="3"/>
  <c r="M3" i="3" s="1"/>
  <c r="M118" i="3"/>
  <c r="M434" i="3"/>
  <c r="M145" i="3"/>
  <c r="M146" i="3"/>
  <c r="M425" i="3"/>
  <c r="M449" i="3"/>
  <c r="M454" i="3"/>
  <c r="M460" i="3"/>
  <c r="AE501" i="3"/>
  <c r="AC487" i="3"/>
  <c r="AD482" i="3"/>
  <c r="AD485" i="3" s="1"/>
  <c r="L462" i="3"/>
  <c r="N647" i="3"/>
  <c r="N649" i="3" s="1"/>
  <c r="N6" i="3" a="1"/>
  <c r="N6" i="3" s="1"/>
  <c r="N9" i="3" a="1"/>
  <c r="N9" i="3" s="1"/>
  <c r="O4" i="3"/>
  <c r="N13" i="3"/>
  <c r="N7" i="3"/>
  <c r="M117" i="3"/>
  <c r="M147" i="3"/>
  <c r="M116" i="3"/>
  <c r="L243" i="11"/>
  <c r="L244" i="11" s="1"/>
  <c r="L151" i="3"/>
  <c r="L229" i="11"/>
  <c r="L230" i="11" s="1"/>
  <c r="L122" i="3"/>
  <c r="AJ319" i="3"/>
  <c r="AJ260" i="3"/>
  <c r="AL224" i="3"/>
  <c r="AL255" i="3" s="1"/>
  <c r="AL306" i="3"/>
  <c r="AN224" i="3"/>
  <c r="AN255" i="3" s="1"/>
  <c r="AN306" i="3"/>
  <c r="AH329" i="3"/>
  <c r="AM319" i="3"/>
  <c r="AM260" i="3"/>
  <c r="AK319" i="3"/>
  <c r="AK260" i="3"/>
  <c r="AI329" i="3"/>
  <c r="AN321" i="3"/>
  <c r="AN331" i="3" s="1"/>
  <c r="AN262" i="3"/>
  <c r="AL321" i="3"/>
  <c r="AL331" i="3" s="1"/>
  <c r="AL262" i="3"/>
  <c r="AG603" i="3"/>
  <c r="AH410" i="3"/>
  <c r="AH608" i="3"/>
  <c r="AG409" i="3"/>
  <c r="AF609" i="3"/>
  <c r="AF411" i="3"/>
  <c r="AE610" i="3"/>
  <c r="AE613" i="3" s="1"/>
  <c r="AE602" i="3"/>
  <c r="AE413" i="3"/>
  <c r="AE418" i="3" s="1"/>
  <c r="AE502" i="3"/>
  <c r="AF408" i="3"/>
  <c r="AE416" i="3"/>
  <c r="AD419" i="3"/>
  <c r="AD417" i="3"/>
  <c r="AD565" i="3" s="1"/>
  <c r="AG617" i="3"/>
  <c r="N2" i="4"/>
  <c r="Q567" i="13"/>
  <c r="Q518" i="13"/>
  <c r="Q469" i="13"/>
  <c r="Q423" i="13"/>
  <c r="Q386" i="13"/>
  <c r="Q361" i="13"/>
  <c r="Q278" i="13"/>
  <c r="Q336" i="13"/>
  <c r="Q307" i="13"/>
  <c r="Q249" i="13"/>
  <c r="Q220" i="13"/>
  <c r="R6" i="13"/>
  <c r="AO567" i="13"/>
  <c r="AO518" i="13"/>
  <c r="AO469" i="13"/>
  <c r="AO423" i="13"/>
  <c r="AO361" i="13"/>
  <c r="AO278" i="13"/>
  <c r="AO307" i="13"/>
  <c r="AO386" i="13"/>
  <c r="AO336" i="13"/>
  <c r="AO249" i="13"/>
  <c r="AO220" i="13"/>
  <c r="N5" i="14" a="1"/>
  <c r="N5" i="14" s="1"/>
  <c r="N6" i="14"/>
  <c r="O3" i="14"/>
  <c r="N8" i="14" a="1"/>
  <c r="N8" i="14" s="1"/>
  <c r="AO191" i="1"/>
  <c r="AO224" i="1"/>
  <c r="AN383" i="1"/>
  <c r="AN381" i="1"/>
  <c r="AN382" i="1"/>
  <c r="N3" i="4" l="1"/>
  <c r="N7" i="14"/>
  <c r="N2" i="14" s="1"/>
  <c r="N8" i="3"/>
  <c r="N3" i="3" s="1"/>
  <c r="M150" i="3"/>
  <c r="M146" i="11"/>
  <c r="M147" i="11" s="1"/>
  <c r="M149" i="3"/>
  <c r="M100" i="11"/>
  <c r="M101" i="11" s="1"/>
  <c r="M122" i="3"/>
  <c r="M229" i="11"/>
  <c r="M230" i="11" s="1"/>
  <c r="I214" i="1"/>
  <c r="N146" i="3"/>
  <c r="N145" i="3"/>
  <c r="N434" i="3"/>
  <c r="N449" i="3"/>
  <c r="N425" i="3"/>
  <c r="N454" i="3"/>
  <c r="N460" i="3"/>
  <c r="AF501" i="3"/>
  <c r="AE482" i="3"/>
  <c r="AE485" i="3" s="1"/>
  <c r="AD487" i="3"/>
  <c r="AN474" i="3"/>
  <c r="AN483" i="3" s="1"/>
  <c r="AN478" i="3"/>
  <c r="AN479" i="3" s="1"/>
  <c r="AN484" i="3" s="1"/>
  <c r="M462" i="3"/>
  <c r="O5" i="14" a="1"/>
  <c r="O5" i="14" s="1"/>
  <c r="O6" i="14"/>
  <c r="O8" i="14" a="1"/>
  <c r="O8" i="14" s="1"/>
  <c r="P3" i="14"/>
  <c r="R567" i="13"/>
  <c r="R518" i="13"/>
  <c r="R469" i="13"/>
  <c r="R423" i="13"/>
  <c r="R386" i="13"/>
  <c r="R361" i="13"/>
  <c r="R278" i="13"/>
  <c r="R336" i="13"/>
  <c r="R307" i="13"/>
  <c r="R249" i="13"/>
  <c r="R220" i="13"/>
  <c r="S6" i="13"/>
  <c r="O2" i="4"/>
  <c r="AH617" i="3"/>
  <c r="AF502" i="3"/>
  <c r="AG408" i="3"/>
  <c r="AF602" i="3"/>
  <c r="AF413" i="3"/>
  <c r="AF418" i="3" s="1"/>
  <c r="AE419" i="3"/>
  <c r="AE417" i="3"/>
  <c r="AE565" i="3" s="1"/>
  <c r="AF416" i="3"/>
  <c r="AG411" i="3"/>
  <c r="AF610" i="3"/>
  <c r="AF613" i="3" s="1"/>
  <c r="AG609" i="3"/>
  <c r="AH409" i="3"/>
  <c r="AI608" i="3"/>
  <c r="AH603" i="3"/>
  <c r="AI410" i="3"/>
  <c r="AK329" i="3"/>
  <c r="AM329" i="3"/>
  <c r="AN319" i="3"/>
  <c r="AN260" i="3"/>
  <c r="AL319" i="3"/>
  <c r="AL260" i="3"/>
  <c r="AJ329" i="3"/>
  <c r="M86" i="11"/>
  <c r="M87" i="11" s="1"/>
  <c r="M120" i="3"/>
  <c r="M243" i="11"/>
  <c r="M244" i="11" s="1"/>
  <c r="M151" i="3"/>
  <c r="M132" i="11"/>
  <c r="M133" i="11" s="1"/>
  <c r="M121" i="3"/>
  <c r="N118" i="3"/>
  <c r="N147" i="3"/>
  <c r="N117" i="3"/>
  <c r="N116" i="3"/>
  <c r="O647" i="3"/>
  <c r="O649" i="3" s="1"/>
  <c r="O7" i="3"/>
  <c r="P4" i="3"/>
  <c r="H118" i="4" s="1"/>
  <c r="O6" i="3" a="1"/>
  <c r="O6" i="3" s="1"/>
  <c r="O13" i="3"/>
  <c r="O9" i="3" a="1"/>
  <c r="O9" i="3" s="1"/>
  <c r="AO281" i="1"/>
  <c r="AO214" i="1"/>
  <c r="H136" i="4" l="1"/>
  <c r="P2" i="4"/>
  <c r="O3" i="4"/>
  <c r="Q2" i="4"/>
  <c r="O8" i="3"/>
  <c r="O3" i="3" s="1"/>
  <c r="N149" i="3"/>
  <c r="N100" i="11"/>
  <c r="N101" i="11" s="1"/>
  <c r="N150" i="3"/>
  <c r="N146" i="11"/>
  <c r="N147" i="11" s="1"/>
  <c r="O7" i="14"/>
  <c r="O2" i="14" s="1"/>
  <c r="J214" i="1"/>
  <c r="N462" i="3"/>
  <c r="AF482" i="3"/>
  <c r="AF485" i="3" s="1"/>
  <c r="AE487" i="3"/>
  <c r="O449" i="3"/>
  <c r="O118" i="3"/>
  <c r="O434" i="3"/>
  <c r="O145" i="3"/>
  <c r="O425" i="3"/>
  <c r="AG501" i="3"/>
  <c r="O460" i="3"/>
  <c r="O454" i="3"/>
  <c r="O116" i="3"/>
  <c r="O147" i="3"/>
  <c r="O146" i="3"/>
  <c r="O117" i="3"/>
  <c r="P647" i="3"/>
  <c r="P649" i="3" s="1"/>
  <c r="P7" i="3"/>
  <c r="Q4" i="3"/>
  <c r="P9" i="3" a="1"/>
  <c r="P9" i="3" s="1"/>
  <c r="P6" i="3" a="1"/>
  <c r="P6" i="3" s="1"/>
  <c r="P13" i="3"/>
  <c r="N86" i="11"/>
  <c r="N87" i="11" s="1"/>
  <c r="N120" i="3"/>
  <c r="N132" i="11"/>
  <c r="N133" i="11" s="1"/>
  <c r="N121" i="3"/>
  <c r="N243" i="11"/>
  <c r="N244" i="11" s="1"/>
  <c r="N151" i="3"/>
  <c r="N229" i="11"/>
  <c r="N230" i="11" s="1"/>
  <c r="N122" i="3"/>
  <c r="AL329" i="3"/>
  <c r="AN329" i="3"/>
  <c r="AI603" i="3"/>
  <c r="AJ410" i="3"/>
  <c r="AJ608" i="3"/>
  <c r="AH609" i="3"/>
  <c r="AI409" i="3"/>
  <c r="AG610" i="3"/>
  <c r="AG613" i="3" s="1"/>
  <c r="AH411" i="3"/>
  <c r="AF419" i="3"/>
  <c r="AF417" i="3"/>
  <c r="AF565" i="3" s="1"/>
  <c r="AG416" i="3"/>
  <c r="AG602" i="3"/>
  <c r="AG502" i="3"/>
  <c r="AG413" i="3"/>
  <c r="AG418" i="3" s="1"/>
  <c r="AH408" i="3"/>
  <c r="AI617" i="3"/>
  <c r="S567" i="13"/>
  <c r="S518" i="13"/>
  <c r="S469" i="13"/>
  <c r="S423" i="13"/>
  <c r="S386" i="13"/>
  <c r="S361" i="13"/>
  <c r="S278" i="13"/>
  <c r="S336" i="13"/>
  <c r="S307" i="13"/>
  <c r="S249" i="13"/>
  <c r="S220" i="13"/>
  <c r="T6" i="13"/>
  <c r="P8" i="14" a="1"/>
  <c r="P8" i="14" s="1"/>
  <c r="P6" i="14"/>
  <c r="Q3" i="14"/>
  <c r="P5" i="14" a="1"/>
  <c r="P5" i="14" s="1"/>
  <c r="AP214" i="1"/>
  <c r="P3" i="4" l="1"/>
  <c r="R2" i="4"/>
  <c r="P7" i="14"/>
  <c r="P2" i="14" s="1"/>
  <c r="O122" i="3"/>
  <c r="O229" i="11"/>
  <c r="O230" i="11" s="1"/>
  <c r="O462" i="3"/>
  <c r="O149" i="3"/>
  <c r="O100" i="11"/>
  <c r="O101" i="11" s="1"/>
  <c r="AH501" i="3"/>
  <c r="P434" i="3"/>
  <c r="P454" i="3"/>
  <c r="P147" i="3"/>
  <c r="P118" i="3"/>
  <c r="P449" i="3"/>
  <c r="P146" i="3"/>
  <c r="P460" i="3"/>
  <c r="P117" i="3"/>
  <c r="P116" i="3"/>
  <c r="P145" i="3"/>
  <c r="P425" i="3"/>
  <c r="P8" i="3"/>
  <c r="P3" i="3" s="1"/>
  <c r="AF487" i="3"/>
  <c r="AG482" i="3"/>
  <c r="AG485" i="3" s="1"/>
  <c r="Q8" i="14" a="1"/>
  <c r="Q8" i="14" s="1"/>
  <c r="Q6" i="14"/>
  <c r="R3" i="14"/>
  <c r="Q5" i="14" a="1"/>
  <c r="Q5" i="14" s="1"/>
  <c r="T567" i="13"/>
  <c r="T518" i="13"/>
  <c r="T469" i="13"/>
  <c r="T423" i="13"/>
  <c r="T361" i="13"/>
  <c r="T386" i="13"/>
  <c r="T278" i="13"/>
  <c r="T336" i="13"/>
  <c r="T307" i="13"/>
  <c r="T249" i="13"/>
  <c r="T220" i="13"/>
  <c r="U6" i="13"/>
  <c r="AJ617" i="3"/>
  <c r="AH602" i="3"/>
  <c r="AH413" i="3"/>
  <c r="AH418" i="3" s="1"/>
  <c r="AH502" i="3"/>
  <c r="AI408" i="3"/>
  <c r="AG419" i="3"/>
  <c r="AH416" i="3"/>
  <c r="AG417" i="3"/>
  <c r="AG565" i="3" s="1"/>
  <c r="AH610" i="3"/>
  <c r="AH613" i="3" s="1"/>
  <c r="AI411" i="3"/>
  <c r="AI609" i="3"/>
  <c r="AJ409" i="3"/>
  <c r="AK608" i="3"/>
  <c r="AJ603" i="3"/>
  <c r="AK410" i="3"/>
  <c r="Q647" i="3"/>
  <c r="Q649" i="3" s="1"/>
  <c r="Q6" i="3" a="1"/>
  <c r="Q6" i="3" s="1"/>
  <c r="Q9" i="3" a="1"/>
  <c r="Q9" i="3" s="1"/>
  <c r="R4" i="3"/>
  <c r="Q13" i="3"/>
  <c r="Q7" i="3"/>
  <c r="O132" i="11"/>
  <c r="O133" i="11" s="1"/>
  <c r="O121" i="3"/>
  <c r="O146" i="11"/>
  <c r="O147" i="11" s="1"/>
  <c r="O150" i="3"/>
  <c r="O243" i="11"/>
  <c r="O244" i="11" s="1"/>
  <c r="O151" i="3"/>
  <c r="O86" i="11"/>
  <c r="O87" i="11" s="1"/>
  <c r="O120" i="3"/>
  <c r="Q3" i="4" l="1"/>
  <c r="S2" i="4"/>
  <c r="P121" i="3"/>
  <c r="P132" i="11"/>
  <c r="P133" i="11" s="1"/>
  <c r="P150" i="3"/>
  <c r="P146" i="11"/>
  <c r="P147" i="11" s="1"/>
  <c r="P122" i="3"/>
  <c r="P229" i="11"/>
  <c r="P230" i="11" s="1"/>
  <c r="P151" i="3"/>
  <c r="P243" i="11"/>
  <c r="P244" i="11" s="1"/>
  <c r="Q7" i="14"/>
  <c r="Q2" i="14" s="1"/>
  <c r="P149" i="3"/>
  <c r="P100" i="11"/>
  <c r="P101" i="11" s="1"/>
  <c r="P120" i="3"/>
  <c r="P86" i="11"/>
  <c r="P87" i="11" s="1"/>
  <c r="P462" i="3"/>
  <c r="Q147" i="3"/>
  <c r="Q146" i="3"/>
  <c r="Q118" i="3"/>
  <c r="Q454" i="3"/>
  <c r="Q460" i="3"/>
  <c r="Q449" i="3"/>
  <c r="Q425" i="3"/>
  <c r="Q434" i="3"/>
  <c r="AG487" i="3"/>
  <c r="AH482" i="3"/>
  <c r="AH485" i="3" s="1"/>
  <c r="Q8" i="3"/>
  <c r="Q3" i="3" s="1"/>
  <c r="AI501" i="3"/>
  <c r="Q145" i="3"/>
  <c r="Q117" i="3"/>
  <c r="Q116" i="3"/>
  <c r="R647" i="3"/>
  <c r="R649" i="3" s="1"/>
  <c r="R9" i="3" a="1"/>
  <c r="R9" i="3" s="1"/>
  <c r="R6" i="3" a="1"/>
  <c r="R6" i="3" s="1"/>
  <c r="S4" i="3"/>
  <c r="R13" i="3"/>
  <c r="R7" i="3"/>
  <c r="AK603" i="3"/>
  <c r="AL410" i="3"/>
  <c r="AL608" i="3"/>
  <c r="AJ609" i="3"/>
  <c r="AK409" i="3"/>
  <c r="AI610" i="3"/>
  <c r="AI613" i="3" s="1"/>
  <c r="AJ411" i="3"/>
  <c r="AI602" i="3"/>
  <c r="AI502" i="3"/>
  <c r="AI413" i="3"/>
  <c r="AI418" i="3" s="1"/>
  <c r="AJ408" i="3"/>
  <c r="AH419" i="3"/>
  <c r="AI416" i="3"/>
  <c r="AH417" i="3"/>
  <c r="AH565" i="3" s="1"/>
  <c r="AK617" i="3"/>
  <c r="U567" i="13"/>
  <c r="U518" i="13"/>
  <c r="U469" i="13"/>
  <c r="U423" i="13"/>
  <c r="U386" i="13"/>
  <c r="U361" i="13"/>
  <c r="U278" i="13"/>
  <c r="U336" i="13"/>
  <c r="U307" i="13"/>
  <c r="U249" i="13"/>
  <c r="U220" i="13"/>
  <c r="V6" i="13"/>
  <c r="R8" i="14" a="1"/>
  <c r="R8" i="14" s="1"/>
  <c r="R6" i="14"/>
  <c r="S3" i="14"/>
  <c r="R5" i="14" a="1"/>
  <c r="R5" i="14" s="1"/>
  <c r="R3" i="4" l="1"/>
  <c r="R7" i="14"/>
  <c r="R2" i="14" s="1"/>
  <c r="Q462" i="3"/>
  <c r="Q150" i="3"/>
  <c r="Q146" i="11"/>
  <c r="Q147" i="11" s="1"/>
  <c r="Q122" i="3"/>
  <c r="Q229" i="11"/>
  <c r="Q230" i="11" s="1"/>
  <c r="Q151" i="3"/>
  <c r="Q243" i="11"/>
  <c r="Q244" i="11" s="1"/>
  <c r="R8" i="3"/>
  <c r="R3" i="3" s="1"/>
  <c r="AI482" i="3"/>
  <c r="AI485" i="3" s="1"/>
  <c r="AH487" i="3"/>
  <c r="R454" i="3"/>
  <c r="R146" i="3"/>
  <c r="R147" i="3"/>
  <c r="R434" i="3"/>
  <c r="R117" i="3"/>
  <c r="R460" i="3"/>
  <c r="R118" i="3"/>
  <c r="R116" i="3"/>
  <c r="R145" i="3"/>
  <c r="R449" i="3"/>
  <c r="R425" i="3"/>
  <c r="AJ501" i="3"/>
  <c r="S8" i="14" a="1"/>
  <c r="S8" i="14" s="1"/>
  <c r="S6" i="14"/>
  <c r="S5" i="14" a="1"/>
  <c r="S5" i="14" s="1"/>
  <c r="T3" i="14"/>
  <c r="V567" i="13"/>
  <c r="V518" i="13"/>
  <c r="V469" i="13"/>
  <c r="V423" i="13"/>
  <c r="V386" i="13"/>
  <c r="V278" i="13"/>
  <c r="V336" i="13"/>
  <c r="V307" i="13"/>
  <c r="V361" i="13"/>
  <c r="V249" i="13"/>
  <c r="V220" i="13"/>
  <c r="W6" i="13"/>
  <c r="AL617" i="3"/>
  <c r="AJ602" i="3"/>
  <c r="AJ502" i="3"/>
  <c r="AK408" i="3"/>
  <c r="AJ413" i="3"/>
  <c r="AJ418" i="3" s="1"/>
  <c r="AI417" i="3"/>
  <c r="AI565" i="3" s="1"/>
  <c r="AJ416" i="3"/>
  <c r="AI419" i="3"/>
  <c r="AK411" i="3"/>
  <c r="AJ610" i="3"/>
  <c r="AJ613" i="3" s="1"/>
  <c r="AK609" i="3"/>
  <c r="AL409" i="3"/>
  <c r="AM608" i="3"/>
  <c r="AL603" i="3"/>
  <c r="AM410" i="3"/>
  <c r="S647" i="3"/>
  <c r="S649" i="3" s="1"/>
  <c r="T4" i="3"/>
  <c r="S13" i="3"/>
  <c r="S7" i="3"/>
  <c r="S6" i="3" a="1"/>
  <c r="S6" i="3" s="1"/>
  <c r="S9" i="3" a="1"/>
  <c r="S9" i="3" s="1"/>
  <c r="Q86" i="11"/>
  <c r="Q87" i="11" s="1"/>
  <c r="Q120" i="3"/>
  <c r="Q132" i="11"/>
  <c r="Q133" i="11" s="1"/>
  <c r="Q121" i="3"/>
  <c r="Q100" i="11"/>
  <c r="Q101" i="11" s="1"/>
  <c r="Q149" i="3"/>
  <c r="S3" i="4" l="1"/>
  <c r="S8" i="3"/>
  <c r="S3" i="3" s="1"/>
  <c r="R149" i="3"/>
  <c r="R100" i="11"/>
  <c r="R101" i="11" s="1"/>
  <c r="R122" i="3"/>
  <c r="R229" i="11"/>
  <c r="R230" i="11" s="1"/>
  <c r="R151" i="3"/>
  <c r="R243" i="11"/>
  <c r="R244" i="11" s="1"/>
  <c r="R150" i="3"/>
  <c r="R146" i="11"/>
  <c r="R147" i="11" s="1"/>
  <c r="R120" i="3"/>
  <c r="R86" i="11"/>
  <c r="R87" i="11" s="1"/>
  <c r="R121" i="3"/>
  <c r="R132" i="11"/>
  <c r="R133" i="11" s="1"/>
  <c r="S7" i="14"/>
  <c r="S2" i="14" s="1"/>
  <c r="R462" i="3"/>
  <c r="AK501" i="3"/>
  <c r="AJ482" i="3"/>
  <c r="AJ485" i="3" s="1"/>
  <c r="AI487" i="3"/>
  <c r="S145" i="3"/>
  <c r="S117" i="3"/>
  <c r="S146" i="3"/>
  <c r="S460" i="3"/>
  <c r="S147" i="3"/>
  <c r="S116" i="3"/>
  <c r="S118" i="3"/>
  <c r="S425" i="3"/>
  <c r="S434" i="3"/>
  <c r="S454" i="3"/>
  <c r="S449" i="3"/>
  <c r="S496" i="3"/>
  <c r="T647" i="3"/>
  <c r="T649" i="3" s="1"/>
  <c r="T13" i="3"/>
  <c r="U4" i="3"/>
  <c r="T7" i="3"/>
  <c r="T9" i="3" a="1"/>
  <c r="T9" i="3" s="1"/>
  <c r="T6" i="3" a="1"/>
  <c r="T6" i="3" s="1"/>
  <c r="T8" i="3" s="1"/>
  <c r="T3" i="3" s="1"/>
  <c r="AM603" i="3"/>
  <c r="AN410" i="3"/>
  <c r="AN608" i="3"/>
  <c r="AL609" i="3"/>
  <c r="AM409" i="3"/>
  <c r="AK610" i="3"/>
  <c r="AK613" i="3" s="1"/>
  <c r="AL411" i="3"/>
  <c r="AJ417" i="3"/>
  <c r="AJ565" i="3" s="1"/>
  <c r="AK416" i="3"/>
  <c r="AJ419" i="3"/>
  <c r="AK602" i="3"/>
  <c r="AL408" i="3"/>
  <c r="AK413" i="3"/>
  <c r="AK418" i="3" s="1"/>
  <c r="AK502" i="3"/>
  <c r="AM617" i="3"/>
  <c r="W567" i="13"/>
  <c r="W518" i="13"/>
  <c r="W469" i="13"/>
  <c r="W423" i="13"/>
  <c r="W386" i="13"/>
  <c r="W336" i="13"/>
  <c r="W361" i="13"/>
  <c r="W307" i="13"/>
  <c r="W278" i="13"/>
  <c r="W220" i="13"/>
  <c r="W249" i="13"/>
  <c r="X6" i="13"/>
  <c r="T6" i="14"/>
  <c r="T5" i="14" a="1"/>
  <c r="T5" i="14" s="1"/>
  <c r="U3" i="14"/>
  <c r="T8" i="14" a="1"/>
  <c r="T8" i="14" s="1"/>
  <c r="T7" i="14" l="1"/>
  <c r="T2" i="14" s="1"/>
  <c r="S120" i="3"/>
  <c r="S86" i="11"/>
  <c r="S87" i="11" s="1"/>
  <c r="S122" i="3"/>
  <c r="S229" i="11"/>
  <c r="S230" i="11" s="1"/>
  <c r="S150" i="3"/>
  <c r="S146" i="11"/>
  <c r="S147" i="11" s="1"/>
  <c r="S121" i="3"/>
  <c r="S132" i="11"/>
  <c r="S133" i="11" s="1"/>
  <c r="S151" i="3"/>
  <c r="S243" i="11"/>
  <c r="S244" i="11" s="1"/>
  <c r="S149" i="3"/>
  <c r="S100" i="11"/>
  <c r="S101" i="11" s="1"/>
  <c r="T425" i="3"/>
  <c r="T147" i="3"/>
  <c r="T116" i="3"/>
  <c r="T117" i="3"/>
  <c r="T145" i="3"/>
  <c r="T146" i="3"/>
  <c r="T449" i="3"/>
  <c r="T454" i="3"/>
  <c r="T460" i="3"/>
  <c r="T434" i="3"/>
  <c r="S462" i="3"/>
  <c r="AJ487" i="3"/>
  <c r="AK482" i="3"/>
  <c r="AK485" i="3" s="1"/>
  <c r="AL501" i="3"/>
  <c r="U6" i="14"/>
  <c r="U5" i="14" a="1"/>
  <c r="U5" i="14" s="1"/>
  <c r="U7" i="14" s="1"/>
  <c r="U2" i="14" s="1"/>
  <c r="V3" i="14"/>
  <c r="U8" i="14" a="1"/>
  <c r="U8" i="14" s="1"/>
  <c r="X567" i="13"/>
  <c r="X518" i="13"/>
  <c r="X469" i="13"/>
  <c r="X423" i="13"/>
  <c r="X386" i="13"/>
  <c r="X336" i="13"/>
  <c r="X361" i="13"/>
  <c r="X307" i="13"/>
  <c r="X278" i="13"/>
  <c r="X249" i="13"/>
  <c r="X220" i="13"/>
  <c r="Y6" i="13"/>
  <c r="AN617" i="3"/>
  <c r="AK419" i="3"/>
  <c r="AK417" i="3"/>
  <c r="AK565" i="3" s="1"/>
  <c r="AL416" i="3"/>
  <c r="AL602" i="3"/>
  <c r="AM408" i="3"/>
  <c r="AL413" i="3"/>
  <c r="AL418" i="3" s="1"/>
  <c r="AL502" i="3"/>
  <c r="AL610" i="3"/>
  <c r="AL613" i="3" s="1"/>
  <c r="AM411" i="3"/>
  <c r="AM609" i="3"/>
  <c r="AN409" i="3"/>
  <c r="AN609" i="3" s="1"/>
  <c r="AN603" i="3"/>
  <c r="U647" i="3"/>
  <c r="U649" i="3" s="1"/>
  <c r="U13" i="3"/>
  <c r="U7" i="3"/>
  <c r="U6" i="3" a="1"/>
  <c r="U6" i="3" s="1"/>
  <c r="U9" i="3" a="1"/>
  <c r="U9" i="3" s="1"/>
  <c r="V4" i="3"/>
  <c r="T496" i="3"/>
  <c r="T118" i="3"/>
  <c r="T150" i="3" l="1"/>
  <c r="T146" i="11"/>
  <c r="T147" i="11" s="1"/>
  <c r="T149" i="3"/>
  <c r="T100" i="11"/>
  <c r="T101" i="11" s="1"/>
  <c r="T151" i="3"/>
  <c r="T243" i="11"/>
  <c r="T244" i="11" s="1"/>
  <c r="U8" i="3"/>
  <c r="U3" i="3" s="1"/>
  <c r="T121" i="3"/>
  <c r="T132" i="11"/>
  <c r="T133" i="11" s="1"/>
  <c r="T120" i="3"/>
  <c r="T86" i="11"/>
  <c r="T87" i="11" s="1"/>
  <c r="AL482" i="3"/>
  <c r="AL485" i="3" s="1"/>
  <c r="AK487" i="3"/>
  <c r="T462" i="3"/>
  <c r="AM501" i="3"/>
  <c r="U146" i="3"/>
  <c r="U146" i="11" s="1"/>
  <c r="U147" i="11" s="1"/>
  <c r="U117" i="3"/>
  <c r="U132" i="11" s="1"/>
  <c r="U133" i="11" s="1"/>
  <c r="U147" i="3"/>
  <c r="U434" i="3"/>
  <c r="U116" i="3"/>
  <c r="U118" i="3"/>
  <c r="U496" i="3"/>
  <c r="U425" i="3"/>
  <c r="T229" i="11"/>
  <c r="T230" i="11" s="1"/>
  <c r="T122" i="3"/>
  <c r="V647" i="3"/>
  <c r="V649" i="3" s="1"/>
  <c r="V9" i="3" a="1"/>
  <c r="V9" i="3" s="1"/>
  <c r="V7" i="3"/>
  <c r="V13" i="3"/>
  <c r="V6" i="3" a="1"/>
  <c r="V6" i="3" s="1"/>
  <c r="V8" i="3" s="1"/>
  <c r="V3" i="3" s="1"/>
  <c r="W4" i="3"/>
  <c r="U449" i="3"/>
  <c r="U454" i="3"/>
  <c r="U460" i="3"/>
  <c r="U145" i="3"/>
  <c r="AM610" i="3"/>
  <c r="AM613" i="3" s="1"/>
  <c r="AN411" i="3"/>
  <c r="AL417" i="3"/>
  <c r="AL565" i="3" s="1"/>
  <c r="AM416" i="3"/>
  <c r="AL419" i="3"/>
  <c r="AM602" i="3"/>
  <c r="AM502" i="3"/>
  <c r="AN408" i="3"/>
  <c r="AM413" i="3"/>
  <c r="AM418" i="3" s="1"/>
  <c r="Y567" i="13"/>
  <c r="Y518" i="13"/>
  <c r="Y469" i="13"/>
  <c r="Y423" i="13"/>
  <c r="Y386" i="13"/>
  <c r="Y336" i="13"/>
  <c r="Y361" i="13"/>
  <c r="Y307" i="13"/>
  <c r="Y249" i="13"/>
  <c r="Y278" i="13"/>
  <c r="Y220" i="13"/>
  <c r="Z6" i="13"/>
  <c r="V6" i="14"/>
  <c r="V5" i="14" a="1"/>
  <c r="V5" i="14" s="1"/>
  <c r="V7" i="14" s="1"/>
  <c r="V2" i="14" s="1"/>
  <c r="W3" i="14"/>
  <c r="V8" i="14" a="1"/>
  <c r="V8" i="14" s="1"/>
  <c r="U122" i="3" l="1"/>
  <c r="U229" i="11"/>
  <c r="U230" i="11" s="1"/>
  <c r="U120" i="3"/>
  <c r="U86" i="11"/>
  <c r="U87" i="11" s="1"/>
  <c r="U151" i="3"/>
  <c r="U243" i="11"/>
  <c r="U244" i="11" s="1"/>
  <c r="W117" i="3"/>
  <c r="W132" i="11" s="1"/>
  <c r="W133" i="11" s="1"/>
  <c r="U121" i="3"/>
  <c r="V117" i="3"/>
  <c r="V132" i="11" s="1"/>
  <c r="V133" i="11" s="1"/>
  <c r="V146" i="3"/>
  <c r="V146" i="11" s="1"/>
  <c r="V147" i="11" s="1"/>
  <c r="V147" i="3"/>
  <c r="V243" i="11" s="1"/>
  <c r="V244" i="11" s="1"/>
  <c r="V496" i="3"/>
  <c r="V118" i="3"/>
  <c r="V434" i="3"/>
  <c r="V454" i="3"/>
  <c r="V145" i="3"/>
  <c r="V100" i="11" s="1"/>
  <c r="V101" i="11" s="1"/>
  <c r="V449" i="3"/>
  <c r="W449" i="3" s="1"/>
  <c r="V425" i="3"/>
  <c r="V116" i="3"/>
  <c r="V86" i="11" s="1"/>
  <c r="V87" i="11" s="1"/>
  <c r="V460" i="3"/>
  <c r="U462" i="3"/>
  <c r="AL487" i="3"/>
  <c r="AM482" i="3"/>
  <c r="AM485" i="3" s="1"/>
  <c r="U150" i="3"/>
  <c r="W146" i="3"/>
  <c r="AN610" i="3"/>
  <c r="AN613" i="3" s="1"/>
  <c r="AN501" i="3"/>
  <c r="W6" i="14"/>
  <c r="W5" i="14" a="1"/>
  <c r="W5" i="14" s="1"/>
  <c r="W7" i="14" s="1"/>
  <c r="W2" i="14" s="1"/>
  <c r="W8" i="14" a="1"/>
  <c r="W8" i="14" s="1"/>
  <c r="X3" i="14"/>
  <c r="Z567" i="13"/>
  <c r="Z518" i="13"/>
  <c r="Z469" i="13"/>
  <c r="Z423" i="13"/>
  <c r="Z386" i="13"/>
  <c r="Z336" i="13"/>
  <c r="Z361" i="13"/>
  <c r="Z307" i="13"/>
  <c r="Z278" i="13"/>
  <c r="Z249" i="13"/>
  <c r="Z220" i="13"/>
  <c r="AM417" i="3"/>
  <c r="AM565" i="3" s="1"/>
  <c r="AN416" i="3"/>
  <c r="AM419" i="3"/>
  <c r="AN502" i="3"/>
  <c r="AN602" i="3"/>
  <c r="AN413" i="3"/>
  <c r="AN418" i="3" s="1"/>
  <c r="U100" i="11"/>
  <c r="U101" i="11" s="1"/>
  <c r="U149" i="3"/>
  <c r="W149" i="3"/>
  <c r="W647" i="3"/>
  <c r="W7" i="3"/>
  <c r="W9" i="3" a="1"/>
  <c r="W9" i="3" s="1"/>
  <c r="W6" i="3" a="1"/>
  <c r="W6" i="3" s="1"/>
  <c r="X4" i="3"/>
  <c r="W13" i="3"/>
  <c r="Y146" i="3" l="1"/>
  <c r="W146" i="11"/>
  <c r="W147" i="11" s="1"/>
  <c r="V122" i="3"/>
  <c r="V229" i="11"/>
  <c r="V230" i="11" s="1"/>
  <c r="W422" i="3"/>
  <c r="W496" i="3"/>
  <c r="X146" i="3"/>
  <c r="V150" i="3"/>
  <c r="X449" i="3"/>
  <c r="X117" i="3"/>
  <c r="X132" i="11" s="1"/>
  <c r="X133" i="11" s="1"/>
  <c r="V121" i="3"/>
  <c r="W8" i="3"/>
  <c r="W3" i="3" s="1"/>
  <c r="X147" i="3"/>
  <c r="V151" i="3"/>
  <c r="X116" i="3"/>
  <c r="V120" i="3"/>
  <c r="V149" i="3"/>
  <c r="X149" i="3"/>
  <c r="W454" i="3"/>
  <c r="V462" i="3"/>
  <c r="AN482" i="3"/>
  <c r="AN485" i="3" s="1"/>
  <c r="AN487" i="3" s="1"/>
  <c r="AM487" i="3"/>
  <c r="Y117" i="3"/>
  <c r="Y132" i="11" s="1"/>
  <c r="Y133" i="11" s="1"/>
  <c r="W126" i="3"/>
  <c r="W124" i="11" s="1"/>
  <c r="W125" i="11" s="1"/>
  <c r="W433" i="3"/>
  <c r="W438" i="3" s="1"/>
  <c r="W529" i="3" s="1"/>
  <c r="W558" i="3" s="1"/>
  <c r="W423" i="3"/>
  <c r="X647" i="3"/>
  <c r="X7" i="3"/>
  <c r="X9" i="3" a="1"/>
  <c r="X9" i="3" s="1"/>
  <c r="X6" i="3" a="1"/>
  <c r="X6" i="3" s="1"/>
  <c r="Y4" i="3"/>
  <c r="X13" i="3"/>
  <c r="AN417" i="3"/>
  <c r="AN565" i="3" s="1"/>
  <c r="AN419" i="3"/>
  <c r="Y3" i="14"/>
  <c r="X8" i="14" a="1"/>
  <c r="X8" i="14" s="1"/>
  <c r="X5" i="14" a="1"/>
  <c r="X5" i="14" s="1"/>
  <c r="X6" i="14"/>
  <c r="X8" i="3" l="1"/>
  <c r="X3" i="3" s="1"/>
  <c r="X7" i="14"/>
  <c r="X2" i="14" s="1"/>
  <c r="Z146" i="3"/>
  <c r="X146" i="11"/>
  <c r="X147" i="11" s="1"/>
  <c r="Z147" i="3"/>
  <c r="X243" i="11"/>
  <c r="X244" i="11" s="1"/>
  <c r="Z116" i="3"/>
  <c r="X86" i="11"/>
  <c r="X87" i="11" s="1"/>
  <c r="AA146" i="3"/>
  <c r="AC146" i="3" s="1"/>
  <c r="AE146" i="3" s="1"/>
  <c r="AG146" i="3" s="1"/>
  <c r="AI146" i="3" s="1"/>
  <c r="AK146" i="3" s="1"/>
  <c r="AM146" i="3" s="1"/>
  <c r="Y146" i="11"/>
  <c r="Y147" i="11" s="1"/>
  <c r="X126" i="3"/>
  <c r="X124" i="11" s="1"/>
  <c r="X125" i="11" s="1"/>
  <c r="Z117" i="3"/>
  <c r="X422" i="3"/>
  <c r="X423" i="3"/>
  <c r="W90" i="3"/>
  <c r="N48" i="6" s="1"/>
  <c r="BQ48" i="6" s="1"/>
  <c r="W130" i="3"/>
  <c r="AA117" i="3"/>
  <c r="AC117" i="3" s="1"/>
  <c r="AE117" i="3" s="1"/>
  <c r="AG117" i="3" s="1"/>
  <c r="AI117" i="3" s="1"/>
  <c r="AK117" i="3" s="1"/>
  <c r="AM117" i="3" s="1"/>
  <c r="Y449" i="3"/>
  <c r="X454" i="3"/>
  <c r="W462" i="3"/>
  <c r="W424" i="3"/>
  <c r="W437" i="3" s="1"/>
  <c r="Z3" i="14"/>
  <c r="Y8" i="14" a="1"/>
  <c r="Y8" i="14" s="1"/>
  <c r="Y6" i="14"/>
  <c r="Y5" i="14" a="1"/>
  <c r="Y5" i="14" s="1"/>
  <c r="Y647" i="3"/>
  <c r="Y9" i="3" a="1"/>
  <c r="Y9" i="3" s="1"/>
  <c r="Y6" i="3" a="1"/>
  <c r="Y6" i="3" s="1"/>
  <c r="Y7" i="3"/>
  <c r="Z4" i="3"/>
  <c r="Y13" i="3"/>
  <c r="Y126" i="3" s="1"/>
  <c r="Y124" i="11" s="1"/>
  <c r="Y125" i="11" s="1"/>
  <c r="Y7" i="14" l="1"/>
  <c r="Y2" i="14" s="1"/>
  <c r="Y8" i="3"/>
  <c r="Y3" i="3" s="1"/>
  <c r="AB117" i="3"/>
  <c r="AD117" i="3" s="1"/>
  <c r="AF117" i="3" s="1"/>
  <c r="AH117" i="3" s="1"/>
  <c r="AJ117" i="3" s="1"/>
  <c r="AL117" i="3" s="1"/>
  <c r="AN117" i="3" s="1"/>
  <c r="Z132" i="11"/>
  <c r="Z133" i="11" s="1"/>
  <c r="AB116" i="3"/>
  <c r="AD116" i="3" s="1"/>
  <c r="AF116" i="3" s="1"/>
  <c r="AH116" i="3" s="1"/>
  <c r="AJ116" i="3" s="1"/>
  <c r="AL116" i="3" s="1"/>
  <c r="AN116" i="3" s="1"/>
  <c r="Z86" i="11"/>
  <c r="Z87" i="11" s="1"/>
  <c r="AB147" i="3"/>
  <c r="AD147" i="3" s="1"/>
  <c r="AF147" i="3" s="1"/>
  <c r="AH147" i="3" s="1"/>
  <c r="AJ147" i="3" s="1"/>
  <c r="AL147" i="3" s="1"/>
  <c r="AN147" i="3" s="1"/>
  <c r="Z243" i="11"/>
  <c r="Z244" i="11" s="1"/>
  <c r="AB146" i="3"/>
  <c r="AD146" i="3" s="1"/>
  <c r="AF146" i="3" s="1"/>
  <c r="AH146" i="3" s="1"/>
  <c r="AJ146" i="3" s="1"/>
  <c r="AL146" i="3" s="1"/>
  <c r="AN146" i="3" s="1"/>
  <c r="Z146" i="11"/>
  <c r="Z147" i="11" s="1"/>
  <c r="W440" i="3"/>
  <c r="W340" i="3" s="1"/>
  <c r="W528" i="3"/>
  <c r="W560" i="3" s="1"/>
  <c r="W567" i="3" s="1"/>
  <c r="X462" i="3"/>
  <c r="Y454" i="3"/>
  <c r="AA126" i="3"/>
  <c r="Y90" i="3"/>
  <c r="Y130" i="3"/>
  <c r="X424" i="3"/>
  <c r="X437" i="3" s="1"/>
  <c r="W236" i="3"/>
  <c r="W251" i="3" s="1"/>
  <c r="W94" i="3"/>
  <c r="Z449" i="3"/>
  <c r="X130" i="3"/>
  <c r="Z126" i="3"/>
  <c r="Z124" i="11" s="1"/>
  <c r="Z125" i="11" s="1"/>
  <c r="X90" i="3"/>
  <c r="O48" i="6" s="1"/>
  <c r="BR48" i="6" s="1"/>
  <c r="Y422" i="3"/>
  <c r="Y423" i="3"/>
  <c r="Z647" i="3"/>
  <c r="Z9" i="3" a="1"/>
  <c r="Z9" i="3" s="1"/>
  <c r="Z6" i="3" a="1"/>
  <c r="Z6" i="3" s="1"/>
  <c r="AA4" i="3"/>
  <c r="Z13" i="3"/>
  <c r="Z7" i="3"/>
  <c r="AA3" i="14"/>
  <c r="Z8" i="14" a="1"/>
  <c r="Z8" i="14" s="1"/>
  <c r="Z5" i="14" a="1"/>
  <c r="Z5" i="14" s="1"/>
  <c r="Z6" i="14"/>
  <c r="S84" i="13" l="1"/>
  <c r="W287" i="11"/>
  <c r="W288" i="11" s="1"/>
  <c r="Z7" i="14"/>
  <c r="Z2" i="14" s="1"/>
  <c r="Z8" i="3"/>
  <c r="Z3" i="3" s="1"/>
  <c r="AB126" i="3"/>
  <c r="Z90" i="3"/>
  <c r="Z422" i="3"/>
  <c r="Z423" i="3"/>
  <c r="Y236" i="3"/>
  <c r="Y251" i="3" s="1"/>
  <c r="Y94" i="3"/>
  <c r="AC126" i="3"/>
  <c r="AA90" i="3"/>
  <c r="AA449" i="3"/>
  <c r="W225" i="3"/>
  <c r="W256" i="3" s="1"/>
  <c r="W307" i="3"/>
  <c r="X528" i="3"/>
  <c r="X560" i="3" s="1"/>
  <c r="Z454" i="3"/>
  <c r="Y462" i="3"/>
  <c r="Y424" i="3"/>
  <c r="Y437" i="3" s="1"/>
  <c r="X236" i="3"/>
  <c r="X251" i="3" s="1"/>
  <c r="X94" i="3"/>
  <c r="AA8" i="14" a="1"/>
  <c r="AA8" i="14" s="1"/>
  <c r="AB3" i="14"/>
  <c r="AA5" i="14" a="1"/>
  <c r="AA5" i="14" s="1"/>
  <c r="AA6" i="14"/>
  <c r="AA647" i="3"/>
  <c r="AB4" i="3"/>
  <c r="AA13" i="3"/>
  <c r="AA9" i="3" a="1"/>
  <c r="AA9" i="3" s="1"/>
  <c r="AA7" i="3"/>
  <c r="AA6" i="3" a="1"/>
  <c r="AA6" i="3" s="1"/>
  <c r="AA8" i="3" s="1"/>
  <c r="AA3" i="3" s="1"/>
  <c r="AA7" i="14" l="1"/>
  <c r="AA2" i="14" s="1"/>
  <c r="S491" i="13" a="1"/>
  <c r="S491" i="13" s="1"/>
  <c r="AB449" i="3"/>
  <c r="W320" i="3"/>
  <c r="N32" i="6" s="1"/>
  <c r="W261" i="3"/>
  <c r="AE126" i="3"/>
  <c r="AC90" i="3"/>
  <c r="X307" i="3"/>
  <c r="X225" i="3"/>
  <c r="X256" i="3" s="1"/>
  <c r="Z424" i="3"/>
  <c r="Z437" i="3" s="1"/>
  <c r="Y307" i="3"/>
  <c r="Y311" i="3" s="1"/>
  <c r="Y225" i="3"/>
  <c r="Y256" i="3" s="1"/>
  <c r="Y528" i="3"/>
  <c r="Y560" i="3" s="1"/>
  <c r="AA422" i="3"/>
  <c r="AA423" i="3"/>
  <c r="Z236" i="3"/>
  <c r="Z251" i="3" s="1"/>
  <c r="Z94" i="3"/>
  <c r="N25" i="6"/>
  <c r="BQ25" i="6" s="1"/>
  <c r="W311" i="3"/>
  <c r="AA454" i="3"/>
  <c r="Z462" i="3"/>
  <c r="AD126" i="3"/>
  <c r="AB90" i="3"/>
  <c r="AA94" i="3"/>
  <c r="AA236" i="3"/>
  <c r="AA251" i="3" s="1"/>
  <c r="AB647" i="3"/>
  <c r="AC4" i="3"/>
  <c r="AB13" i="3"/>
  <c r="AB9" i="3" a="1"/>
  <c r="AB9" i="3" s="1"/>
  <c r="AB7" i="3"/>
  <c r="AB6" i="3" a="1"/>
  <c r="AB6" i="3" s="1"/>
  <c r="AC3" i="14"/>
  <c r="AB5" i="14" a="1"/>
  <c r="AB5" i="14" s="1"/>
  <c r="AB6" i="14"/>
  <c r="AB8" i="14" a="1"/>
  <c r="AB8" i="14" s="1"/>
  <c r="N40" i="6" l="1"/>
  <c r="BQ40" i="6" s="1"/>
  <c r="BQ32" i="6"/>
  <c r="N28" i="6"/>
  <c r="BQ28" i="6" s="1"/>
  <c r="N6" i="6"/>
  <c r="BQ6" i="6" s="1"/>
  <c r="S493" i="13"/>
  <c r="S492" i="13"/>
  <c r="AB7" i="14"/>
  <c r="AB2" i="14" s="1"/>
  <c r="AB423" i="3"/>
  <c r="AB422" i="3"/>
  <c r="AA424" i="3"/>
  <c r="AA437" i="3" s="1"/>
  <c r="Z528" i="3"/>
  <c r="Z560" i="3" s="1"/>
  <c r="AC236" i="3"/>
  <c r="AC251" i="3" s="1"/>
  <c r="AC94" i="3"/>
  <c r="AB454" i="3"/>
  <c r="AA462" i="3"/>
  <c r="W354" i="3"/>
  <c r="W447" i="3"/>
  <c r="W448" i="3" s="1"/>
  <c r="W516" i="3"/>
  <c r="W520" i="3" s="1"/>
  <c r="W325" i="3"/>
  <c r="W330" i="3"/>
  <c r="Y320" i="3"/>
  <c r="Y261" i="3"/>
  <c r="Y354" i="3"/>
  <c r="Y447" i="3"/>
  <c r="Y448" i="3" s="1"/>
  <c r="Y516" i="3"/>
  <c r="Y520" i="3" s="1"/>
  <c r="AB236" i="3"/>
  <c r="AB251" i="3" s="1"/>
  <c r="AB94" i="3"/>
  <c r="AF126" i="3"/>
  <c r="AD90" i="3"/>
  <c r="O25" i="6"/>
  <c r="BR25" i="6" s="1"/>
  <c r="X311" i="3"/>
  <c r="AG126" i="3"/>
  <c r="AE90" i="3"/>
  <c r="AC449" i="3"/>
  <c r="AA225" i="3"/>
  <c r="AA256" i="3" s="1"/>
  <c r="AA307" i="3"/>
  <c r="AA311" i="3" s="1"/>
  <c r="X261" i="3"/>
  <c r="X320" i="3"/>
  <c r="O32" i="6" s="1"/>
  <c r="AB8" i="3"/>
  <c r="AB3" i="3" s="1"/>
  <c r="Z307" i="3"/>
  <c r="Z311" i="3" s="1"/>
  <c r="Z225" i="3"/>
  <c r="Z256" i="3" s="1"/>
  <c r="AC5" i="14" a="1"/>
  <c r="AC5" i="14" s="1"/>
  <c r="AC6" i="14"/>
  <c r="AC8" i="14" a="1"/>
  <c r="AC8" i="14" s="1"/>
  <c r="AD3" i="14"/>
  <c r="AC647" i="3"/>
  <c r="AC13" i="3"/>
  <c r="AC7" i="3"/>
  <c r="AC9" i="3" a="1"/>
  <c r="AC9" i="3" s="1"/>
  <c r="AC6" i="3" a="1"/>
  <c r="AC6" i="3" s="1"/>
  <c r="AD4" i="3"/>
  <c r="AC7" i="14" l="1"/>
  <c r="AC2" i="14" s="1"/>
  <c r="O28" i="6"/>
  <c r="BR28" i="6" s="1"/>
  <c r="O6" i="6"/>
  <c r="BR6" i="6" s="1"/>
  <c r="BR32" i="6"/>
  <c r="O40" i="6"/>
  <c r="BR40" i="6" s="1"/>
  <c r="N36" i="6"/>
  <c r="N7" i="6"/>
  <c r="BQ7" i="6" s="1"/>
  <c r="AC8" i="3"/>
  <c r="AC3" i="3" s="1"/>
  <c r="AA320" i="3"/>
  <c r="AA261" i="3"/>
  <c r="AD449" i="3"/>
  <c r="W387" i="3"/>
  <c r="W402" i="3"/>
  <c r="W356" i="3"/>
  <c r="W393" i="3"/>
  <c r="X447" i="3"/>
  <c r="X448" i="3" s="1"/>
  <c r="X516" i="3"/>
  <c r="X520" i="3" s="1"/>
  <c r="X354" i="3"/>
  <c r="AD236" i="3"/>
  <c r="AD251" i="3" s="1"/>
  <c r="AD94" i="3"/>
  <c r="AH126" i="3"/>
  <c r="AF90" i="3"/>
  <c r="AC225" i="3"/>
  <c r="AC256" i="3" s="1"/>
  <c r="AC307" i="3"/>
  <c r="AC311" i="3" s="1"/>
  <c r="Y330" i="3"/>
  <c r="Y325" i="3"/>
  <c r="AE94" i="3"/>
  <c r="AE236" i="3"/>
  <c r="AE251" i="3" s="1"/>
  <c r="Z320" i="3"/>
  <c r="Z261" i="3"/>
  <c r="AB225" i="3"/>
  <c r="AB256" i="3" s="1"/>
  <c r="AB307" i="3"/>
  <c r="AB311" i="3" s="1"/>
  <c r="Z354" i="3"/>
  <c r="Z516" i="3"/>
  <c r="Z520" i="3" s="1"/>
  <c r="Z447" i="3"/>
  <c r="Z448" i="3" s="1"/>
  <c r="W506" i="3"/>
  <c r="W452" i="3"/>
  <c r="W313" i="3"/>
  <c r="W333" i="3"/>
  <c r="W358" i="3"/>
  <c r="W360" i="3" s="1"/>
  <c r="W338" i="3"/>
  <c r="AI126" i="3"/>
  <c r="AG90" i="3"/>
  <c r="AC454" i="3"/>
  <c r="AB462" i="3"/>
  <c r="X325" i="3"/>
  <c r="X506" i="3" s="1"/>
  <c r="X330" i="3"/>
  <c r="Y579" i="3"/>
  <c r="AA528" i="3"/>
  <c r="AA560" i="3" s="1"/>
  <c r="AC423" i="3"/>
  <c r="AC422" i="3"/>
  <c r="AC424" i="3" s="1"/>
  <c r="AC437" i="3" s="1"/>
  <c r="Y387" i="3"/>
  <c r="Y393" i="3"/>
  <c r="Y356" i="3"/>
  <c r="AB424" i="3"/>
  <c r="AB437" i="3" s="1"/>
  <c r="W579" i="3"/>
  <c r="AA516" i="3"/>
  <c r="AA520" i="3" s="1"/>
  <c r="AA447" i="3"/>
  <c r="AA448" i="3" s="1"/>
  <c r="AA354" i="3"/>
  <c r="AD647" i="3"/>
  <c r="AD13" i="3"/>
  <c r="AD7" i="3"/>
  <c r="AD9" i="3" a="1"/>
  <c r="AD9" i="3" s="1"/>
  <c r="AE4" i="3"/>
  <c r="AD6" i="3" a="1"/>
  <c r="AD6" i="3" s="1"/>
  <c r="AD5" i="14" a="1"/>
  <c r="AD5" i="14" s="1"/>
  <c r="AD6" i="14"/>
  <c r="AE3" i="14"/>
  <c r="AD8" i="14" a="1"/>
  <c r="AD8" i="14" s="1"/>
  <c r="P35" i="4" l="1"/>
  <c r="P86" i="4"/>
  <c r="P193" i="4" s="1"/>
  <c r="Q35" i="4"/>
  <c r="Q86" i="4"/>
  <c r="S35" i="4"/>
  <c r="R35" i="4"/>
  <c r="S86" i="4"/>
  <c r="R86" i="4"/>
  <c r="E35" i="4"/>
  <c r="D35" i="4"/>
  <c r="N42" i="6"/>
  <c r="BQ42" i="6" s="1"/>
  <c r="BQ36" i="6"/>
  <c r="F35" i="4"/>
  <c r="D86" i="4"/>
  <c r="F86" i="4"/>
  <c r="E86" i="4"/>
  <c r="G35" i="4"/>
  <c r="H35" i="4"/>
  <c r="G86" i="4"/>
  <c r="I86" i="4"/>
  <c r="H86" i="4"/>
  <c r="I35" i="4"/>
  <c r="K35" i="4"/>
  <c r="J35" i="4"/>
  <c r="J86" i="4"/>
  <c r="K86" i="4"/>
  <c r="L35" i="4"/>
  <c r="M35" i="4"/>
  <c r="N35" i="4"/>
  <c r="O35" i="4"/>
  <c r="S93" i="13"/>
  <c r="W313" i="11"/>
  <c r="W314" i="11" s="1"/>
  <c r="N14" i="6"/>
  <c r="BQ14" i="6" s="1"/>
  <c r="Y378" i="3"/>
  <c r="Y382" i="3" s="1"/>
  <c r="Y313" i="11"/>
  <c r="Y314" i="11" s="1"/>
  <c r="U93" i="13"/>
  <c r="X1" i="3"/>
  <c r="O7" i="6"/>
  <c r="BR7" i="6" s="1"/>
  <c r="O36" i="6"/>
  <c r="S83" i="13"/>
  <c r="W283" i="11"/>
  <c r="W284" i="11" s="1"/>
  <c r="N8" i="6"/>
  <c r="BQ8" i="6" s="1"/>
  <c r="W521" i="3"/>
  <c r="W523" i="3" s="1"/>
  <c r="W541" i="3" s="1"/>
  <c r="S80" i="13"/>
  <c r="W271" i="11"/>
  <c r="W272" i="11" s="1"/>
  <c r="AD7" i="14"/>
  <c r="AD2" i="14" s="1"/>
  <c r="AA579" i="3"/>
  <c r="AD423" i="3"/>
  <c r="AD422" i="3"/>
  <c r="X579" i="3"/>
  <c r="W458" i="3"/>
  <c r="W459" i="3" s="1"/>
  <c r="W600" i="3" s="1"/>
  <c r="W453" i="3"/>
  <c r="AD225" i="3"/>
  <c r="AD256" i="3" s="1"/>
  <c r="AD307" i="3"/>
  <c r="AD311" i="3" s="1"/>
  <c r="AB528" i="3"/>
  <c r="AB560" i="3" s="1"/>
  <c r="Z330" i="3"/>
  <c r="Z325" i="3"/>
  <c r="Z1" i="3" s="1"/>
  <c r="W362" i="3"/>
  <c r="W364" i="3" s="1"/>
  <c r="W343" i="3"/>
  <c r="S85" i="13" s="1"/>
  <c r="Y313" i="3"/>
  <c r="Y358" i="3"/>
  <c r="Y360" i="3" s="1"/>
  <c r="Y333" i="3"/>
  <c r="Y452" i="3"/>
  <c r="AE449" i="3"/>
  <c r="AF236" i="3"/>
  <c r="AF251" i="3" s="1"/>
  <c r="AF94" i="3"/>
  <c r="Z579" i="3"/>
  <c r="X387" i="3"/>
  <c r="X393" i="3"/>
  <c r="X356" i="3"/>
  <c r="AC462" i="3"/>
  <c r="AD454" i="3"/>
  <c r="AB516" i="3"/>
  <c r="AB520" i="3" s="1"/>
  <c r="AB447" i="3"/>
  <c r="AB448" i="3" s="1"/>
  <c r="AB354" i="3"/>
  <c r="AB320" i="3"/>
  <c r="AB261" i="3"/>
  <c r="AG94" i="3"/>
  <c r="AG236" i="3"/>
  <c r="AG251" i="3" s="1"/>
  <c r="Y551" i="3"/>
  <c r="AC528" i="3"/>
  <c r="AC560" i="3" s="1"/>
  <c r="Y506" i="3"/>
  <c r="X452" i="3"/>
  <c r="X333" i="3"/>
  <c r="X358" i="3"/>
  <c r="X360" i="3" s="1"/>
  <c r="X313" i="3"/>
  <c r="AK126" i="3"/>
  <c r="AI90" i="3"/>
  <c r="AE307" i="3"/>
  <c r="AE311" i="3" s="1"/>
  <c r="AE225" i="3"/>
  <c r="AE256" i="3" s="1"/>
  <c r="AC516" i="3"/>
  <c r="AC520" i="3" s="1"/>
  <c r="AC354" i="3"/>
  <c r="AC447" i="3"/>
  <c r="AC448" i="3" s="1"/>
  <c r="AA330" i="3"/>
  <c r="AA325" i="3"/>
  <c r="AH90" i="3"/>
  <c r="AJ126" i="3"/>
  <c r="AA356" i="3"/>
  <c r="AA393" i="3"/>
  <c r="Z393" i="3"/>
  <c r="Z356" i="3"/>
  <c r="W397" i="3"/>
  <c r="W551" i="3"/>
  <c r="W556" i="3" s="1"/>
  <c r="W403" i="3"/>
  <c r="AD8" i="3"/>
  <c r="AD3" i="3" s="1"/>
  <c r="AC261" i="3"/>
  <c r="AC320" i="3"/>
  <c r="AE5" i="14" a="1"/>
  <c r="AE5" i="14" s="1"/>
  <c r="AE6" i="14"/>
  <c r="AE8" i="14" a="1"/>
  <c r="AE8" i="14" s="1"/>
  <c r="AF3" i="14"/>
  <c r="AE647" i="3"/>
  <c r="AF4" i="3"/>
  <c r="AE13" i="3"/>
  <c r="AE6" i="3" a="1"/>
  <c r="AE6" i="3" s="1"/>
  <c r="AE7" i="3"/>
  <c r="AE9" i="3" a="1"/>
  <c r="AE9" i="3" s="1"/>
  <c r="R193" i="4" l="1"/>
  <c r="R87" i="4"/>
  <c r="S87" i="4"/>
  <c r="S193" i="4"/>
  <c r="Q193" i="4"/>
  <c r="Q87" i="4"/>
  <c r="AD424" i="3"/>
  <c r="AD437" i="3" s="1"/>
  <c r="AD528" i="3" s="1"/>
  <c r="AD560" i="3" s="1"/>
  <c r="Y550" i="3"/>
  <c r="Y388" i="3"/>
  <c r="W527" i="3"/>
  <c r="W533" i="3" s="1"/>
  <c r="AE8" i="3"/>
  <c r="AE3" i="3" s="1"/>
  <c r="S487" i="13" a="1"/>
  <c r="S487" i="13" s="1"/>
  <c r="AE7" i="14"/>
  <c r="AE2" i="14" s="1"/>
  <c r="E193" i="4"/>
  <c r="E87" i="4"/>
  <c r="G193" i="4"/>
  <c r="G87" i="4"/>
  <c r="AA378" i="3"/>
  <c r="W93" i="13"/>
  <c r="J87" i="4"/>
  <c r="J193" i="4"/>
  <c r="F193" i="4"/>
  <c r="F87" i="4"/>
  <c r="O14" i="6"/>
  <c r="BR14" i="6" s="1"/>
  <c r="T93" i="13"/>
  <c r="AL93" i="13" s="1"/>
  <c r="X313" i="11"/>
  <c r="X314" i="11" s="1"/>
  <c r="S569" i="13" a="1"/>
  <c r="S569" i="13" s="1"/>
  <c r="S520" i="13" a="1"/>
  <c r="S520" i="13" s="1"/>
  <c r="D193" i="4"/>
  <c r="Y521" i="3"/>
  <c r="Y523" i="3" s="1"/>
  <c r="Y541" i="3" s="1"/>
  <c r="Y271" i="11"/>
  <c r="Y272" i="11" s="1"/>
  <c r="U80" i="13"/>
  <c r="S475" i="13" a="1"/>
  <c r="S475" i="13" s="1"/>
  <c r="I207" i="1"/>
  <c r="I225" i="1"/>
  <c r="I193" i="1"/>
  <c r="I205" i="1"/>
  <c r="J191" i="1"/>
  <c r="U520" i="13" a="1"/>
  <c r="U520" i="13" s="1"/>
  <c r="U569" i="13" a="1"/>
  <c r="U569" i="13" s="1"/>
  <c r="K193" i="4"/>
  <c r="K87" i="4"/>
  <c r="S495" i="13" a="1"/>
  <c r="S495" i="13" s="1"/>
  <c r="X521" i="3"/>
  <c r="X523" i="3" s="1"/>
  <c r="X541" i="3" s="1"/>
  <c r="T80" i="13"/>
  <c r="T475" i="13" s="1" a="1"/>
  <c r="T475" i="13" s="1"/>
  <c r="X271" i="11"/>
  <c r="X272" i="11" s="1"/>
  <c r="O42" i="6"/>
  <c r="BR42" i="6" s="1"/>
  <c r="BR36" i="6"/>
  <c r="Z378" i="3"/>
  <c r="Z550" i="3" s="1"/>
  <c r="V93" i="13"/>
  <c r="AM93" i="13" s="1"/>
  <c r="Z313" i="11"/>
  <c r="Z314" i="11" s="1"/>
  <c r="H87" i="4"/>
  <c r="H193" i="4"/>
  <c r="I193" i="4"/>
  <c r="I87" i="4"/>
  <c r="AE320" i="3"/>
  <c r="AE261" i="3"/>
  <c r="AE423" i="3"/>
  <c r="AE422" i="3"/>
  <c r="X394" i="3"/>
  <c r="T82" i="13" s="1"/>
  <c r="W588" i="3"/>
  <c r="W595" i="3" s="1"/>
  <c r="X392" i="3"/>
  <c r="AD320" i="3"/>
  <c r="AD261" i="3"/>
  <c r="AB393" i="3"/>
  <c r="AB356" i="3"/>
  <c r="AB579" i="3"/>
  <c r="AE454" i="3"/>
  <c r="AD462" i="3"/>
  <c r="AA452" i="3"/>
  <c r="AA358" i="3"/>
  <c r="AA360" i="3" s="1"/>
  <c r="AA313" i="3"/>
  <c r="AA333" i="3"/>
  <c r="Y587" i="3"/>
  <c r="Z379" i="3"/>
  <c r="Z377" i="3"/>
  <c r="AI236" i="3"/>
  <c r="AI251" i="3" s="1"/>
  <c r="AI94" i="3"/>
  <c r="AM126" i="3"/>
  <c r="AM90" i="3" s="1"/>
  <c r="AK90" i="3"/>
  <c r="AF449" i="3"/>
  <c r="Y458" i="3"/>
  <c r="Y459" i="3" s="1"/>
  <c r="Y600" i="3" s="1"/>
  <c r="Y453" i="3"/>
  <c r="AH236" i="3"/>
  <c r="AH251" i="3" s="1"/>
  <c r="AH94" i="3"/>
  <c r="AE354" i="3"/>
  <c r="AE447" i="3"/>
  <c r="AE448" i="3" s="1"/>
  <c r="AE516" i="3"/>
  <c r="AE520" i="3" s="1"/>
  <c r="AG225" i="3"/>
  <c r="AG256" i="3" s="1"/>
  <c r="AG307" i="3"/>
  <c r="AG311" i="3" s="1"/>
  <c r="AD516" i="3"/>
  <c r="AD520" i="3" s="1"/>
  <c r="AD447" i="3"/>
  <c r="AD448" i="3" s="1"/>
  <c r="AD354" i="3"/>
  <c r="Z551" i="3"/>
  <c r="AA551" i="3"/>
  <c r="AA550" i="3"/>
  <c r="AL126" i="3"/>
  <c r="AJ90" i="3"/>
  <c r="AC579" i="3"/>
  <c r="Z313" i="3"/>
  <c r="AA506" i="3"/>
  <c r="Z452" i="3"/>
  <c r="Z358" i="3"/>
  <c r="Z360" i="3" s="1"/>
  <c r="Z333" i="3"/>
  <c r="W580" i="3"/>
  <c r="W465" i="3"/>
  <c r="X458" i="3"/>
  <c r="X459" i="3" s="1"/>
  <c r="X600" i="3" s="1"/>
  <c r="X453" i="3"/>
  <c r="Z506" i="3"/>
  <c r="AC330" i="3"/>
  <c r="AC325" i="3"/>
  <c r="AC356" i="3"/>
  <c r="AC393" i="3"/>
  <c r="X551" i="3"/>
  <c r="X556" i="3" s="1"/>
  <c r="L86" i="4" s="1"/>
  <c r="W344" i="3"/>
  <c r="AF225" i="3"/>
  <c r="AF256" i="3" s="1"/>
  <c r="AF307" i="3"/>
  <c r="AF311" i="3" s="1"/>
  <c r="AB330" i="3"/>
  <c r="AB325" i="3"/>
  <c r="Y556" i="3"/>
  <c r="AF647" i="3"/>
  <c r="AG4" i="3"/>
  <c r="AF7" i="3"/>
  <c r="AF9" i="3" a="1"/>
  <c r="AF9" i="3" s="1"/>
  <c r="AF6" i="3" a="1"/>
  <c r="AF6" i="3" s="1"/>
  <c r="AF13" i="3"/>
  <c r="AF8" i="14" a="1"/>
  <c r="AF8" i="14" s="1"/>
  <c r="AF6" i="14"/>
  <c r="AG3" i="14"/>
  <c r="AF5" i="14" a="1"/>
  <c r="AF5" i="14" s="1"/>
  <c r="AO207" i="1"/>
  <c r="AP191" i="1"/>
  <c r="AO205" i="1"/>
  <c r="AO225" i="1"/>
  <c r="AO193" i="1"/>
  <c r="AF7" i="14" l="1"/>
  <c r="AF2" i="14" s="1"/>
  <c r="AE424" i="3"/>
  <c r="AE437" i="3" s="1"/>
  <c r="AE528" i="3" s="1"/>
  <c r="AE560" i="3" s="1"/>
  <c r="AA556" i="3"/>
  <c r="X397" i="3"/>
  <c r="Y392" i="3" s="1"/>
  <c r="AL80" i="13"/>
  <c r="AL475" i="13" s="1" a="1"/>
  <c r="AL475" i="13" s="1"/>
  <c r="I194" i="1"/>
  <c r="AL569" i="13" a="1"/>
  <c r="AL569" i="13" s="1"/>
  <c r="AL520" i="13" a="1"/>
  <c r="AL520" i="13" s="1"/>
  <c r="AM520" i="13" a="1"/>
  <c r="AM520" i="13" s="1"/>
  <c r="AM569" i="13" a="1"/>
  <c r="AM569" i="13" s="1"/>
  <c r="U521" i="13"/>
  <c r="U522" i="13"/>
  <c r="H101" i="4"/>
  <c r="G195" i="4"/>
  <c r="AL477" i="13"/>
  <c r="AL476" i="13"/>
  <c r="U475" i="13" a="1"/>
  <c r="U475" i="13" s="1"/>
  <c r="S476" i="13"/>
  <c r="S477" i="13"/>
  <c r="V569" i="13" a="1"/>
  <c r="V569" i="13" s="1"/>
  <c r="V520" i="13" a="1"/>
  <c r="V520" i="13" s="1"/>
  <c r="Z382" i="3"/>
  <c r="Z587" i="3" s="1"/>
  <c r="T483" i="13" a="1"/>
  <c r="T483" i="13" s="1"/>
  <c r="AL82" i="13"/>
  <c r="AL483" i="13" s="1" a="1"/>
  <c r="AL483" i="13" s="1"/>
  <c r="W569" i="13" a="1"/>
  <c r="W569" i="13" s="1"/>
  <c r="W520" i="13" a="1"/>
  <c r="W520" i="13" s="1"/>
  <c r="I286" i="1"/>
  <c r="I287" i="1"/>
  <c r="I208" i="1"/>
  <c r="Z556" i="3"/>
  <c r="M86" i="4" s="1"/>
  <c r="T477" i="13"/>
  <c r="T476" i="13"/>
  <c r="AA521" i="3"/>
  <c r="AA523" i="3" s="1"/>
  <c r="W80" i="13"/>
  <c r="S521" i="13"/>
  <c r="S522" i="13"/>
  <c r="S570" i="13"/>
  <c r="S571" i="13"/>
  <c r="Z521" i="3"/>
  <c r="Z523" i="3" s="1"/>
  <c r="V80" i="13"/>
  <c r="V475" i="13" s="1" a="1"/>
  <c r="V475" i="13" s="1"/>
  <c r="Z271" i="11"/>
  <c r="Z272" i="11" s="1"/>
  <c r="I190" i="1"/>
  <c r="X403" i="3"/>
  <c r="I186" i="1"/>
  <c r="W534" i="3"/>
  <c r="W291" i="11"/>
  <c r="W292" i="11" s="1"/>
  <c r="S86" i="13"/>
  <c r="T569" i="13" a="1"/>
  <c r="T569" i="13" s="1"/>
  <c r="T520" i="13" a="1"/>
  <c r="T520" i="13" s="1"/>
  <c r="S496" i="13"/>
  <c r="S497" i="13"/>
  <c r="L87" i="4"/>
  <c r="L193" i="4"/>
  <c r="S489" i="13"/>
  <c r="S488" i="13"/>
  <c r="AF8" i="3"/>
  <c r="AF3" i="3" s="1"/>
  <c r="AC378" i="3"/>
  <c r="AC550" i="3" s="1"/>
  <c r="Y93" i="13"/>
  <c r="AB378" i="3"/>
  <c r="AB550" i="3" s="1"/>
  <c r="X93" i="13"/>
  <c r="U570" i="13"/>
  <c r="U571" i="13"/>
  <c r="AE579" i="3"/>
  <c r="AI225" i="3"/>
  <c r="AI256" i="3" s="1"/>
  <c r="AI307" i="3"/>
  <c r="AI311" i="3" s="1"/>
  <c r="Z524" i="3"/>
  <c r="Z387" i="3"/>
  <c r="AC452" i="3"/>
  <c r="AC358" i="3"/>
  <c r="AC360" i="3" s="1"/>
  <c r="AC333" i="3"/>
  <c r="AC313" i="3"/>
  <c r="AN126" i="3"/>
  <c r="AN90" i="3" s="1"/>
  <c r="AL90" i="3"/>
  <c r="AG320" i="3"/>
  <c r="AG261" i="3"/>
  <c r="AD330" i="3"/>
  <c r="AD325" i="3"/>
  <c r="AD506" i="3" s="1"/>
  <c r="AH307" i="3"/>
  <c r="AH311" i="3" s="1"/>
  <c r="AH225" i="3"/>
  <c r="AH256" i="3" s="1"/>
  <c r="W466" i="3"/>
  <c r="W546" i="3" s="1"/>
  <c r="AG449" i="3"/>
  <c r="AB551" i="3"/>
  <c r="AE356" i="3"/>
  <c r="AE378" i="3" s="1"/>
  <c r="AE393" i="3"/>
  <c r="X336" i="3"/>
  <c r="X338" i="3" s="1"/>
  <c r="X525" i="3"/>
  <c r="X527" i="3" s="1"/>
  <c r="X402" i="3"/>
  <c r="Z388" i="3"/>
  <c r="Y580" i="3"/>
  <c r="Y465" i="3"/>
  <c r="AF354" i="3"/>
  <c r="AF447" i="3"/>
  <c r="AF448" i="3" s="1"/>
  <c r="AF516" i="3"/>
  <c r="AF520" i="3" s="1"/>
  <c r="AF454" i="3"/>
  <c r="AE462" i="3"/>
  <c r="AE330" i="3"/>
  <c r="AE325" i="3"/>
  <c r="AG516" i="3"/>
  <c r="AG520" i="3" s="1"/>
  <c r="AG447" i="3"/>
  <c r="AG354" i="3"/>
  <c r="AC551" i="3"/>
  <c r="AB452" i="3"/>
  <c r="AB358" i="3"/>
  <c r="AB360" i="3" s="1"/>
  <c r="AC506" i="3"/>
  <c r="AB333" i="3"/>
  <c r="AB313" i="3"/>
  <c r="AB506" i="3"/>
  <c r="AF261" i="3"/>
  <c r="AF320" i="3"/>
  <c r="AD356" i="3"/>
  <c r="AD393" i="3"/>
  <c r="AK94" i="3"/>
  <c r="AK236" i="3"/>
  <c r="AK251" i="3" s="1"/>
  <c r="AJ236" i="3"/>
  <c r="AJ251" i="3" s="1"/>
  <c r="AJ94" i="3"/>
  <c r="X580" i="3"/>
  <c r="X465" i="3"/>
  <c r="X466" i="3" s="1"/>
  <c r="X546" i="3" s="1"/>
  <c r="AA458" i="3"/>
  <c r="AA459" i="3" s="1"/>
  <c r="AA600" i="3" s="1"/>
  <c r="AA453" i="3"/>
  <c r="AF422" i="3"/>
  <c r="AF423" i="3"/>
  <c r="W348" i="3"/>
  <c r="Z458" i="3"/>
  <c r="Z459" i="3" s="1"/>
  <c r="Z600" i="3" s="1"/>
  <c r="Z453" i="3"/>
  <c r="AD579" i="3"/>
  <c r="AM236" i="3"/>
  <c r="AM251" i="3" s="1"/>
  <c r="AM94" i="3"/>
  <c r="AG8" i="14" a="1"/>
  <c r="AG8" i="14" s="1"/>
  <c r="AG6" i="14"/>
  <c r="AG5" i="14" a="1"/>
  <c r="AG5" i="14" s="1"/>
  <c r="AH3" i="14"/>
  <c r="AG647" i="3"/>
  <c r="AH4" i="3"/>
  <c r="AG7" i="3"/>
  <c r="AG9" i="3" a="1"/>
  <c r="AG9" i="3" s="1"/>
  <c r="AG6" i="3" a="1"/>
  <c r="AG6" i="3" s="1"/>
  <c r="AG13" i="3"/>
  <c r="AO287" i="1"/>
  <c r="AO157" i="1"/>
  <c r="AO208" i="1"/>
  <c r="AW158" i="1"/>
  <c r="AR158" i="1"/>
  <c r="AP158" i="1"/>
  <c r="AT158" i="1"/>
  <c r="AQ157" i="1"/>
  <c r="AO190" i="1"/>
  <c r="AO158" i="1"/>
  <c r="AR157" i="1"/>
  <c r="AU158" i="1"/>
  <c r="AS158" i="1"/>
  <c r="AO186" i="1"/>
  <c r="AV158" i="1"/>
  <c r="AP157" i="1"/>
  <c r="AO286" i="1"/>
  <c r="AO194" i="1"/>
  <c r="AQ158" i="1"/>
  <c r="AS157" i="1"/>
  <c r="Y394" i="3" l="1"/>
  <c r="U82" i="13" s="1"/>
  <c r="X588" i="3"/>
  <c r="AG8" i="3"/>
  <c r="AG3" i="3" s="1"/>
  <c r="AA377" i="3"/>
  <c r="AA379" i="3"/>
  <c r="AA387" i="3" s="1"/>
  <c r="AG7" i="14"/>
  <c r="AG2" i="14" s="1"/>
  <c r="Z541" i="3"/>
  <c r="Y397" i="3"/>
  <c r="Z394" i="3" s="1"/>
  <c r="V82" i="13" s="1"/>
  <c r="V483" i="13" s="1" a="1"/>
  <c r="V483" i="13" s="1"/>
  <c r="M87" i="4"/>
  <c r="M193" i="4"/>
  <c r="V476" i="13"/>
  <c r="V477" i="13"/>
  <c r="AL484" i="13"/>
  <c r="AL485" i="13"/>
  <c r="AA541" i="3"/>
  <c r="T485" i="13"/>
  <c r="T484" i="13"/>
  <c r="H385" i="1"/>
  <c r="F385" i="1"/>
  <c r="S87" i="13"/>
  <c r="N9" i="6"/>
  <c r="BQ9" i="6" s="1"/>
  <c r="W295" i="11"/>
  <c r="W296" i="11" s="1"/>
  <c r="AC521" i="3"/>
  <c r="Y80" i="13"/>
  <c r="H384" i="1"/>
  <c r="H387" i="1"/>
  <c r="G386" i="1"/>
  <c r="AD378" i="3"/>
  <c r="AD550" i="3" s="1"/>
  <c r="Z93" i="13"/>
  <c r="AO93" i="13" s="1"/>
  <c r="W475" i="13" a="1"/>
  <c r="W475" i="13" s="1"/>
  <c r="X569" i="13" a="1"/>
  <c r="X569" i="13" s="1"/>
  <c r="X520" i="13" a="1"/>
  <c r="X520" i="13" s="1"/>
  <c r="V522" i="13"/>
  <c r="V521" i="13"/>
  <c r="T521" i="13"/>
  <c r="T522" i="13"/>
  <c r="V570" i="13"/>
  <c r="V571" i="13"/>
  <c r="H386" i="1"/>
  <c r="AB521" i="3"/>
  <c r="AB523" i="3" s="1"/>
  <c r="X80" i="13"/>
  <c r="X475" i="13" s="1" a="1"/>
  <c r="X475" i="13" s="1"/>
  <c r="Y569" i="13" a="1"/>
  <c r="Y569" i="13" s="1"/>
  <c r="Y520" i="13" a="1"/>
  <c r="Y520" i="13" s="1"/>
  <c r="F384" i="1"/>
  <c r="G385" i="1"/>
  <c r="H380" i="1"/>
  <c r="AM571" i="13"/>
  <c r="AM570" i="13"/>
  <c r="G380" i="1"/>
  <c r="AM522" i="13"/>
  <c r="AM521" i="13"/>
  <c r="T570" i="13"/>
  <c r="T571" i="13"/>
  <c r="W521" i="13"/>
  <c r="W522" i="13"/>
  <c r="AM80" i="13"/>
  <c r="AM475" i="13" s="1" a="1"/>
  <c r="AM475" i="13" s="1"/>
  <c r="F387" i="1"/>
  <c r="AL522" i="13"/>
  <c r="AL521" i="13"/>
  <c r="U483" i="13" a="1"/>
  <c r="U483" i="13" s="1"/>
  <c r="W570" i="13"/>
  <c r="W571" i="13"/>
  <c r="G384" i="1"/>
  <c r="AL570" i="13"/>
  <c r="AL571" i="13"/>
  <c r="S499" i="13" a="1"/>
  <c r="S499" i="13" s="1"/>
  <c r="U476" i="13"/>
  <c r="U477" i="13"/>
  <c r="W542" i="3"/>
  <c r="W537" i="3"/>
  <c r="X595" i="3"/>
  <c r="I381" i="1"/>
  <c r="T83" i="13"/>
  <c r="X283" i="11"/>
  <c r="X284" i="11" s="1"/>
  <c r="O8" i="6"/>
  <c r="BR8" i="6" s="1"/>
  <c r="AN93" i="13"/>
  <c r="F386" i="1"/>
  <c r="F380" i="1"/>
  <c r="G387" i="1"/>
  <c r="AN236" i="3"/>
  <c r="AN251" i="3" s="1"/>
  <c r="AN94" i="3"/>
  <c r="AH320" i="3"/>
  <c r="AH261" i="3"/>
  <c r="AB458" i="3"/>
  <c r="AB459" i="3" s="1"/>
  <c r="AB600" i="3" s="1"/>
  <c r="AB453" i="3"/>
  <c r="W366" i="3"/>
  <c r="W368" i="3" s="1"/>
  <c r="W349" i="3"/>
  <c r="W350" i="3"/>
  <c r="AH354" i="3"/>
  <c r="AH516" i="3"/>
  <c r="AH520" i="3" s="1"/>
  <c r="AH447" i="3"/>
  <c r="AG356" i="3"/>
  <c r="AG378" i="3" s="1"/>
  <c r="AG393" i="3"/>
  <c r="X362" i="3"/>
  <c r="X364" i="3" s="1"/>
  <c r="AA580" i="3"/>
  <c r="AA465" i="3"/>
  <c r="AG454" i="3"/>
  <c r="AF462" i="3"/>
  <c r="AF579" i="3"/>
  <c r="AG330" i="3"/>
  <c r="AG325" i="3"/>
  <c r="AI447" i="3"/>
  <c r="AI516" i="3"/>
  <c r="AI520" i="3" s="1"/>
  <c r="AI354" i="3"/>
  <c r="AF424" i="3"/>
  <c r="AF437" i="3" s="1"/>
  <c r="AE551" i="3"/>
  <c r="Y466" i="3"/>
  <c r="Y546" i="3" s="1"/>
  <c r="AF330" i="3"/>
  <c r="AF325" i="3"/>
  <c r="AF506" i="3" s="1"/>
  <c r="AG422" i="3"/>
  <c r="AG423" i="3"/>
  <c r="AM307" i="3"/>
  <c r="AM311" i="3" s="1"/>
  <c r="AM225" i="3"/>
  <c r="AM256" i="3" s="1"/>
  <c r="Y336" i="3"/>
  <c r="Y338" i="3" s="1"/>
  <c r="Y402" i="3"/>
  <c r="Y525" i="3"/>
  <c r="Y403" i="3"/>
  <c r="AG448" i="3"/>
  <c r="AH449" i="3"/>
  <c r="AB556" i="3"/>
  <c r="N86" i="4" s="1"/>
  <c r="AI320" i="3"/>
  <c r="AI261" i="3"/>
  <c r="Z580" i="3"/>
  <c r="Z465" i="3"/>
  <c r="Z466" i="3" s="1"/>
  <c r="Z546" i="3" s="1"/>
  <c r="AK225" i="3"/>
  <c r="AK256" i="3" s="1"/>
  <c r="AK307" i="3"/>
  <c r="AK311" i="3" s="1"/>
  <c r="AD551" i="3"/>
  <c r="AE506" i="3"/>
  <c r="AD452" i="3"/>
  <c r="AD358" i="3"/>
  <c r="AD360" i="3" s="1"/>
  <c r="AD313" i="3"/>
  <c r="AD333" i="3"/>
  <c r="AE550" i="3"/>
  <c r="AC458" i="3"/>
  <c r="AC459" i="3" s="1"/>
  <c r="AC600" i="3" s="1"/>
  <c r="AC453" i="3"/>
  <c r="AE358" i="3"/>
  <c r="AE360" i="3" s="1"/>
  <c r="AE452" i="3"/>
  <c r="AE313" i="3"/>
  <c r="AE521" i="3" s="1"/>
  <c r="AE523" i="3" s="1"/>
  <c r="AE333" i="3"/>
  <c r="AJ307" i="3"/>
  <c r="AJ311" i="3" s="1"/>
  <c r="AJ225" i="3"/>
  <c r="AJ256" i="3" s="1"/>
  <c r="AC556" i="3"/>
  <c r="AF356" i="3"/>
  <c r="AF378" i="3" s="1"/>
  <c r="AF393" i="3"/>
  <c r="AL94" i="3"/>
  <c r="AL236" i="3"/>
  <c r="AL251" i="3" s="1"/>
  <c r="AH647" i="3"/>
  <c r="AH9" i="3" a="1"/>
  <c r="AH9" i="3" s="1"/>
  <c r="AH6" i="3" a="1"/>
  <c r="AH6" i="3" s="1"/>
  <c r="AI4" i="3"/>
  <c r="AH13" i="3"/>
  <c r="AH7" i="3"/>
  <c r="AH8" i="14" a="1"/>
  <c r="AH8" i="14" s="1"/>
  <c r="AH6" i="14"/>
  <c r="AI3" i="14"/>
  <c r="AH5" i="14" a="1"/>
  <c r="AH5" i="14" s="1"/>
  <c r="AL387" i="1"/>
  <c r="AN384" i="1"/>
  <c r="AN387" i="1"/>
  <c r="AM385" i="1"/>
  <c r="AM380" i="1"/>
  <c r="AO381" i="1"/>
  <c r="AL380" i="1"/>
  <c r="AL384" i="1"/>
  <c r="AN385" i="1"/>
  <c r="AM384" i="1"/>
  <c r="AL386" i="1"/>
  <c r="AN386" i="1"/>
  <c r="AL385" i="1"/>
  <c r="AN380" i="1"/>
  <c r="AM387" i="1"/>
  <c r="AM386" i="1"/>
  <c r="Y588" i="3" l="1"/>
  <c r="Y595" i="3" s="1"/>
  <c r="AA524" i="3"/>
  <c r="AA388" i="3"/>
  <c r="Z392" i="3"/>
  <c r="AA382" i="3"/>
  <c r="AA587" i="3" s="1"/>
  <c r="AB541" i="3"/>
  <c r="AB379" i="3"/>
  <c r="AB524" i="3" s="1"/>
  <c r="AH7" i="14"/>
  <c r="AH2" i="14" s="1"/>
  <c r="AN80" i="13"/>
  <c r="AN475" i="13" s="1" a="1"/>
  <c r="AN475" i="13" s="1"/>
  <c r="AN476" i="13" s="1"/>
  <c r="AD556" i="3"/>
  <c r="O86" i="4" s="1"/>
  <c r="P87" i="4" s="1"/>
  <c r="AM82" i="13"/>
  <c r="AM483" i="13" s="1" a="1"/>
  <c r="AM483" i="13" s="1"/>
  <c r="AM485" i="13" s="1"/>
  <c r="AC523" i="3"/>
  <c r="Y521" i="13"/>
  <c r="Y522" i="13"/>
  <c r="W545" i="3"/>
  <c r="Y571" i="13"/>
  <c r="Y570" i="13"/>
  <c r="S503" i="13" a="1"/>
  <c r="S503" i="13" s="1"/>
  <c r="W476" i="13"/>
  <c r="W477" i="13"/>
  <c r="X476" i="13"/>
  <c r="X477" i="13"/>
  <c r="N87" i="4"/>
  <c r="N193" i="4"/>
  <c r="AO520" i="13" a="1"/>
  <c r="AO520" i="13" s="1"/>
  <c r="AO569" i="13" a="1"/>
  <c r="AO569" i="13" s="1"/>
  <c r="Z520" i="13" a="1"/>
  <c r="Z520" i="13" s="1"/>
  <c r="Z569" i="13" a="1"/>
  <c r="Z569" i="13" s="1"/>
  <c r="AD521" i="3"/>
  <c r="AD523" i="3" s="1"/>
  <c r="AD541" i="3" s="1"/>
  <c r="Z80" i="13"/>
  <c r="Z475" i="13" s="1" a="1"/>
  <c r="Z475" i="13" s="1"/>
  <c r="T487" i="13" a="1"/>
  <c r="T487" i="13" s="1"/>
  <c r="AL83" i="13"/>
  <c r="AL487" i="13" s="1" a="1"/>
  <c r="AL487" i="13" s="1"/>
  <c r="S501" i="13"/>
  <c r="S500" i="13"/>
  <c r="X521" i="13"/>
  <c r="X522" i="13"/>
  <c r="X571" i="13"/>
  <c r="X570" i="13"/>
  <c r="W299" i="11"/>
  <c r="W300" i="11" s="1"/>
  <c r="N10" i="6"/>
  <c r="BQ10" i="6" s="1"/>
  <c r="S88" i="13"/>
  <c r="Y527" i="3"/>
  <c r="Y283" i="11"/>
  <c r="Y284" i="11" s="1"/>
  <c r="U83" i="13"/>
  <c r="W341" i="11"/>
  <c r="W342" i="11" s="1"/>
  <c r="N17" i="6"/>
  <c r="BQ17" i="6" s="1"/>
  <c r="S101" i="13"/>
  <c r="Y475" i="13" a="1"/>
  <c r="Y475" i="13" s="1"/>
  <c r="AM477" i="13"/>
  <c r="AM476" i="13"/>
  <c r="Z397" i="3"/>
  <c r="Z588" i="3" s="1"/>
  <c r="U485" i="13"/>
  <c r="U484" i="13"/>
  <c r="V485" i="13"/>
  <c r="V484" i="13"/>
  <c r="AN520" i="13" a="1"/>
  <c r="AN520" i="13" s="1"/>
  <c r="AN569" i="13" a="1"/>
  <c r="AN569" i="13" s="1"/>
  <c r="AI449" i="3"/>
  <c r="AH448" i="3"/>
  <c r="AH422" i="3"/>
  <c r="AH423" i="3"/>
  <c r="AI330" i="3"/>
  <c r="AI325" i="3"/>
  <c r="AD458" i="3"/>
  <c r="AD459" i="3" s="1"/>
  <c r="AD600" i="3" s="1"/>
  <c r="AD453" i="3"/>
  <c r="AF551" i="3"/>
  <c r="AH356" i="3"/>
  <c r="AH378" i="3" s="1"/>
  <c r="AH393" i="3"/>
  <c r="AH330" i="3"/>
  <c r="AH325" i="3"/>
  <c r="AH506" i="3" s="1"/>
  <c r="AG579" i="3"/>
  <c r="AI393" i="3"/>
  <c r="AI356" i="3"/>
  <c r="AI378" i="3" s="1"/>
  <c r="AK447" i="3"/>
  <c r="AK516" i="3"/>
  <c r="AK520" i="3" s="1"/>
  <c r="AK354" i="3"/>
  <c r="AG452" i="3"/>
  <c r="AG458" i="3" s="1"/>
  <c r="AG459" i="3" s="1"/>
  <c r="AG600" i="3" s="1"/>
  <c r="AG358" i="3"/>
  <c r="AG360" i="3" s="1"/>
  <c r="AG313" i="3"/>
  <c r="AG521" i="3" s="1"/>
  <c r="AG523" i="3" s="1"/>
  <c r="AG333" i="3"/>
  <c r="AK320" i="3"/>
  <c r="AK261" i="3"/>
  <c r="AN307" i="3"/>
  <c r="AN311" i="3" s="1"/>
  <c r="AN225" i="3"/>
  <c r="AN256" i="3" s="1"/>
  <c r="AF528" i="3"/>
  <c r="AF560" i="3" s="1"/>
  <c r="AJ320" i="3"/>
  <c r="AJ261" i="3"/>
  <c r="AJ447" i="3"/>
  <c r="AJ516" i="3"/>
  <c r="AJ520" i="3" s="1"/>
  <c r="AJ354" i="3"/>
  <c r="AE541" i="3"/>
  <c r="AG551" i="3"/>
  <c r="AG550" i="3"/>
  <c r="AE458" i="3"/>
  <c r="AE459" i="3" s="1"/>
  <c r="AE600" i="3" s="1"/>
  <c r="AE453" i="3"/>
  <c r="AM516" i="3"/>
  <c r="AM520" i="3" s="1"/>
  <c r="AM354" i="3"/>
  <c r="AM447" i="3"/>
  <c r="AA466" i="3"/>
  <c r="AA546" i="3" s="1"/>
  <c r="AF452" i="3"/>
  <c r="AF358" i="3"/>
  <c r="AF360" i="3" s="1"/>
  <c r="AF313" i="3"/>
  <c r="AF521" i="3" s="1"/>
  <c r="AF523" i="3" s="1"/>
  <c r="AG506" i="3"/>
  <c r="AF333" i="3"/>
  <c r="AG462" i="3"/>
  <c r="AH454" i="3"/>
  <c r="AH8" i="3"/>
  <c r="AH3" i="3" s="1"/>
  <c r="Y362" i="3"/>
  <c r="Y364" i="3" s="1"/>
  <c r="AM261" i="3"/>
  <c r="AM320" i="3"/>
  <c r="AC580" i="3"/>
  <c r="AC465" i="3"/>
  <c r="AF550" i="3"/>
  <c r="AE556" i="3"/>
  <c r="W619" i="3"/>
  <c r="W371" i="3"/>
  <c r="W370" i="3"/>
  <c r="X494" i="3"/>
  <c r="AB580" i="3"/>
  <c r="AB465" i="3"/>
  <c r="AB466" i="3" s="1"/>
  <c r="AB546" i="3" s="1"/>
  <c r="AL225" i="3"/>
  <c r="AL256" i="3" s="1"/>
  <c r="AL307" i="3"/>
  <c r="AL311" i="3" s="1"/>
  <c r="AG424" i="3"/>
  <c r="AG437" i="3" s="1"/>
  <c r="Z402" i="3"/>
  <c r="Z525" i="3"/>
  <c r="Z527" i="3" s="1"/>
  <c r="Z403" i="3"/>
  <c r="Z336" i="3"/>
  <c r="Z338" i="3" s="1"/>
  <c r="AI8" i="14" a="1"/>
  <c r="AI8" i="14" s="1"/>
  <c r="AI6" i="14"/>
  <c r="AI5" i="14" a="1"/>
  <c r="AI5" i="14" s="1"/>
  <c r="AJ3" i="14"/>
  <c r="AI647" i="3"/>
  <c r="AJ4" i="3"/>
  <c r="AI13" i="3"/>
  <c r="AI7" i="3"/>
  <c r="AI6" i="3" a="1"/>
  <c r="AI6" i="3" s="1"/>
  <c r="AI9" i="3" a="1"/>
  <c r="AI9" i="3" s="1"/>
  <c r="AB377" i="3" l="1"/>
  <c r="AB388" i="3"/>
  <c r="AB387" i="3"/>
  <c r="AB382" i="3"/>
  <c r="AO80" i="13"/>
  <c r="AO475" i="13" s="1" a="1"/>
  <c r="AO475" i="13" s="1"/>
  <c r="AO477" i="13" s="1"/>
  <c r="AN477" i="13"/>
  <c r="AG453" i="3"/>
  <c r="AA394" i="3"/>
  <c r="W82" i="13" s="1"/>
  <c r="W483" i="13" s="1" a="1"/>
  <c r="W483" i="13" s="1"/>
  <c r="AA392" i="3"/>
  <c r="AA397" i="3" s="1"/>
  <c r="AM484" i="13"/>
  <c r="AF556" i="3"/>
  <c r="AG556" i="3"/>
  <c r="O87" i="4"/>
  <c r="O193" i="4"/>
  <c r="S504" i="13"/>
  <c r="S505" i="13"/>
  <c r="U487" i="13" a="1"/>
  <c r="U487" i="13" s="1"/>
  <c r="Z570" i="13"/>
  <c r="Z571" i="13"/>
  <c r="Z521" i="13"/>
  <c r="Z522" i="13"/>
  <c r="Y476" i="13"/>
  <c r="Y477" i="13"/>
  <c r="AO571" i="13"/>
  <c r="AO570" i="13"/>
  <c r="AO522" i="13"/>
  <c r="AO521" i="13"/>
  <c r="AI8" i="3"/>
  <c r="AI3" i="3" s="1"/>
  <c r="Z595" i="3"/>
  <c r="AN521" i="13"/>
  <c r="AN522" i="13"/>
  <c r="S102" i="13"/>
  <c r="W345" i="11"/>
  <c r="W346" i="11" s="1"/>
  <c r="N18" i="6"/>
  <c r="BQ18" i="6" s="1"/>
  <c r="W548" i="3"/>
  <c r="S507" i="13" a="1"/>
  <c r="S507" i="13" s="1"/>
  <c r="AL489" i="13"/>
  <c r="AL488" i="13"/>
  <c r="T489" i="13"/>
  <c r="T488" i="13"/>
  <c r="AI7" i="14"/>
  <c r="AI2" i="14" s="1"/>
  <c r="Z476" i="13"/>
  <c r="Z477" i="13"/>
  <c r="AC541" i="3"/>
  <c r="Z283" i="11"/>
  <c r="Z284" i="11" s="1"/>
  <c r="V83" i="13"/>
  <c r="V487" i="13" s="1" a="1"/>
  <c r="V487" i="13" s="1"/>
  <c r="AN571" i="13"/>
  <c r="AN570" i="13"/>
  <c r="S552" i="13" a="1"/>
  <c r="S552" i="13" s="1"/>
  <c r="S581" i="13" a="1"/>
  <c r="S581" i="13" s="1"/>
  <c r="AM393" i="3"/>
  <c r="AM356" i="3"/>
  <c r="AM378" i="3" s="1"/>
  <c r="AM330" i="3"/>
  <c r="AM325" i="3"/>
  <c r="AI550" i="3"/>
  <c r="X563" i="3"/>
  <c r="X493" i="3"/>
  <c r="AK330" i="3"/>
  <c r="AK325" i="3"/>
  <c r="AH551" i="3"/>
  <c r="AK356" i="3"/>
  <c r="AK378" i="3" s="1"/>
  <c r="AK393" i="3"/>
  <c r="AJ330" i="3"/>
  <c r="AJ325" i="3"/>
  <c r="AJ506" i="3" s="1"/>
  <c r="AI422" i="3"/>
  <c r="AI423" i="3"/>
  <c r="AI452" i="3"/>
  <c r="AI458" i="3" s="1"/>
  <c r="AI459" i="3" s="1"/>
  <c r="AI600" i="3" s="1"/>
  <c r="AI358" i="3"/>
  <c r="AI360" i="3" s="1"/>
  <c r="AI313" i="3"/>
  <c r="AI521" i="3" s="1"/>
  <c r="AI523" i="3" s="1"/>
  <c r="AI333" i="3"/>
  <c r="AH550" i="3"/>
  <c r="AH424" i="3"/>
  <c r="AH437" i="3" s="1"/>
  <c r="AF458" i="3"/>
  <c r="AF459" i="3" s="1"/>
  <c r="AF600" i="3" s="1"/>
  <c r="AF453" i="3"/>
  <c r="AE580" i="3"/>
  <c r="AE465" i="3"/>
  <c r="AC377" i="3"/>
  <c r="AB587" i="3"/>
  <c r="AC379" i="3"/>
  <c r="AG528" i="3"/>
  <c r="AG560" i="3" s="1"/>
  <c r="AG541" i="3"/>
  <c r="AH579" i="3"/>
  <c r="AN354" i="3"/>
  <c r="AN447" i="3"/>
  <c r="AN516" i="3"/>
  <c r="AN520" i="3" s="1"/>
  <c r="AL354" i="3"/>
  <c r="AL516" i="3"/>
  <c r="AL520" i="3" s="1"/>
  <c r="AL447" i="3"/>
  <c r="AL320" i="3"/>
  <c r="AL261" i="3"/>
  <c r="AJ449" i="3"/>
  <c r="AI448" i="3"/>
  <c r="AJ393" i="3"/>
  <c r="AJ356" i="3"/>
  <c r="AJ378" i="3" s="1"/>
  <c r="Z362" i="3"/>
  <c r="Z364" i="3" s="1"/>
  <c r="AI551" i="3"/>
  <c r="AD580" i="3"/>
  <c r="AD465" i="3"/>
  <c r="AN261" i="3"/>
  <c r="AN320" i="3"/>
  <c r="W622" i="3"/>
  <c r="AI506" i="3"/>
  <c r="AH452" i="3"/>
  <c r="AH458" i="3" s="1"/>
  <c r="AH459" i="3" s="1"/>
  <c r="AH600" i="3" s="1"/>
  <c r="AH358" i="3"/>
  <c r="AH360" i="3" s="1"/>
  <c r="AH313" i="3"/>
  <c r="AH521" i="3" s="1"/>
  <c r="AH523" i="3" s="1"/>
  <c r="AH333" i="3"/>
  <c r="AA402" i="3"/>
  <c r="AA525" i="3"/>
  <c r="AI454" i="3"/>
  <c r="AH462" i="3"/>
  <c r="AC466" i="3"/>
  <c r="AC546" i="3" s="1"/>
  <c r="AF541" i="3"/>
  <c r="AJ647" i="3"/>
  <c r="AJ13" i="3"/>
  <c r="AJ7" i="3"/>
  <c r="AK4" i="3"/>
  <c r="AJ9" i="3" a="1"/>
  <c r="AJ9" i="3" s="1"/>
  <c r="AJ6" i="3" a="1"/>
  <c r="AJ6" i="3" s="1"/>
  <c r="AJ6" i="14"/>
  <c r="AJ5" i="14" a="1"/>
  <c r="AJ5" i="14" s="1"/>
  <c r="AK3" i="14"/>
  <c r="AJ8" i="14" a="1"/>
  <c r="AJ8" i="14" s="1"/>
  <c r="AO476" i="13" l="1"/>
  <c r="AA336" i="3"/>
  <c r="AA338" i="3" s="1"/>
  <c r="AA362" i="3" s="1"/>
  <c r="AA364" i="3" s="1"/>
  <c r="AA403" i="3"/>
  <c r="AJ7" i="14"/>
  <c r="AJ2" i="14" s="1"/>
  <c r="AI556" i="3"/>
  <c r="AE466" i="3"/>
  <c r="AE546" i="3" s="1"/>
  <c r="AG580" i="3"/>
  <c r="AG465" i="3"/>
  <c r="V488" i="13"/>
  <c r="V489" i="13"/>
  <c r="S508" i="13"/>
  <c r="S509" i="13"/>
  <c r="W648" i="3"/>
  <c r="W649" i="3" s="1"/>
  <c r="W570" i="3"/>
  <c r="S556" i="13" a="1"/>
  <c r="S556" i="13" s="1"/>
  <c r="X496" i="3"/>
  <c r="O11" i="6"/>
  <c r="BR11" i="6" s="1"/>
  <c r="X303" i="11"/>
  <c r="X304" i="11" s="1"/>
  <c r="T103" i="13"/>
  <c r="T89" i="13"/>
  <c r="W83" i="13"/>
  <c r="U488" i="13"/>
  <c r="U489" i="13"/>
  <c r="AM83" i="13"/>
  <c r="AM487" i="13" s="1" a="1"/>
  <c r="AM487" i="13" s="1"/>
  <c r="S583" i="13"/>
  <c r="S582" i="13"/>
  <c r="AA527" i="3"/>
  <c r="AJ8" i="3"/>
  <c r="AJ3" i="3" s="1"/>
  <c r="S553" i="13"/>
  <c r="S554" i="13"/>
  <c r="F378" i="1"/>
  <c r="W484" i="13"/>
  <c r="W485" i="13"/>
  <c r="AI541" i="3"/>
  <c r="AA588" i="3"/>
  <c r="AA595" i="3" s="1"/>
  <c r="AB392" i="3"/>
  <c r="AB394" i="3"/>
  <c r="X82" i="13" s="1"/>
  <c r="AJ551" i="3"/>
  <c r="AJ423" i="3"/>
  <c r="AJ422" i="3"/>
  <c r="AK313" i="3"/>
  <c r="AK521" i="3" s="1"/>
  <c r="AK523" i="3" s="1"/>
  <c r="AK452" i="3"/>
  <c r="AK458" i="3" s="1"/>
  <c r="AK333" i="3"/>
  <c r="AK358" i="3"/>
  <c r="AK360" i="3" s="1"/>
  <c r="AN330" i="3"/>
  <c r="AN325" i="3"/>
  <c r="AN506" i="3" s="1"/>
  <c r="AJ454" i="3"/>
  <c r="AI453" i="3"/>
  <c r="AI580" i="3" s="1"/>
  <c r="AI462" i="3"/>
  <c r="AJ313" i="3"/>
  <c r="AJ521" i="3" s="1"/>
  <c r="AJ523" i="3" s="1"/>
  <c r="AJ333" i="3"/>
  <c r="AK506" i="3"/>
  <c r="AJ452" i="3"/>
  <c r="AJ458" i="3" s="1"/>
  <c r="AJ459" i="3" s="1"/>
  <c r="AJ600" i="3" s="1"/>
  <c r="AJ358" i="3"/>
  <c r="AJ360" i="3" s="1"/>
  <c r="AI579" i="3"/>
  <c r="AH453" i="3"/>
  <c r="AL330" i="3"/>
  <c r="AL325" i="3"/>
  <c r="AL506" i="3" s="1"/>
  <c r="AM452" i="3"/>
  <c r="AM458" i="3" s="1"/>
  <c r="AM313" i="3"/>
  <c r="AM521" i="3" s="1"/>
  <c r="AM523" i="3" s="1"/>
  <c r="AM333" i="3"/>
  <c r="AM358" i="3"/>
  <c r="AM360" i="3" s="1"/>
  <c r="AF580" i="3"/>
  <c r="AF465" i="3"/>
  <c r="AG466" i="3" s="1"/>
  <c r="AG546" i="3" s="1"/>
  <c r="AH528" i="3"/>
  <c r="AH560" i="3" s="1"/>
  <c r="AC524" i="3"/>
  <c r="AC387" i="3"/>
  <c r="AC388" i="3"/>
  <c r="AC382" i="3"/>
  <c r="AI424" i="3"/>
  <c r="AI437" i="3" s="1"/>
  <c r="AN393" i="3"/>
  <c r="AN356" i="3"/>
  <c r="AN378" i="3" s="1"/>
  <c r="AK551" i="3"/>
  <c r="AD466" i="3"/>
  <c r="AD546" i="3" s="1"/>
  <c r="AJ448" i="3"/>
  <c r="AK449" i="3"/>
  <c r="AL393" i="3"/>
  <c r="AL356" i="3"/>
  <c r="AL378" i="3" s="1"/>
  <c r="AH541" i="3"/>
  <c r="AH556" i="3"/>
  <c r="AK550" i="3"/>
  <c r="AM550" i="3"/>
  <c r="AJ550" i="3"/>
  <c r="AM551" i="3"/>
  <c r="AK6" i="14"/>
  <c r="AK5" i="14" a="1"/>
  <c r="AK5" i="14" s="1"/>
  <c r="AL3" i="14"/>
  <c r="AK8" i="14" a="1"/>
  <c r="AK8" i="14" s="1"/>
  <c r="AK647" i="3"/>
  <c r="AK13" i="3"/>
  <c r="AK7" i="3"/>
  <c r="AK9" i="3" a="1"/>
  <c r="AK9" i="3" s="1"/>
  <c r="AK6" i="3" a="1"/>
  <c r="AK6" i="3" s="1"/>
  <c r="AL4" i="3"/>
  <c r="AL378" i="1"/>
  <c r="AJ424" i="3" l="1"/>
  <c r="AJ437" i="3" s="1"/>
  <c r="AJ556" i="3"/>
  <c r="AK8" i="3"/>
  <c r="AK3" i="3" s="1"/>
  <c r="H378" i="1"/>
  <c r="S558" i="13"/>
  <c r="S557" i="13"/>
  <c r="G378" i="1"/>
  <c r="W573" i="3"/>
  <c r="X483" i="13" a="1"/>
  <c r="X483" i="13" s="1"/>
  <c r="AN82" i="13"/>
  <c r="AN483" i="13" s="1" a="1"/>
  <c r="AN483" i="13" s="1"/>
  <c r="T511" i="13" a="1"/>
  <c r="T511" i="13" s="1"/>
  <c r="AL89" i="13"/>
  <c r="AL511" i="13" s="1" a="1"/>
  <c r="AL511" i="13" s="1"/>
  <c r="AM489" i="13"/>
  <c r="AM488" i="13"/>
  <c r="T560" i="13" a="1"/>
  <c r="T560" i="13" s="1"/>
  <c r="AL103" i="13"/>
  <c r="AL560" i="13" s="1" a="1"/>
  <c r="AL560" i="13" s="1"/>
  <c r="W487" i="13" a="1"/>
  <c r="W487" i="13" s="1"/>
  <c r="AK7" i="14"/>
  <c r="AK2" i="14" s="1"/>
  <c r="AM541" i="3"/>
  <c r="AB397" i="3"/>
  <c r="AK422" i="3"/>
  <c r="AK423" i="3"/>
  <c r="AJ462" i="3"/>
  <c r="AJ453" i="3"/>
  <c r="AJ580" i="3" s="1"/>
  <c r="AK454" i="3"/>
  <c r="AN313" i="3"/>
  <c r="AN521" i="3" s="1"/>
  <c r="AN523" i="3" s="1"/>
  <c r="AN452" i="3"/>
  <c r="AN458" i="3" s="1"/>
  <c r="AN333" i="3"/>
  <c r="AN358" i="3"/>
  <c r="AN360" i="3" s="1"/>
  <c r="AM556" i="3"/>
  <c r="AN551" i="3"/>
  <c r="AC587" i="3"/>
  <c r="AD379" i="3"/>
  <c r="AD377" i="3"/>
  <c r="AB525" i="3"/>
  <c r="AB402" i="3"/>
  <c r="AB403" i="3"/>
  <c r="AB336" i="3"/>
  <c r="AB338" i="3" s="1"/>
  <c r="AK459" i="3"/>
  <c r="AK600" i="3" s="1"/>
  <c r="AJ528" i="3"/>
  <c r="AJ560" i="3" s="1"/>
  <c r="AK556" i="3"/>
  <c r="AM506" i="3"/>
  <c r="AL452" i="3"/>
  <c r="AL458" i="3" s="1"/>
  <c r="AL358" i="3"/>
  <c r="AL360" i="3" s="1"/>
  <c r="AL313" i="3"/>
  <c r="AL521" i="3" s="1"/>
  <c r="AL523" i="3" s="1"/>
  <c r="AL333" i="3"/>
  <c r="AL551" i="3"/>
  <c r="AI465" i="3"/>
  <c r="AK541" i="3"/>
  <c r="AJ541" i="3"/>
  <c r="AN550" i="3"/>
  <c r="AI528" i="3"/>
  <c r="AI560" i="3" s="1"/>
  <c r="AL550" i="3"/>
  <c r="AH580" i="3"/>
  <c r="AH465" i="3"/>
  <c r="AF466" i="3"/>
  <c r="AF546" i="3" s="1"/>
  <c r="AL449" i="3"/>
  <c r="AK448" i="3"/>
  <c r="AJ579" i="3"/>
  <c r="AL647" i="3"/>
  <c r="AL13" i="3"/>
  <c r="AL7" i="3"/>
  <c r="AL9" i="3" a="1"/>
  <c r="AL9" i="3" s="1"/>
  <c r="AL6" i="3" a="1"/>
  <c r="AL6" i="3" s="1"/>
  <c r="AL8" i="3" s="1"/>
  <c r="AL3" i="3" s="1"/>
  <c r="AM4" i="3"/>
  <c r="AL6" i="14"/>
  <c r="AL5" i="14" a="1"/>
  <c r="AL5" i="14" s="1"/>
  <c r="AL7" i="14" s="1"/>
  <c r="AL2" i="14" s="1"/>
  <c r="AL8" i="14" a="1"/>
  <c r="AL8" i="14" s="1"/>
  <c r="AN378" i="1"/>
  <c r="AM378" i="1"/>
  <c r="AD382" i="3" l="1"/>
  <c r="AL459" i="3"/>
  <c r="AL600" i="3" s="1"/>
  <c r="X484" i="13"/>
  <c r="X485" i="13"/>
  <c r="AB527" i="3"/>
  <c r="X83" i="13"/>
  <c r="AN485" i="13"/>
  <c r="AN484" i="13"/>
  <c r="AL512" i="13"/>
  <c r="AL513" i="13"/>
  <c r="W599" i="3"/>
  <c r="W606" i="3" s="1"/>
  <c r="W615" i="3" s="1"/>
  <c r="X569" i="3"/>
  <c r="X428" i="3" s="1"/>
  <c r="W578" i="3"/>
  <c r="W585" i="3" s="1"/>
  <c r="W597" i="3" s="1"/>
  <c r="W575" i="3"/>
  <c r="W500" i="3"/>
  <c r="W503" i="3" s="1"/>
  <c r="W507" i="3" s="1"/>
  <c r="W429" i="3"/>
  <c r="T512" i="13"/>
  <c r="T513" i="13"/>
  <c r="T561" i="13"/>
  <c r="T562" i="13"/>
  <c r="AJ465" i="3"/>
  <c r="AJ466" i="3" s="1"/>
  <c r="AJ546" i="3" s="1"/>
  <c r="W488" i="13"/>
  <c r="W489" i="13"/>
  <c r="AL562" i="13"/>
  <c r="AL561" i="13"/>
  <c r="AB362" i="3"/>
  <c r="AB364" i="3" s="1"/>
  <c r="AI466" i="3"/>
  <c r="AI546" i="3" s="1"/>
  <c r="AH466" i="3"/>
  <c r="AH546" i="3" s="1"/>
  <c r="AN541" i="3"/>
  <c r="AL556" i="3"/>
  <c r="AD587" i="3"/>
  <c r="AE379" i="3"/>
  <c r="AE377" i="3"/>
  <c r="AD524" i="3"/>
  <c r="AD387" i="3"/>
  <c r="AD388" i="3"/>
  <c r="AK462" i="3"/>
  <c r="AL454" i="3"/>
  <c r="AK453" i="3"/>
  <c r="AK580" i="3" s="1"/>
  <c r="AK424" i="3"/>
  <c r="AK437" i="3" s="1"/>
  <c r="AB588" i="3"/>
  <c r="AC394" i="3"/>
  <c r="Y82" i="13" s="1"/>
  <c r="AC392" i="3"/>
  <c r="AC397" i="3" s="1"/>
  <c r="AN556" i="3"/>
  <c r="AK579" i="3"/>
  <c r="AM449" i="3"/>
  <c r="AL448" i="3"/>
  <c r="AL541" i="3"/>
  <c r="AL423" i="3"/>
  <c r="AL422" i="3"/>
  <c r="AM647" i="3"/>
  <c r="AM7" i="3"/>
  <c r="AM9" i="3" a="1"/>
  <c r="AM9" i="3" s="1"/>
  <c r="AM6" i="3" a="1"/>
  <c r="AM6" i="3" s="1"/>
  <c r="AM8" i="3" s="1"/>
  <c r="AM3" i="3" s="1"/>
  <c r="AN4" i="3"/>
  <c r="AM13" i="3"/>
  <c r="F110" i="4" l="1"/>
  <c r="F114" i="4" s="1"/>
  <c r="F125" i="4" s="1"/>
  <c r="F151" i="4" s="1"/>
  <c r="G138" i="4"/>
  <c r="G128" i="4"/>
  <c r="I204" i="1" s="1"/>
  <c r="G139" i="4"/>
  <c r="I216" i="1" s="1"/>
  <c r="G108" i="4"/>
  <c r="I183" i="1" s="1"/>
  <c r="G119" i="4"/>
  <c r="G144" i="4"/>
  <c r="G127" i="4"/>
  <c r="G134" i="4" s="1"/>
  <c r="G160" i="4"/>
  <c r="G158" i="4"/>
  <c r="G109" i="4"/>
  <c r="I184" i="1" s="1"/>
  <c r="G107" i="4"/>
  <c r="G154" i="4"/>
  <c r="G202" i="4" s="1"/>
  <c r="H112" i="4"/>
  <c r="H160" i="4"/>
  <c r="H131" i="4"/>
  <c r="J205" i="1" s="1"/>
  <c r="H146" i="4"/>
  <c r="J225" i="1" s="1"/>
  <c r="H139" i="4"/>
  <c r="H119" i="4"/>
  <c r="H117" i="4"/>
  <c r="J193" i="1" s="1"/>
  <c r="H129" i="4"/>
  <c r="J207" i="1" s="1"/>
  <c r="I159" i="4"/>
  <c r="H110" i="4"/>
  <c r="H128" i="4"/>
  <c r="J204" i="1" s="1"/>
  <c r="H116" i="4"/>
  <c r="H108" i="4"/>
  <c r="J183" i="1" s="1"/>
  <c r="H102" i="4"/>
  <c r="H132" i="4"/>
  <c r="H109" i="4"/>
  <c r="J184" i="1" s="1"/>
  <c r="I109" i="4"/>
  <c r="K184" i="1" s="1"/>
  <c r="I154" i="4"/>
  <c r="I202" i="4" s="1"/>
  <c r="I128" i="4"/>
  <c r="K204" i="1" s="1"/>
  <c r="H159" i="4"/>
  <c r="I130" i="4"/>
  <c r="H153" i="4"/>
  <c r="H201" i="4" s="1"/>
  <c r="I108" i="4"/>
  <c r="K183" i="1" s="1"/>
  <c r="H111" i="4"/>
  <c r="H144" i="4"/>
  <c r="I131" i="4"/>
  <c r="K205" i="1" s="1"/>
  <c r="H137" i="4"/>
  <c r="H154" i="4"/>
  <c r="H202" i="4" s="1"/>
  <c r="I110" i="4"/>
  <c r="H130" i="4"/>
  <c r="H147" i="4"/>
  <c r="I144" i="4"/>
  <c r="I112" i="4"/>
  <c r="I127" i="4"/>
  <c r="I147" i="4"/>
  <c r="H120" i="4"/>
  <c r="I160" i="4"/>
  <c r="H158" i="4"/>
  <c r="I139" i="4"/>
  <c r="I102" i="4"/>
  <c r="H122" i="4"/>
  <c r="I120" i="4"/>
  <c r="H138" i="4"/>
  <c r="J210" i="1" s="1"/>
  <c r="I132" i="4"/>
  <c r="K208" i="1" s="1"/>
  <c r="I138" i="4"/>
  <c r="K210" i="1" s="1"/>
  <c r="I121" i="4"/>
  <c r="I117" i="4"/>
  <c r="K193" i="1" s="1"/>
  <c r="H127" i="4"/>
  <c r="H121" i="4"/>
  <c r="H107" i="4"/>
  <c r="H145" i="4"/>
  <c r="J224" i="1" s="1"/>
  <c r="I118" i="4"/>
  <c r="K191" i="1" s="1"/>
  <c r="I111" i="4"/>
  <c r="I107" i="4"/>
  <c r="J130" i="4"/>
  <c r="J159" i="4"/>
  <c r="I145" i="4"/>
  <c r="K224" i="1" s="1"/>
  <c r="J110" i="4"/>
  <c r="J119" i="4"/>
  <c r="I119" i="4"/>
  <c r="K189" i="1" s="1"/>
  <c r="J109" i="4"/>
  <c r="L184" i="1" s="1"/>
  <c r="J129" i="4"/>
  <c r="L207" i="1" s="1"/>
  <c r="J146" i="4"/>
  <c r="L225" i="1" s="1"/>
  <c r="J107" i="4"/>
  <c r="J117" i="4"/>
  <c r="L193" i="1" s="1"/>
  <c r="I146" i="4"/>
  <c r="K225" i="1" s="1"/>
  <c r="I137" i="4"/>
  <c r="K216" i="1" s="1"/>
  <c r="J111" i="4"/>
  <c r="J102" i="4"/>
  <c r="J158" i="4"/>
  <c r="J145" i="4"/>
  <c r="L224" i="1" s="1"/>
  <c r="J118" i="4"/>
  <c r="L191" i="1" s="1"/>
  <c r="J122" i="4"/>
  <c r="J128" i="4"/>
  <c r="L204" i="1" s="1"/>
  <c r="J154" i="4"/>
  <c r="J202" i="4" s="1"/>
  <c r="I129" i="4"/>
  <c r="K207" i="1" s="1"/>
  <c r="J112" i="4"/>
  <c r="I116" i="4"/>
  <c r="K159" i="4"/>
  <c r="I158" i="4"/>
  <c r="J144" i="4"/>
  <c r="J121" i="4"/>
  <c r="J138" i="4"/>
  <c r="L210" i="1" s="1"/>
  <c r="K111" i="4"/>
  <c r="J160" i="4"/>
  <c r="J136" i="4"/>
  <c r="J153" i="4"/>
  <c r="J201" i="4" s="1"/>
  <c r="K138" i="4"/>
  <c r="M210" i="1" s="1"/>
  <c r="K127" i="4"/>
  <c r="K112" i="4"/>
  <c r="K146" i="4"/>
  <c r="M225" i="1" s="1"/>
  <c r="J120" i="4"/>
  <c r="K118" i="4"/>
  <c r="M191" i="1" s="1"/>
  <c r="K117" i="4"/>
  <c r="M193" i="1" s="1"/>
  <c r="I122" i="4"/>
  <c r="K194" i="1" s="1"/>
  <c r="K158" i="4"/>
  <c r="K129" i="4"/>
  <c r="M207" i="1" s="1"/>
  <c r="J139" i="4"/>
  <c r="J137" i="4"/>
  <c r="L216" i="1" s="1"/>
  <c r="K136" i="4"/>
  <c r="K160" i="4"/>
  <c r="K154" i="4"/>
  <c r="K202" i="4" s="1"/>
  <c r="I136" i="4"/>
  <c r="J116" i="4"/>
  <c r="K110" i="4"/>
  <c r="I153" i="4"/>
  <c r="I201" i="4" s="1"/>
  <c r="K128" i="4"/>
  <c r="M204" i="1" s="1"/>
  <c r="K145" i="4"/>
  <c r="M224" i="1" s="1"/>
  <c r="J132" i="4"/>
  <c r="L208" i="1" s="1"/>
  <c r="J108" i="4"/>
  <c r="L183" i="1" s="1"/>
  <c r="K109" i="4"/>
  <c r="M184" i="1" s="1"/>
  <c r="K132" i="4"/>
  <c r="M208" i="1" s="1"/>
  <c r="K131" i="4"/>
  <c r="M205" i="1" s="1"/>
  <c r="K139" i="4"/>
  <c r="J147" i="4"/>
  <c r="K120" i="4"/>
  <c r="L131" i="4"/>
  <c r="N205" i="1" s="1"/>
  <c r="K153" i="4"/>
  <c r="K201" i="4" s="1"/>
  <c r="J131" i="4"/>
  <c r="L205" i="1" s="1"/>
  <c r="L112" i="4"/>
  <c r="L160" i="4"/>
  <c r="L108" i="4"/>
  <c r="N183" i="1" s="1"/>
  <c r="L130" i="4"/>
  <c r="K121" i="4"/>
  <c r="K102" i="4"/>
  <c r="K122" i="4"/>
  <c r="L120" i="4"/>
  <c r="L158" i="4"/>
  <c r="L147" i="4"/>
  <c r="L144" i="4"/>
  <c r="N223" i="1" s="1"/>
  <c r="L119" i="4"/>
  <c r="L118" i="4"/>
  <c r="N191" i="1" s="1"/>
  <c r="K130" i="4"/>
  <c r="L139" i="4"/>
  <c r="J127" i="4"/>
  <c r="L136" i="4"/>
  <c r="L110" i="4"/>
  <c r="K108" i="4"/>
  <c r="M183" i="1" s="1"/>
  <c r="L128" i="4"/>
  <c r="N204" i="1" s="1"/>
  <c r="L129" i="4"/>
  <c r="N207" i="1" s="1"/>
  <c r="L122" i="4"/>
  <c r="L159" i="4"/>
  <c r="L121" i="4"/>
  <c r="K119" i="4"/>
  <c r="M189" i="1" s="1"/>
  <c r="L116" i="4"/>
  <c r="K144" i="4"/>
  <c r="K107" i="4"/>
  <c r="K137" i="4"/>
  <c r="K147" i="4"/>
  <c r="M160" i="4"/>
  <c r="M159" i="4"/>
  <c r="M112" i="4"/>
  <c r="M132" i="4"/>
  <c r="L111" i="4"/>
  <c r="M139" i="4"/>
  <c r="L145" i="4"/>
  <c r="N224" i="1" s="1"/>
  <c r="M111" i="4"/>
  <c r="M131" i="4"/>
  <c r="O205" i="1" s="1"/>
  <c r="M120" i="4"/>
  <c r="M138" i="4"/>
  <c r="O210" i="1" s="1"/>
  <c r="M147" i="4"/>
  <c r="M117" i="4"/>
  <c r="O193" i="1" s="1"/>
  <c r="M158" i="4"/>
  <c r="M130" i="4"/>
  <c r="L132" i="4"/>
  <c r="M137" i="4"/>
  <c r="M119" i="4"/>
  <c r="M121" i="4"/>
  <c r="M118" i="4"/>
  <c r="O191" i="1" s="1"/>
  <c r="N120" i="4"/>
  <c r="N159" i="4"/>
  <c r="N160" i="4"/>
  <c r="M129" i="4"/>
  <c r="O207" i="1" s="1"/>
  <c r="N132" i="4"/>
  <c r="N131" i="4"/>
  <c r="P205" i="1" s="1"/>
  <c r="K116" i="4"/>
  <c r="N108" i="4"/>
  <c r="P183" i="1" s="1"/>
  <c r="N136" i="4"/>
  <c r="M128" i="4"/>
  <c r="O204" i="1" s="1"/>
  <c r="N116" i="4"/>
  <c r="P190" i="1" s="1"/>
  <c r="N129" i="4"/>
  <c r="P207" i="1" s="1"/>
  <c r="N144" i="4"/>
  <c r="P223" i="1" s="1"/>
  <c r="L138" i="4"/>
  <c r="N210" i="1" s="1"/>
  <c r="M116" i="4"/>
  <c r="N145" i="4"/>
  <c r="P224" i="1" s="1"/>
  <c r="L117" i="4"/>
  <c r="N193" i="1" s="1"/>
  <c r="N138" i="4"/>
  <c r="P210" i="1" s="1"/>
  <c r="N158" i="4"/>
  <c r="N111" i="4"/>
  <c r="N110" i="4"/>
  <c r="P186" i="1" s="1"/>
  <c r="M109" i="4"/>
  <c r="O184" i="1" s="1"/>
  <c r="N128" i="4"/>
  <c r="P204" i="1" s="1"/>
  <c r="N121" i="4"/>
  <c r="M145" i="4"/>
  <c r="O224" i="1" s="1"/>
  <c r="L109" i="4"/>
  <c r="N184" i="1" s="1"/>
  <c r="M122" i="4"/>
  <c r="N109" i="4"/>
  <c r="P184" i="1" s="1"/>
  <c r="M108" i="4"/>
  <c r="O183" i="1" s="1"/>
  <c r="N112" i="4"/>
  <c r="M136" i="4"/>
  <c r="N117" i="4"/>
  <c r="L137" i="4"/>
  <c r="N216" i="1" s="1"/>
  <c r="M144" i="4"/>
  <c r="O223" i="1" s="1"/>
  <c r="O147" i="4"/>
  <c r="O122" i="4"/>
  <c r="O130" i="4"/>
  <c r="O111" i="4"/>
  <c r="O131" i="4"/>
  <c r="Q205" i="1" s="1"/>
  <c r="N139" i="4"/>
  <c r="N122" i="4"/>
  <c r="O158" i="4"/>
  <c r="O129" i="4"/>
  <c r="Q207" i="1" s="1"/>
  <c r="O120" i="4"/>
  <c r="N119" i="4"/>
  <c r="O145" i="4"/>
  <c r="Q224" i="1" s="1"/>
  <c r="M110" i="4"/>
  <c r="O128" i="4"/>
  <c r="Q204" i="1" s="1"/>
  <c r="N137" i="4"/>
  <c r="O116" i="4"/>
  <c r="Q190" i="1" s="1"/>
  <c r="N130" i="4"/>
  <c r="O159" i="4"/>
  <c r="O136" i="4"/>
  <c r="N147" i="4"/>
  <c r="O118" i="4"/>
  <c r="Q191" i="1" s="1"/>
  <c r="O109" i="4"/>
  <c r="Q184" i="1" s="1"/>
  <c r="N118" i="4"/>
  <c r="P191" i="1" s="1"/>
  <c r="O137" i="4"/>
  <c r="Q216" i="1" s="1"/>
  <c r="P130" i="4"/>
  <c r="P137" i="4"/>
  <c r="P158" i="4"/>
  <c r="P131" i="4"/>
  <c r="P136" i="4"/>
  <c r="P121" i="4"/>
  <c r="P128" i="4"/>
  <c r="P159" i="4"/>
  <c r="P110" i="4"/>
  <c r="O108" i="4"/>
  <c r="Q183" i="1" s="1"/>
  <c r="O119" i="4"/>
  <c r="Q189" i="1" s="1"/>
  <c r="P129" i="4"/>
  <c r="P139" i="4"/>
  <c r="P138" i="4"/>
  <c r="P145" i="4"/>
  <c r="P122" i="4"/>
  <c r="O132" i="4"/>
  <c r="O160" i="4"/>
  <c r="P111" i="4"/>
  <c r="O112" i="4"/>
  <c r="O144" i="4"/>
  <c r="Q223" i="1" s="1"/>
  <c r="Q138" i="4"/>
  <c r="Q144" i="4"/>
  <c r="Q129" i="4"/>
  <c r="Q145" i="4"/>
  <c r="Q118" i="4"/>
  <c r="Q131" i="4"/>
  <c r="Q130" i="4"/>
  <c r="Q139" i="4"/>
  <c r="Q160" i="4"/>
  <c r="Q183" i="4" s="1"/>
  <c r="P160" i="4"/>
  <c r="P183" i="4" s="1"/>
  <c r="P132" i="4"/>
  <c r="Q109" i="4"/>
  <c r="Q128" i="4"/>
  <c r="P118" i="4"/>
  <c r="P108" i="4"/>
  <c r="P120" i="4"/>
  <c r="Q112" i="4"/>
  <c r="P112" i="4"/>
  <c r="Q147" i="4"/>
  <c r="Q137" i="4"/>
  <c r="O121" i="4"/>
  <c r="O110" i="4"/>
  <c r="Q122" i="4"/>
  <c r="P147" i="4"/>
  <c r="P109" i="4"/>
  <c r="Q110" i="4"/>
  <c r="Q132" i="4"/>
  <c r="Q159" i="4"/>
  <c r="Q111" i="4"/>
  <c r="Q120" i="4"/>
  <c r="O138" i="4"/>
  <c r="Q210" i="1" s="1"/>
  <c r="Q136" i="4"/>
  <c r="Q108" i="4"/>
  <c r="O139" i="4"/>
  <c r="P119" i="4"/>
  <c r="Q158" i="4"/>
  <c r="Q119" i="4"/>
  <c r="P144" i="4"/>
  <c r="S144" i="4"/>
  <c r="R147" i="4"/>
  <c r="R158" i="4"/>
  <c r="R129" i="4"/>
  <c r="R130" i="4"/>
  <c r="R138" i="4"/>
  <c r="R121" i="4"/>
  <c r="R128" i="4"/>
  <c r="R109" i="4"/>
  <c r="R160" i="4"/>
  <c r="R183" i="4" s="1"/>
  <c r="Q121" i="4"/>
  <c r="R108" i="4"/>
  <c r="R110" i="4"/>
  <c r="R136" i="4"/>
  <c r="R120" i="4"/>
  <c r="R139" i="4"/>
  <c r="R131" i="4"/>
  <c r="R159" i="4"/>
  <c r="R111" i="4"/>
  <c r="R112" i="4"/>
  <c r="R137" i="4"/>
  <c r="R119" i="4"/>
  <c r="R122" i="4"/>
  <c r="S139" i="4"/>
  <c r="S111" i="4"/>
  <c r="S121" i="4"/>
  <c r="R132" i="4"/>
  <c r="S147" i="4"/>
  <c r="S112" i="4"/>
  <c r="S129" i="4"/>
  <c r="R145" i="4"/>
  <c r="S131" i="4"/>
  <c r="S118" i="4"/>
  <c r="S136" i="4"/>
  <c r="S108" i="4"/>
  <c r="R144" i="4"/>
  <c r="S145" i="4"/>
  <c r="S137" i="4"/>
  <c r="S120" i="4"/>
  <c r="S160" i="4"/>
  <c r="S183" i="4" s="1"/>
  <c r="R118" i="4"/>
  <c r="S158" i="4"/>
  <c r="S110" i="4"/>
  <c r="S159" i="4"/>
  <c r="S128" i="4"/>
  <c r="S138" i="4"/>
  <c r="S130" i="4"/>
  <c r="S132" i="4"/>
  <c r="S119" i="4"/>
  <c r="S122" i="4"/>
  <c r="AE382" i="3"/>
  <c r="AE587" i="3" s="1"/>
  <c r="AL424" i="3"/>
  <c r="AL437" i="3" s="1"/>
  <c r="AL528" i="3" s="1"/>
  <c r="AL560" i="3" s="1"/>
  <c r="AB595" i="3"/>
  <c r="X487" i="13" a="1"/>
  <c r="X487" i="13" s="1"/>
  <c r="AN83" i="13"/>
  <c r="AN487" i="13" s="1" a="1"/>
  <c r="AN487" i="13" s="1"/>
  <c r="W623" i="3"/>
  <c r="W2" i="3" s="1"/>
  <c r="X433" i="3"/>
  <c r="X438" i="3" s="1"/>
  <c r="W430" i="3"/>
  <c r="Y483" i="13" a="1"/>
  <c r="Y483" i="13" s="1"/>
  <c r="AD394" i="3"/>
  <c r="Z82" i="13" s="1"/>
  <c r="Z483" i="13" s="1" a="1"/>
  <c r="Z483" i="13" s="1"/>
  <c r="AD392" i="3"/>
  <c r="AC588" i="3"/>
  <c r="AC595" i="3" s="1"/>
  <c r="AC525" i="3"/>
  <c r="AC402" i="3"/>
  <c r="AC403" i="3"/>
  <c r="AC336" i="3"/>
  <c r="AC338" i="3" s="1"/>
  <c r="AM448" i="3"/>
  <c r="AN449" i="3"/>
  <c r="AL579" i="3"/>
  <c r="AE524" i="3"/>
  <c r="AE387" i="3"/>
  <c r="AE388" i="3"/>
  <c r="AK528" i="3"/>
  <c r="AK560" i="3" s="1"/>
  <c r="AM423" i="3"/>
  <c r="AM422" i="3"/>
  <c r="AM424" i="3" s="1"/>
  <c r="AM437" i="3" s="1"/>
  <c r="AM459" i="3"/>
  <c r="AM600" i="3" s="1"/>
  <c r="AM454" i="3"/>
  <c r="AL453" i="3"/>
  <c r="AL580" i="3" s="1"/>
  <c r="S109" i="4" s="1"/>
  <c r="AL462" i="3"/>
  <c r="AK465" i="3"/>
  <c r="AN647" i="3"/>
  <c r="AN7" i="3"/>
  <c r="AN9" i="3" a="1"/>
  <c r="AN9" i="3" s="1"/>
  <c r="AN6" i="3" a="1"/>
  <c r="AN6" i="3" s="1"/>
  <c r="AN13" i="3"/>
  <c r="AW216" i="1"/>
  <c r="AR191" i="1"/>
  <c r="AS225" i="1"/>
  <c r="AR208" i="1"/>
  <c r="AT204" i="1"/>
  <c r="AW191" i="1"/>
  <c r="AP204" i="1"/>
  <c r="AV183" i="1"/>
  <c r="AV186" i="1"/>
  <c r="AW184" i="1"/>
  <c r="AQ205" i="1"/>
  <c r="AS184" i="1"/>
  <c r="AO204" i="1"/>
  <c r="AS210" i="1"/>
  <c r="AS204" i="1"/>
  <c r="AT224" i="1"/>
  <c r="AV205" i="1"/>
  <c r="AV210" i="1"/>
  <c r="AS183" i="1"/>
  <c r="AW189" i="1"/>
  <c r="AW207" i="1"/>
  <c r="AT193" i="1"/>
  <c r="AQ225" i="1"/>
  <c r="AS189" i="1"/>
  <c r="AV190" i="1"/>
  <c r="AP224" i="1"/>
  <c r="AT184" i="1"/>
  <c r="AS205" i="1"/>
  <c r="AR225" i="1"/>
  <c r="AW205" i="1"/>
  <c r="AT210" i="1"/>
  <c r="AW223" i="1"/>
  <c r="AP210" i="1"/>
  <c r="AU223" i="1"/>
  <c r="AR183" i="1"/>
  <c r="AU204" i="1"/>
  <c r="AS191" i="1"/>
  <c r="AP225" i="1"/>
  <c r="AV184" i="1"/>
  <c r="AU193" i="1"/>
  <c r="AQ208" i="1"/>
  <c r="AW224" i="1"/>
  <c r="AW204" i="1"/>
  <c r="AQ216" i="1"/>
  <c r="AU224" i="1"/>
  <c r="AQ224" i="1"/>
  <c r="AV204" i="1"/>
  <c r="AP184" i="1"/>
  <c r="AR210" i="1"/>
  <c r="AO216" i="1"/>
  <c r="AO184" i="1"/>
  <c r="AW190" i="1"/>
  <c r="AT216" i="1"/>
  <c r="AT183" i="1"/>
  <c r="AQ191" i="1"/>
  <c r="AQ189" i="1"/>
  <c r="AU210" i="1"/>
  <c r="AQ207" i="1"/>
  <c r="AS208" i="1"/>
  <c r="AQ204" i="1"/>
  <c r="AW183" i="1"/>
  <c r="AW210" i="1"/>
  <c r="AQ194" i="1"/>
  <c r="AP207" i="1"/>
  <c r="AT223" i="1"/>
  <c r="AR216" i="1"/>
  <c r="AR204" i="1"/>
  <c r="AU205" i="1"/>
  <c r="AP193" i="1"/>
  <c r="AU207" i="1"/>
  <c r="AS224" i="1"/>
  <c r="AR207" i="1"/>
  <c r="AT207" i="1"/>
  <c r="AP205" i="1"/>
  <c r="AS207" i="1"/>
  <c r="AR184" i="1"/>
  <c r="AU191" i="1"/>
  <c r="AQ183" i="1"/>
  <c r="AV224" i="1"/>
  <c r="AS193" i="1"/>
  <c r="AU184" i="1"/>
  <c r="AR224" i="1"/>
  <c r="AR205" i="1"/>
  <c r="AR193" i="1"/>
  <c r="AU183" i="1"/>
  <c r="AV207" i="1"/>
  <c r="AQ184" i="1"/>
  <c r="AQ193" i="1"/>
  <c r="AQ210" i="1"/>
  <c r="AT191" i="1"/>
  <c r="AT205" i="1"/>
  <c r="AP183" i="1"/>
  <c r="AO183" i="1"/>
  <c r="AV223" i="1"/>
  <c r="AV191" i="1"/>
  <c r="H134" i="4" l="1"/>
  <c r="P208" i="1"/>
  <c r="AF377" i="3"/>
  <c r="N194" i="1"/>
  <c r="AF379" i="3"/>
  <c r="N186" i="1"/>
  <c r="P141" i="4"/>
  <c r="O189" i="1"/>
  <c r="P189" i="1"/>
  <c r="N208" i="1"/>
  <c r="Q208" i="1"/>
  <c r="K218" i="1"/>
  <c r="K209" i="1"/>
  <c r="J383" i="1"/>
  <c r="S141" i="4"/>
  <c r="H114" i="4"/>
  <c r="J182" i="1"/>
  <c r="I134" i="4"/>
  <c r="H183" i="4"/>
  <c r="J288" i="1"/>
  <c r="O218" i="1"/>
  <c r="M383" i="1"/>
  <c r="J149" i="4"/>
  <c r="J155" i="4" s="1"/>
  <c r="L223" i="1"/>
  <c r="Q141" i="4"/>
  <c r="P216" i="1"/>
  <c r="Q194" i="1"/>
  <c r="N141" i="4"/>
  <c r="P214" i="1"/>
  <c r="P217" i="1" s="1"/>
  <c r="O216" i="1"/>
  <c r="J114" i="4"/>
  <c r="L182" i="1"/>
  <c r="K223" i="1"/>
  <c r="I149" i="4"/>
  <c r="I155" i="4" s="1"/>
  <c r="Q218" i="1"/>
  <c r="P196" i="1"/>
  <c r="O208" i="1"/>
  <c r="O209" i="1" s="1"/>
  <c r="N218" i="1"/>
  <c r="M194" i="1"/>
  <c r="M287" i="1"/>
  <c r="M286" i="1"/>
  <c r="J208" i="1"/>
  <c r="G114" i="4"/>
  <c r="I182" i="1"/>
  <c r="O186" i="1"/>
  <c r="M190" i="1"/>
  <c r="K124" i="4"/>
  <c r="M196" i="1"/>
  <c r="K195" i="4"/>
  <c r="L101" i="4"/>
  <c r="L196" i="1"/>
  <c r="I124" i="4"/>
  <c r="K190" i="1"/>
  <c r="H195" i="4"/>
  <c r="I101" i="4"/>
  <c r="P209" i="1"/>
  <c r="P218" i="1"/>
  <c r="P383" i="1"/>
  <c r="O287" i="1"/>
  <c r="O286" i="1"/>
  <c r="N381" i="1"/>
  <c r="L209" i="1"/>
  <c r="K186" i="1"/>
  <c r="J196" i="1"/>
  <c r="M183" i="4"/>
  <c r="O288" i="1"/>
  <c r="K382" i="1"/>
  <c r="K195" i="1"/>
  <c r="J190" i="1"/>
  <c r="H124" i="4"/>
  <c r="G183" i="4"/>
  <c r="I288" i="1"/>
  <c r="L189" i="1"/>
  <c r="J216" i="1"/>
  <c r="J382" i="1" s="1"/>
  <c r="H141" i="4"/>
  <c r="H142" i="4" s="1"/>
  <c r="J218" i="1"/>
  <c r="M218" i="1"/>
  <c r="M209" i="1"/>
  <c r="R141" i="4"/>
  <c r="M216" i="1"/>
  <c r="J134" i="4"/>
  <c r="L218" i="1"/>
  <c r="L186" i="1"/>
  <c r="K383" i="1"/>
  <c r="J186" i="1"/>
  <c r="G149" i="4"/>
  <c r="G155" i="4" s="1"/>
  <c r="I223" i="1"/>
  <c r="N196" i="1"/>
  <c r="Q196" i="1"/>
  <c r="M141" i="4"/>
  <c r="O214" i="1"/>
  <c r="O217" i="1" s="1"/>
  <c r="O382" i="1"/>
  <c r="K114" i="4"/>
  <c r="M182" i="1"/>
  <c r="L183" i="4"/>
  <c r="N288" i="1"/>
  <c r="M186" i="1"/>
  <c r="K134" i="4"/>
  <c r="L194" i="1"/>
  <c r="J194" i="1"/>
  <c r="H149" i="4"/>
  <c r="H155" i="4" s="1"/>
  <c r="J223" i="1"/>
  <c r="K287" i="1"/>
  <c r="K286" i="1"/>
  <c r="I189" i="1"/>
  <c r="G124" i="4"/>
  <c r="P194" i="1"/>
  <c r="P288" i="1"/>
  <c r="N183" i="4"/>
  <c r="K149" i="4"/>
  <c r="K155" i="4" s="1"/>
  <c r="M223" i="1"/>
  <c r="L190" i="1"/>
  <c r="J124" i="4"/>
  <c r="L287" i="1"/>
  <c r="L286" i="1"/>
  <c r="J101" i="4"/>
  <c r="I195" i="4"/>
  <c r="I196" i="1"/>
  <c r="O196" i="1"/>
  <c r="O190" i="1"/>
  <c r="M124" i="4"/>
  <c r="N190" i="1"/>
  <c r="L124" i="4"/>
  <c r="L383" i="1"/>
  <c r="K214" i="1"/>
  <c r="K217" i="1" s="1"/>
  <c r="I141" i="4"/>
  <c r="K196" i="1"/>
  <c r="I382" i="1"/>
  <c r="E93" i="4"/>
  <c r="E168" i="4"/>
  <c r="E169" i="4" s="1"/>
  <c r="D27" i="4"/>
  <c r="D63" i="4"/>
  <c r="D188" i="4" s="1"/>
  <c r="D93" i="4"/>
  <c r="E162" i="4"/>
  <c r="E189" i="4" s="1"/>
  <c r="D77" i="4"/>
  <c r="D96" i="4"/>
  <c r="D194" i="4" s="1"/>
  <c r="E83" i="4"/>
  <c r="D58" i="4"/>
  <c r="D18" i="4"/>
  <c r="D166" i="4"/>
  <c r="D30" i="4"/>
  <c r="E90" i="4"/>
  <c r="E41" i="4"/>
  <c r="D41" i="4"/>
  <c r="D180" i="4" s="1"/>
  <c r="E96" i="4"/>
  <c r="E194" i="4" s="1"/>
  <c r="E72" i="4"/>
  <c r="E11" i="4"/>
  <c r="E178" i="4" s="1"/>
  <c r="E65" i="4"/>
  <c r="E98" i="4"/>
  <c r="E46" i="4"/>
  <c r="E13" i="4"/>
  <c r="D70" i="4"/>
  <c r="D91" i="4"/>
  <c r="D61" i="4"/>
  <c r="E53" i="4"/>
  <c r="D7" i="4"/>
  <c r="E66" i="4"/>
  <c r="E36" i="4"/>
  <c r="E63" i="4"/>
  <c r="E188" i="4" s="1"/>
  <c r="D161" i="4"/>
  <c r="D181" i="4" s="1"/>
  <c r="D15" i="4"/>
  <c r="E30" i="4"/>
  <c r="D34" i="4"/>
  <c r="E56" i="4"/>
  <c r="E73" i="4"/>
  <c r="D89" i="4"/>
  <c r="E89" i="4"/>
  <c r="E78" i="4"/>
  <c r="E99" i="4"/>
  <c r="D99" i="4"/>
  <c r="E81" i="4"/>
  <c r="E39" i="4"/>
  <c r="D22" i="4"/>
  <c r="E58" i="4"/>
  <c r="D66" i="4"/>
  <c r="D49" i="4"/>
  <c r="D54" i="4"/>
  <c r="D84" i="4"/>
  <c r="E34" i="4"/>
  <c r="D71" i="4"/>
  <c r="D78" i="4"/>
  <c r="D23" i="4"/>
  <c r="D25" i="4" s="1"/>
  <c r="D10" i="4"/>
  <c r="E49" i="4"/>
  <c r="D36" i="4"/>
  <c r="D38" i="4"/>
  <c r="D98" i="4"/>
  <c r="D60" i="4"/>
  <c r="D163" i="4"/>
  <c r="D182" i="4" s="1"/>
  <c r="D13" i="4"/>
  <c r="D83" i="4"/>
  <c r="D29" i="4"/>
  <c r="D16" i="4"/>
  <c r="D19" i="4"/>
  <c r="D179" i="4" s="1"/>
  <c r="E6" i="4"/>
  <c r="E38" i="4"/>
  <c r="D39" i="4"/>
  <c r="D46" i="4"/>
  <c r="D31" i="4"/>
  <c r="E10" i="4"/>
  <c r="D45" i="4"/>
  <c r="D82" i="4"/>
  <c r="F168" i="4"/>
  <c r="F169" i="4" s="1"/>
  <c r="G90" i="4"/>
  <c r="D50" i="4"/>
  <c r="D11" i="4"/>
  <c r="D178" i="4" s="1"/>
  <c r="E16" i="4"/>
  <c r="E91" i="4"/>
  <c r="E77" i="4"/>
  <c r="D92" i="4"/>
  <c r="E61" i="4"/>
  <c r="E19" i="4"/>
  <c r="E179" i="4" s="1"/>
  <c r="E17" i="4"/>
  <c r="D8" i="4"/>
  <c r="G16" i="4"/>
  <c r="I354" i="1" s="1"/>
  <c r="F38" i="4"/>
  <c r="E52" i="4"/>
  <c r="E187" i="4" s="1"/>
  <c r="D162" i="4"/>
  <c r="D189" i="4" s="1"/>
  <c r="E71" i="4"/>
  <c r="F19" i="4"/>
  <c r="F179" i="4" s="1"/>
  <c r="G14" i="4"/>
  <c r="I352" i="1" s="1"/>
  <c r="D69" i="4"/>
  <c r="G50" i="4"/>
  <c r="I148" i="1" s="1"/>
  <c r="G91" i="4"/>
  <c r="F26" i="4"/>
  <c r="H218" i="4"/>
  <c r="BX57" i="6" s="1"/>
  <c r="DG57" i="6" s="1"/>
  <c r="G45" i="4"/>
  <c r="I140" i="1" s="1"/>
  <c r="G22" i="4"/>
  <c r="E22" i="4"/>
  <c r="G92" i="4"/>
  <c r="I270" i="1" s="1"/>
  <c r="D65" i="4"/>
  <c r="F49" i="4"/>
  <c r="E7" i="4"/>
  <c r="F31" i="4"/>
  <c r="G31" i="4"/>
  <c r="D6" i="4"/>
  <c r="D57" i="4"/>
  <c r="G218" i="4"/>
  <c r="BW57" i="6" s="1"/>
  <c r="DF57" i="6" s="1"/>
  <c r="D26" i="4"/>
  <c r="E60" i="4"/>
  <c r="G213" i="4"/>
  <c r="BW52" i="6" s="1"/>
  <c r="DF52" i="6" s="1"/>
  <c r="F166" i="4"/>
  <c r="G23" i="4"/>
  <c r="G25" i="4" s="1"/>
  <c r="BW6" i="6" s="1"/>
  <c r="DF6" i="6" s="1"/>
  <c r="D90" i="4"/>
  <c r="G84" i="4"/>
  <c r="I262" i="1" s="1"/>
  <c r="E54" i="4"/>
  <c r="F70" i="4"/>
  <c r="E50" i="4"/>
  <c r="F54" i="4"/>
  <c r="D81" i="4"/>
  <c r="G63" i="4"/>
  <c r="G188" i="4" s="1"/>
  <c r="F56" i="4"/>
  <c r="F82" i="4"/>
  <c r="D9" i="4"/>
  <c r="F34" i="4"/>
  <c r="E8" i="4"/>
  <c r="D14" i="4"/>
  <c r="E92" i="4"/>
  <c r="F72" i="4"/>
  <c r="G72" i="4"/>
  <c r="E15" i="4"/>
  <c r="E166" i="4"/>
  <c r="D33" i="4"/>
  <c r="G53" i="4"/>
  <c r="I150" i="1" s="1"/>
  <c r="E165" i="4"/>
  <c r="E57" i="4"/>
  <c r="G78" i="4"/>
  <c r="F69" i="4"/>
  <c r="G81" i="4"/>
  <c r="I257" i="1" s="1"/>
  <c r="F27" i="4"/>
  <c r="G60" i="4"/>
  <c r="F163" i="4"/>
  <c r="F182" i="4" s="1"/>
  <c r="E45" i="4"/>
  <c r="F11" i="4"/>
  <c r="F178" i="4" s="1"/>
  <c r="F18" i="4"/>
  <c r="D73" i="4"/>
  <c r="G33" i="4"/>
  <c r="G56" i="4"/>
  <c r="G8" i="4"/>
  <c r="F84" i="4"/>
  <c r="D53" i="4"/>
  <c r="E31" i="4"/>
  <c r="F66" i="4"/>
  <c r="F13" i="4"/>
  <c r="D165" i="4"/>
  <c r="F6" i="4"/>
  <c r="G162" i="4"/>
  <c r="F41" i="4"/>
  <c r="F15" i="4"/>
  <c r="G82" i="4"/>
  <c r="I258" i="1" s="1"/>
  <c r="G15" i="4"/>
  <c r="I353" i="1" s="1"/>
  <c r="G161" i="4"/>
  <c r="F46" i="4"/>
  <c r="E161" i="4"/>
  <c r="E181" i="4" s="1"/>
  <c r="F65" i="4"/>
  <c r="F10" i="4"/>
  <c r="F58" i="4"/>
  <c r="E84" i="4"/>
  <c r="D94" i="4"/>
  <c r="F9" i="4"/>
  <c r="G17" i="4"/>
  <c r="I355" i="1" s="1"/>
  <c r="F92" i="4"/>
  <c r="E82" i="4"/>
  <c r="D52" i="4"/>
  <c r="D187" i="4" s="1"/>
  <c r="G52" i="4"/>
  <c r="G187" i="4" s="1"/>
  <c r="F57" i="4"/>
  <c r="F16" i="4"/>
  <c r="G69" i="4"/>
  <c r="I243" i="1" s="1"/>
  <c r="G18" i="4"/>
  <c r="I356" i="1" s="1"/>
  <c r="E94" i="4"/>
  <c r="E29" i="4"/>
  <c r="E23" i="4"/>
  <c r="E25" i="4" s="1"/>
  <c r="E33" i="4"/>
  <c r="E26" i="4"/>
  <c r="F50" i="4"/>
  <c r="G208" i="4"/>
  <c r="BW47" i="6" s="1"/>
  <c r="DF47" i="6" s="1"/>
  <c r="G73" i="4"/>
  <c r="I246" i="1" s="1"/>
  <c r="G66" i="4"/>
  <c r="G220" i="4"/>
  <c r="BW59" i="6" s="1"/>
  <c r="DF59" i="6" s="1"/>
  <c r="G99" i="4"/>
  <c r="I276" i="1" s="1"/>
  <c r="D17" i="4"/>
  <c r="E163" i="4"/>
  <c r="E182" i="4" s="1"/>
  <c r="F36" i="4"/>
  <c r="G75" i="4"/>
  <c r="G7" i="4"/>
  <c r="G65" i="4"/>
  <c r="I170" i="1" s="1"/>
  <c r="F165" i="4"/>
  <c r="H49" i="4"/>
  <c r="G11" i="4"/>
  <c r="G178" i="4" s="1"/>
  <c r="G98" i="4"/>
  <c r="G100" i="4" s="1"/>
  <c r="E14" i="4"/>
  <c r="E9" i="4"/>
  <c r="D72" i="4"/>
  <c r="F71" i="4"/>
  <c r="H165" i="4"/>
  <c r="H45" i="4"/>
  <c r="J140" i="1" s="1"/>
  <c r="E18" i="4"/>
  <c r="G54" i="4"/>
  <c r="I153" i="1" s="1"/>
  <c r="G83" i="4"/>
  <c r="I260" i="1" s="1"/>
  <c r="F83" i="4"/>
  <c r="G210" i="4"/>
  <c r="BW49" i="6" s="1"/>
  <c r="DF49" i="6" s="1"/>
  <c r="F45" i="4"/>
  <c r="G71" i="4"/>
  <c r="H214" i="4"/>
  <c r="BX53" i="6" s="1"/>
  <c r="DG53" i="6" s="1"/>
  <c r="G96" i="4"/>
  <c r="F96" i="4"/>
  <c r="F194" i="4" s="1"/>
  <c r="H58" i="4"/>
  <c r="H208" i="4"/>
  <c r="BX47" i="6" s="1"/>
  <c r="DG47" i="6" s="1"/>
  <c r="H73" i="4"/>
  <c r="J246" i="1" s="1"/>
  <c r="F30" i="4"/>
  <c r="G219" i="4"/>
  <c r="BW58" i="6" s="1"/>
  <c r="DF58" i="6" s="1"/>
  <c r="F91" i="4"/>
  <c r="F7" i="4"/>
  <c r="G26" i="4"/>
  <c r="H215" i="4"/>
  <c r="BX54" i="6" s="1"/>
  <c r="DG54" i="6" s="1"/>
  <c r="G9" i="4"/>
  <c r="F99" i="4"/>
  <c r="D56" i="4"/>
  <c r="G30" i="4"/>
  <c r="G49" i="4"/>
  <c r="G168" i="4"/>
  <c r="G169" i="4" s="1"/>
  <c r="H36" i="4"/>
  <c r="F17" i="4"/>
  <c r="F39" i="4"/>
  <c r="G165" i="4"/>
  <c r="H39" i="4"/>
  <c r="H7" i="4"/>
  <c r="BX25" i="6" s="1"/>
  <c r="DG25" i="6" s="1"/>
  <c r="H41" i="4"/>
  <c r="G93" i="4"/>
  <c r="H30" i="4"/>
  <c r="G89" i="4"/>
  <c r="I268" i="1" s="1"/>
  <c r="H6" i="4"/>
  <c r="BX24" i="6" s="1"/>
  <c r="DG24" i="6" s="1"/>
  <c r="F63" i="4"/>
  <c r="F188" i="4" s="1"/>
  <c r="F77" i="4"/>
  <c r="G38" i="4"/>
  <c r="H209" i="4"/>
  <c r="BX48" i="6" s="1"/>
  <c r="DG48" i="6" s="1"/>
  <c r="F61" i="4"/>
  <c r="G36" i="4"/>
  <c r="G29" i="4"/>
  <c r="G27" i="4"/>
  <c r="H213" i="4"/>
  <c r="BX52" i="6" s="1"/>
  <c r="DG52" i="6" s="1"/>
  <c r="H82" i="4"/>
  <c r="J258" i="1" s="1"/>
  <c r="F53" i="4"/>
  <c r="H54" i="4"/>
  <c r="J153" i="1" s="1"/>
  <c r="F81" i="4"/>
  <c r="H57" i="4"/>
  <c r="J159" i="1" s="1"/>
  <c r="G61" i="4"/>
  <c r="I163" i="1" s="1"/>
  <c r="F73" i="4"/>
  <c r="E27" i="4"/>
  <c r="H98" i="4"/>
  <c r="H50" i="4"/>
  <c r="J148" i="1" s="1"/>
  <c r="H168" i="4"/>
  <c r="H169" i="4" s="1"/>
  <c r="H22" i="4"/>
  <c r="G215" i="4"/>
  <c r="BW54" i="6" s="1"/>
  <c r="DF54" i="6" s="1"/>
  <c r="H220" i="4"/>
  <c r="BX59" i="6" s="1"/>
  <c r="DG59" i="6" s="1"/>
  <c r="H72" i="4"/>
  <c r="F75" i="4"/>
  <c r="F162" i="4"/>
  <c r="F189" i="4" s="1"/>
  <c r="H94" i="4"/>
  <c r="G214" i="4"/>
  <c r="BW53" i="6" s="1"/>
  <c r="DF53" i="6" s="1"/>
  <c r="H89" i="4"/>
  <c r="J268" i="1" s="1"/>
  <c r="G58" i="4"/>
  <c r="H8" i="4"/>
  <c r="BX26" i="6" s="1"/>
  <c r="DG26" i="6" s="1"/>
  <c r="H83" i="4"/>
  <c r="J260" i="1" s="1"/>
  <c r="G166" i="4"/>
  <c r="H26" i="4"/>
  <c r="G19" i="4"/>
  <c r="G34" i="4"/>
  <c r="F14" i="4"/>
  <c r="H66" i="4"/>
  <c r="F22" i="4"/>
  <c r="F78" i="4"/>
  <c r="H56" i="4"/>
  <c r="G94" i="4"/>
  <c r="H15" i="4"/>
  <c r="F89" i="4"/>
  <c r="F90" i="4"/>
  <c r="F29" i="4"/>
  <c r="F93" i="4"/>
  <c r="F8" i="4"/>
  <c r="G41" i="4"/>
  <c r="F98" i="4"/>
  <c r="F100" i="4" s="1"/>
  <c r="G10" i="4"/>
  <c r="F33" i="4"/>
  <c r="G39" i="4"/>
  <c r="G40" i="4" s="1"/>
  <c r="F94" i="4"/>
  <c r="G209" i="4"/>
  <c r="BW48" i="6" s="1"/>
  <c r="DF48" i="6" s="1"/>
  <c r="F60" i="4"/>
  <c r="H61" i="4"/>
  <c r="J163" i="1" s="1"/>
  <c r="H11" i="4"/>
  <c r="E75" i="4"/>
  <c r="H81" i="4"/>
  <c r="J257" i="1" s="1"/>
  <c r="E70" i="4"/>
  <c r="G13" i="4"/>
  <c r="I351" i="1" s="1"/>
  <c r="E69" i="4"/>
  <c r="G70" i="4"/>
  <c r="I249" i="1" s="1"/>
  <c r="D75" i="4"/>
  <c r="G77" i="4"/>
  <c r="I245" i="1" s="1"/>
  <c r="I213" i="4"/>
  <c r="BY52" i="6" s="1"/>
  <c r="DH52" i="6" s="1"/>
  <c r="I49" i="4"/>
  <c r="I81" i="4"/>
  <c r="K257" i="1" s="1"/>
  <c r="I41" i="4"/>
  <c r="H53" i="4"/>
  <c r="J150" i="1" s="1"/>
  <c r="I92" i="4"/>
  <c r="K270" i="1" s="1"/>
  <c r="J53" i="4"/>
  <c r="L150" i="1" s="1"/>
  <c r="I16" i="4"/>
  <c r="I26" i="4"/>
  <c r="I56" i="4"/>
  <c r="I54" i="4"/>
  <c r="K153" i="1" s="1"/>
  <c r="H99" i="4"/>
  <c r="J276" i="1" s="1"/>
  <c r="D168" i="4"/>
  <c r="D169" i="4" s="1"/>
  <c r="F23" i="4"/>
  <c r="F25" i="4" s="1"/>
  <c r="H65" i="4"/>
  <c r="J170" i="1" s="1"/>
  <c r="H166" i="4"/>
  <c r="I58" i="4"/>
  <c r="H92" i="4"/>
  <c r="J270" i="1" s="1"/>
  <c r="G163" i="4"/>
  <c r="I93" i="4"/>
  <c r="I166" i="4"/>
  <c r="I218" i="4"/>
  <c r="BY57" i="6" s="1"/>
  <c r="DH57" i="6" s="1"/>
  <c r="I22" i="4"/>
  <c r="I34" i="4"/>
  <c r="H33" i="4"/>
  <c r="I208" i="4"/>
  <c r="BY47" i="6" s="1"/>
  <c r="DH47" i="6" s="1"/>
  <c r="H14" i="4"/>
  <c r="H17" i="4"/>
  <c r="I39" i="4"/>
  <c r="I17" i="4"/>
  <c r="H13" i="4"/>
  <c r="G46" i="4"/>
  <c r="G48" i="4" s="1"/>
  <c r="G186" i="4" s="1"/>
  <c r="I19" i="4"/>
  <c r="I29" i="4"/>
  <c r="I57" i="4"/>
  <c r="K159" i="1" s="1"/>
  <c r="H163" i="4"/>
  <c r="H93" i="4"/>
  <c r="G57" i="4"/>
  <c r="I159" i="1" s="1"/>
  <c r="H29" i="4"/>
  <c r="H10" i="4"/>
  <c r="H90" i="4"/>
  <c r="H38" i="4"/>
  <c r="H91" i="4"/>
  <c r="I31" i="4"/>
  <c r="I91" i="4"/>
  <c r="I46" i="4"/>
  <c r="H23" i="4"/>
  <c r="H25" i="4" s="1"/>
  <c r="BX6" i="6" s="1"/>
  <c r="DG6" i="6" s="1"/>
  <c r="I33" i="4"/>
  <c r="H210" i="4"/>
  <c r="BX49" i="6" s="1"/>
  <c r="DG49" i="6" s="1"/>
  <c r="H27" i="4"/>
  <c r="H63" i="4"/>
  <c r="H188" i="4" s="1"/>
  <c r="I11" i="4"/>
  <c r="I220" i="4"/>
  <c r="BY59" i="6" s="1"/>
  <c r="DH59" i="6" s="1"/>
  <c r="H75" i="4"/>
  <c r="H76" i="4" s="1"/>
  <c r="I6" i="4"/>
  <c r="BY24" i="6" s="1"/>
  <c r="DH24" i="6" s="1"/>
  <c r="I72" i="4"/>
  <c r="I60" i="4"/>
  <c r="I98" i="4"/>
  <c r="I9" i="4"/>
  <c r="BY27" i="6" s="1"/>
  <c r="DH27" i="6" s="1"/>
  <c r="H96" i="4"/>
  <c r="J273" i="1" s="1"/>
  <c r="H219" i="4"/>
  <c r="BX58" i="6" s="1"/>
  <c r="DG58" i="6" s="1"/>
  <c r="H19" i="4"/>
  <c r="I8" i="4"/>
  <c r="BY26" i="6" s="1"/>
  <c r="DH26" i="6" s="1"/>
  <c r="H77" i="4"/>
  <c r="J245" i="1" s="1"/>
  <c r="F161" i="4"/>
  <c r="F181" i="4" s="1"/>
  <c r="I30" i="4"/>
  <c r="I61" i="4"/>
  <c r="K163" i="1" s="1"/>
  <c r="H78" i="4"/>
  <c r="H34" i="4"/>
  <c r="H69" i="4"/>
  <c r="J243" i="1" s="1"/>
  <c r="F52" i="4"/>
  <c r="F187" i="4" s="1"/>
  <c r="I45" i="4"/>
  <c r="K140" i="1" s="1"/>
  <c r="H18" i="4"/>
  <c r="J356" i="1" s="1"/>
  <c r="I165" i="4"/>
  <c r="I71" i="4"/>
  <c r="I27" i="4"/>
  <c r="H46" i="4"/>
  <c r="H48" i="4" s="1"/>
  <c r="H186" i="4" s="1"/>
  <c r="H70" i="4"/>
  <c r="J249" i="1" s="1"/>
  <c r="I69" i="4"/>
  <c r="K243" i="1" s="1"/>
  <c r="I70" i="4"/>
  <c r="K249" i="1" s="1"/>
  <c r="I214" i="4"/>
  <c r="BY53" i="6" s="1"/>
  <c r="DH53" i="6" s="1"/>
  <c r="H71" i="4"/>
  <c r="I219" i="4"/>
  <c r="BY58" i="6" s="1"/>
  <c r="DH58" i="6" s="1"/>
  <c r="I75" i="4"/>
  <c r="I76" i="4" s="1"/>
  <c r="J210" i="4"/>
  <c r="BZ49" i="6" s="1"/>
  <c r="I7" i="4"/>
  <c r="BY25" i="6" s="1"/>
  <c r="DH25" i="6" s="1"/>
  <c r="I38" i="4"/>
  <c r="H16" i="4"/>
  <c r="I77" i="4"/>
  <c r="K245" i="1" s="1"/>
  <c r="J94" i="4"/>
  <c r="J61" i="4"/>
  <c r="L163" i="1" s="1"/>
  <c r="J19" i="4"/>
  <c r="J71" i="4"/>
  <c r="J31" i="4"/>
  <c r="I14" i="4"/>
  <c r="J49" i="4"/>
  <c r="I215" i="4"/>
  <c r="BY54" i="6" s="1"/>
  <c r="DH54" i="6" s="1"/>
  <c r="J23" i="4"/>
  <c r="J166" i="4"/>
  <c r="J34" i="4"/>
  <c r="J82" i="4"/>
  <c r="L258" i="1" s="1"/>
  <c r="I23" i="4"/>
  <c r="I25" i="4" s="1"/>
  <c r="J27" i="4"/>
  <c r="I65" i="4"/>
  <c r="K170" i="1" s="1"/>
  <c r="I15" i="4"/>
  <c r="I99" i="4"/>
  <c r="K276" i="1" s="1"/>
  <c r="I96" i="4"/>
  <c r="K273" i="1" s="1"/>
  <c r="J214" i="4"/>
  <c r="BZ53" i="6" s="1"/>
  <c r="J65" i="4"/>
  <c r="L170" i="1" s="1"/>
  <c r="J218" i="4"/>
  <c r="BZ57" i="6" s="1"/>
  <c r="I82" i="4"/>
  <c r="K258" i="1" s="1"/>
  <c r="I53" i="4"/>
  <c r="K150" i="1" s="1"/>
  <c r="I163" i="4"/>
  <c r="I36" i="4"/>
  <c r="I94" i="4"/>
  <c r="J81" i="4"/>
  <c r="L257" i="1" s="1"/>
  <c r="I50" i="4"/>
  <c r="K148" i="1" s="1"/>
  <c r="I63" i="4"/>
  <c r="I188" i="4" s="1"/>
  <c r="J30" i="4"/>
  <c r="I18" i="4"/>
  <c r="K356" i="1" s="1"/>
  <c r="J90" i="4"/>
  <c r="I90" i="4"/>
  <c r="I66" i="4"/>
  <c r="J98" i="4"/>
  <c r="J213" i="4"/>
  <c r="BZ52" i="6" s="1"/>
  <c r="J29" i="4"/>
  <c r="I10" i="4"/>
  <c r="I210" i="4"/>
  <c r="BY49" i="6" s="1"/>
  <c r="DH49" i="6" s="1"/>
  <c r="J8" i="4"/>
  <c r="BZ26" i="6" s="1"/>
  <c r="DI26" i="6" s="1"/>
  <c r="I52" i="4"/>
  <c r="I187" i="4" s="1"/>
  <c r="I89" i="4"/>
  <c r="K268" i="1" s="1"/>
  <c r="G6" i="4"/>
  <c r="H162" i="4"/>
  <c r="J33" i="4"/>
  <c r="J36" i="4"/>
  <c r="J45" i="4"/>
  <c r="L140" i="1" s="1"/>
  <c r="H31" i="4"/>
  <c r="J220" i="4"/>
  <c r="BZ59" i="6" s="1"/>
  <c r="J168" i="4"/>
  <c r="J169" i="4" s="1"/>
  <c r="J15" i="4"/>
  <c r="I84" i="4"/>
  <c r="K262" i="1" s="1"/>
  <c r="K34" i="4"/>
  <c r="H161" i="4"/>
  <c r="H84" i="4"/>
  <c r="J262" i="1" s="1"/>
  <c r="J99" i="4"/>
  <c r="L276" i="1" s="1"/>
  <c r="I83" i="4"/>
  <c r="K260" i="1" s="1"/>
  <c r="J60" i="4"/>
  <c r="J22" i="4"/>
  <c r="K26" i="4"/>
  <c r="J70" i="4"/>
  <c r="L249" i="1" s="1"/>
  <c r="I13" i="4"/>
  <c r="K90" i="4"/>
  <c r="J7" i="4"/>
  <c r="BZ25" i="6" s="1"/>
  <c r="K27" i="4"/>
  <c r="K77" i="4"/>
  <c r="M245" i="1" s="1"/>
  <c r="J14" i="4"/>
  <c r="J26" i="4"/>
  <c r="J10" i="4"/>
  <c r="J9" i="4"/>
  <c r="BZ27" i="6" s="1"/>
  <c r="J58" i="4"/>
  <c r="K46" i="4"/>
  <c r="J75" i="4"/>
  <c r="K23" i="4"/>
  <c r="J219" i="4"/>
  <c r="BZ58" i="6" s="1"/>
  <c r="I162" i="4"/>
  <c r="J13" i="4"/>
  <c r="K70" i="4"/>
  <c r="M249" i="1" s="1"/>
  <c r="K30" i="4"/>
  <c r="H60" i="4"/>
  <c r="J56" i="4"/>
  <c r="K166" i="4"/>
  <c r="K22" i="4"/>
  <c r="I168" i="4"/>
  <c r="I169" i="4" s="1"/>
  <c r="J161" i="4"/>
  <c r="K214" i="4"/>
  <c r="CA53" i="6" s="1"/>
  <c r="J77" i="4"/>
  <c r="L245" i="1" s="1"/>
  <c r="K16" i="4"/>
  <c r="K65" i="4"/>
  <c r="M170" i="1" s="1"/>
  <c r="K29" i="4"/>
  <c r="J66" i="4"/>
  <c r="K66" i="4"/>
  <c r="K99" i="4"/>
  <c r="M276" i="1" s="1"/>
  <c r="J11" i="4"/>
  <c r="I209" i="4"/>
  <c r="BY48" i="6" s="1"/>
  <c r="DH48" i="6" s="1"/>
  <c r="K96" i="4"/>
  <c r="M273" i="1" s="1"/>
  <c r="J208" i="4"/>
  <c r="BZ47" i="6" s="1"/>
  <c r="H52" i="4"/>
  <c r="H187" i="4" s="1"/>
  <c r="J46" i="4"/>
  <c r="J48" i="4" s="1"/>
  <c r="J186" i="4" s="1"/>
  <c r="K61" i="4"/>
  <c r="M163" i="1" s="1"/>
  <c r="K41" i="4"/>
  <c r="K17" i="4"/>
  <c r="J17" i="4"/>
  <c r="K50" i="4"/>
  <c r="M148" i="1" s="1"/>
  <c r="J6" i="4"/>
  <c r="BZ24" i="6" s="1"/>
  <c r="K218" i="4"/>
  <c r="CA57" i="6" s="1"/>
  <c r="H9" i="4"/>
  <c r="BX27" i="6" s="1"/>
  <c r="DG27" i="6" s="1"/>
  <c r="K163" i="4"/>
  <c r="K91" i="4"/>
  <c r="J162" i="4"/>
  <c r="J50" i="4"/>
  <c r="L148" i="1" s="1"/>
  <c r="K219" i="4"/>
  <c r="CA58" i="6" s="1"/>
  <c r="K11" i="4"/>
  <c r="J91" i="4"/>
  <c r="K63" i="4"/>
  <c r="K188" i="4" s="1"/>
  <c r="K208" i="4"/>
  <c r="CA47" i="6" s="1"/>
  <c r="K89" i="4"/>
  <c r="M268" i="1" s="1"/>
  <c r="J72" i="4"/>
  <c r="I78" i="4"/>
  <c r="K84" i="4"/>
  <c r="M262" i="1" s="1"/>
  <c r="K162" i="4"/>
  <c r="J93" i="4"/>
  <c r="J63" i="4"/>
  <c r="J188" i="4" s="1"/>
  <c r="J52" i="4"/>
  <c r="J187" i="4" s="1"/>
  <c r="J165" i="4"/>
  <c r="K14" i="4"/>
  <c r="L53" i="4"/>
  <c r="N150" i="1" s="1"/>
  <c r="J57" i="4"/>
  <c r="L159" i="1" s="1"/>
  <c r="K71" i="4"/>
  <c r="I161" i="4"/>
  <c r="J215" i="4"/>
  <c r="BZ54" i="6" s="1"/>
  <c r="K7" i="4"/>
  <c r="CA25" i="6" s="1"/>
  <c r="J83" i="4"/>
  <c r="L260" i="1" s="1"/>
  <c r="K98" i="4"/>
  <c r="K100" i="4" s="1"/>
  <c r="K220" i="4"/>
  <c r="CA59" i="6" s="1"/>
  <c r="K36" i="4"/>
  <c r="K81" i="4"/>
  <c r="M257" i="1" s="1"/>
  <c r="L214" i="4"/>
  <c r="CB53" i="6" s="1"/>
  <c r="DK53" i="6" s="1"/>
  <c r="K92" i="4"/>
  <c r="M270" i="1" s="1"/>
  <c r="L99" i="4"/>
  <c r="N276" i="1" s="1"/>
  <c r="J84" i="4"/>
  <c r="L262" i="1" s="1"/>
  <c r="I73" i="4"/>
  <c r="K246" i="1" s="1"/>
  <c r="L165" i="4"/>
  <c r="K52" i="4"/>
  <c r="K187" i="4" s="1"/>
  <c r="K31" i="4"/>
  <c r="L22" i="4"/>
  <c r="K38" i="4"/>
  <c r="J78" i="4"/>
  <c r="J104" i="4" s="1"/>
  <c r="K69" i="4"/>
  <c r="M243" i="1" s="1"/>
  <c r="L215" i="4"/>
  <c r="CB54" i="6" s="1"/>
  <c r="DK54" i="6" s="1"/>
  <c r="K33" i="4"/>
  <c r="L93" i="4"/>
  <c r="K8" i="4"/>
  <c r="CA26" i="6" s="1"/>
  <c r="L52" i="4"/>
  <c r="L187" i="4" s="1"/>
  <c r="J163" i="4"/>
  <c r="K15" i="4"/>
  <c r="K82" i="4"/>
  <c r="M258" i="1" s="1"/>
  <c r="L30" i="4"/>
  <c r="J54" i="4"/>
  <c r="L153" i="1" s="1"/>
  <c r="L56" i="4"/>
  <c r="K78" i="4"/>
  <c r="J73" i="4"/>
  <c r="L246" i="1" s="1"/>
  <c r="J39" i="4"/>
  <c r="K209" i="4"/>
  <c r="CA48" i="6" s="1"/>
  <c r="L49" i="4"/>
  <c r="K9" i="4"/>
  <c r="CA27" i="6" s="1"/>
  <c r="K213" i="4"/>
  <c r="CA52" i="6" s="1"/>
  <c r="K60" i="4"/>
  <c r="K19" i="4"/>
  <c r="K45" i="4"/>
  <c r="M140" i="1" s="1"/>
  <c r="L8" i="4"/>
  <c r="CB26" i="6" s="1"/>
  <c r="DK26" i="6" s="1"/>
  <c r="K10" i="4"/>
  <c r="J92" i="4"/>
  <c r="L270" i="1" s="1"/>
  <c r="K72" i="4"/>
  <c r="K18" i="4"/>
  <c r="M356" i="1" s="1"/>
  <c r="K75" i="4"/>
  <c r="K49" i="4"/>
  <c r="K6" i="4"/>
  <c r="CA24" i="6" s="1"/>
  <c r="J16" i="4"/>
  <c r="L10" i="4"/>
  <c r="K93" i="4"/>
  <c r="K73" i="4"/>
  <c r="M246" i="1" s="1"/>
  <c r="L213" i="4"/>
  <c r="CB52" i="6" s="1"/>
  <c r="DK52" i="6" s="1"/>
  <c r="L77" i="4"/>
  <c r="N245" i="1" s="1"/>
  <c r="K57" i="4"/>
  <c r="M159" i="1" s="1"/>
  <c r="K13" i="4"/>
  <c r="J96" i="4"/>
  <c r="L273" i="1" s="1"/>
  <c r="J38" i="4"/>
  <c r="J89" i="4"/>
  <c r="L268" i="1" s="1"/>
  <c r="K58" i="4"/>
  <c r="K39" i="4"/>
  <c r="K40" i="4" s="1"/>
  <c r="M69" i="4"/>
  <c r="O243" i="1" s="1"/>
  <c r="M214" i="4"/>
  <c r="K168" i="4"/>
  <c r="K169" i="4" s="1"/>
  <c r="L50" i="4"/>
  <c r="N148" i="1" s="1"/>
  <c r="M8" i="4"/>
  <c r="M99" i="4"/>
  <c r="O276" i="1" s="1"/>
  <c r="L65" i="4"/>
  <c r="N170" i="1" s="1"/>
  <c r="K83" i="4"/>
  <c r="M260" i="1" s="1"/>
  <c r="M72" i="4"/>
  <c r="L26" i="4"/>
  <c r="L27" i="4"/>
  <c r="M15" i="4"/>
  <c r="O353" i="1" s="1"/>
  <c r="L6" i="4"/>
  <c r="CB24" i="6" s="1"/>
  <c r="DK24" i="6" s="1"/>
  <c r="L23" i="4"/>
  <c r="K53" i="4"/>
  <c r="M150" i="1" s="1"/>
  <c r="K94" i="4"/>
  <c r="L54" i="4"/>
  <c r="N153" i="1" s="1"/>
  <c r="M56" i="4"/>
  <c r="L17" i="4"/>
  <c r="M46" i="4"/>
  <c r="L9" i="4"/>
  <c r="CB27" i="6" s="1"/>
  <c r="DK27" i="6" s="1"/>
  <c r="L69" i="4"/>
  <c r="N243" i="1" s="1"/>
  <c r="L29" i="4"/>
  <c r="H6" i="7" s="1"/>
  <c r="H8" i="7" s="1"/>
  <c r="M58" i="4"/>
  <c r="L83" i="4"/>
  <c r="N260" i="1" s="1"/>
  <c r="M18" i="4"/>
  <c r="O356" i="1" s="1"/>
  <c r="L73" i="4"/>
  <c r="N246" i="1" s="1"/>
  <c r="J41" i="4"/>
  <c r="L92" i="4"/>
  <c r="N270" i="1" s="1"/>
  <c r="M65" i="4"/>
  <c r="O170" i="1" s="1"/>
  <c r="M6" i="4"/>
  <c r="L31" i="4"/>
  <c r="J209" i="4"/>
  <c r="BZ48" i="6" s="1"/>
  <c r="L11" i="4"/>
  <c r="L90" i="4"/>
  <c r="N267" i="1" s="1"/>
  <c r="L16" i="4"/>
  <c r="L220" i="4"/>
  <c r="CB59" i="6" s="1"/>
  <c r="DK59" i="6" s="1"/>
  <c r="K165" i="4"/>
  <c r="L89" i="4"/>
  <c r="N268" i="1" s="1"/>
  <c r="M30" i="4"/>
  <c r="L94" i="4"/>
  <c r="L15" i="4"/>
  <c r="M82" i="4"/>
  <c r="O258" i="1" s="1"/>
  <c r="L19" i="4"/>
  <c r="L46" i="4"/>
  <c r="M17" i="4"/>
  <c r="O355" i="1" s="1"/>
  <c r="L91" i="4"/>
  <c r="J18" i="4"/>
  <c r="L356" i="1" s="1"/>
  <c r="L209" i="4"/>
  <c r="CB48" i="6" s="1"/>
  <c r="DK48" i="6" s="1"/>
  <c r="L18" i="4"/>
  <c r="N356" i="1" s="1"/>
  <c r="L36" i="4"/>
  <c r="M215" i="4"/>
  <c r="L218" i="4"/>
  <c r="CB57" i="6" s="1"/>
  <c r="DK57" i="6" s="1"/>
  <c r="L14" i="4"/>
  <c r="K210" i="4"/>
  <c r="CA49" i="6" s="1"/>
  <c r="M208" i="4"/>
  <c r="L45" i="4"/>
  <c r="N140" i="1" s="1"/>
  <c r="K161" i="4"/>
  <c r="L13" i="4"/>
  <c r="J69" i="4"/>
  <c r="L243" i="1" s="1"/>
  <c r="K54" i="4"/>
  <c r="M153" i="1" s="1"/>
  <c r="M27" i="4"/>
  <c r="K215" i="4"/>
  <c r="CA54" i="6" s="1"/>
  <c r="M83" i="4"/>
  <c r="O260" i="1" s="1"/>
  <c r="L210" i="4"/>
  <c r="CB49" i="6" s="1"/>
  <c r="DK49" i="6" s="1"/>
  <c r="N14" i="4"/>
  <c r="P352" i="1" s="1"/>
  <c r="M54" i="4"/>
  <c r="O153" i="1" s="1"/>
  <c r="M16" i="4"/>
  <c r="O354" i="1" s="1"/>
  <c r="M91" i="4"/>
  <c r="N15" i="4"/>
  <c r="P353" i="1" s="1"/>
  <c r="N56" i="4"/>
  <c r="K56" i="4"/>
  <c r="N89" i="4"/>
  <c r="P268" i="1" s="1"/>
  <c r="L84" i="4"/>
  <c r="N262" i="1" s="1"/>
  <c r="L163" i="4"/>
  <c r="N214" i="4"/>
  <c r="L81" i="4"/>
  <c r="N257" i="1" s="1"/>
  <c r="M73" i="4"/>
  <c r="O246" i="1" s="1"/>
  <c r="M218" i="4"/>
  <c r="M22" i="4"/>
  <c r="N99" i="4"/>
  <c r="P276" i="1" s="1"/>
  <c r="N22" i="4"/>
  <c r="M53" i="4"/>
  <c r="O150" i="1" s="1"/>
  <c r="N208" i="4"/>
  <c r="N18" i="4"/>
  <c r="P356" i="1" s="1"/>
  <c r="L33" i="4"/>
  <c r="N46" i="4"/>
  <c r="M209" i="4"/>
  <c r="N8" i="4"/>
  <c r="M19" i="4"/>
  <c r="M50" i="4"/>
  <c r="O148" i="1" s="1"/>
  <c r="M23" i="4"/>
  <c r="L72" i="4"/>
  <c r="M29" i="4"/>
  <c r="N213" i="4"/>
  <c r="M77" i="4"/>
  <c r="O245" i="1" s="1"/>
  <c r="M94" i="4"/>
  <c r="L208" i="4"/>
  <c r="CB47" i="6" s="1"/>
  <c r="DK47" i="6" s="1"/>
  <c r="M90" i="4"/>
  <c r="M84" i="4"/>
  <c r="O262" i="1" s="1"/>
  <c r="M219" i="4"/>
  <c r="M213" i="4"/>
  <c r="L82" i="4"/>
  <c r="N258" i="1" s="1"/>
  <c r="N77" i="4"/>
  <c r="P245" i="1" s="1"/>
  <c r="M9" i="4"/>
  <c r="N54" i="4"/>
  <c r="P153" i="1" s="1"/>
  <c r="N10" i="4"/>
  <c r="N13" i="4"/>
  <c r="P351" i="1" s="1"/>
  <c r="M36" i="4"/>
  <c r="M31" i="4"/>
  <c r="M220" i="4"/>
  <c r="M11" i="4"/>
  <c r="M178" i="4" s="1"/>
  <c r="N17" i="4"/>
  <c r="P355" i="1" s="1"/>
  <c r="M93" i="4"/>
  <c r="N16" i="4"/>
  <c r="P354" i="1" s="1"/>
  <c r="N49" i="4"/>
  <c r="L219" i="4"/>
  <c r="CB58" i="6" s="1"/>
  <c r="DK58" i="6" s="1"/>
  <c r="N90" i="4"/>
  <c r="M7" i="4"/>
  <c r="L58" i="4"/>
  <c r="M33" i="4"/>
  <c r="M52" i="4"/>
  <c r="M187" i="4" s="1"/>
  <c r="M45" i="4"/>
  <c r="O140" i="1" s="1"/>
  <c r="L7" i="4"/>
  <c r="CB25" i="6" s="1"/>
  <c r="DK25" i="6" s="1"/>
  <c r="N65" i="4"/>
  <c r="P170" i="1" s="1"/>
  <c r="M81" i="4"/>
  <c r="O257" i="1" s="1"/>
  <c r="N220" i="4"/>
  <c r="M49" i="4"/>
  <c r="Q218" i="4"/>
  <c r="N73" i="4"/>
  <c r="P246" i="1" s="1"/>
  <c r="O93" i="4"/>
  <c r="O82" i="4"/>
  <c r="Q258" i="1" s="1"/>
  <c r="N11" i="4"/>
  <c r="N178" i="4" s="1"/>
  <c r="O53" i="4"/>
  <c r="Q150" i="1" s="1"/>
  <c r="O49" i="4"/>
  <c r="O91" i="4"/>
  <c r="O213" i="4"/>
  <c r="O50" i="4"/>
  <c r="Q148" i="1" s="1"/>
  <c r="O83" i="4"/>
  <c r="Q260" i="1" s="1"/>
  <c r="P49" i="4"/>
  <c r="O90" i="4"/>
  <c r="O58" i="4"/>
  <c r="N218" i="4"/>
  <c r="N91" i="4"/>
  <c r="N29" i="4"/>
  <c r="N72" i="4"/>
  <c r="O6" i="4"/>
  <c r="N209" i="4"/>
  <c r="O209" i="4"/>
  <c r="O23" i="4"/>
  <c r="N215" i="4"/>
  <c r="N82" i="4"/>
  <c r="P258" i="1" s="1"/>
  <c r="O81" i="4"/>
  <c r="Q257" i="1" s="1"/>
  <c r="O22" i="4"/>
  <c r="N30" i="4"/>
  <c r="N9" i="4"/>
  <c r="O15" i="4"/>
  <c r="Q353" i="1" s="1"/>
  <c r="O77" i="4"/>
  <c r="Q245" i="1" s="1"/>
  <c r="O8" i="4"/>
  <c r="O26" i="4"/>
  <c r="N27" i="4"/>
  <c r="O30" i="4"/>
  <c r="N50" i="4"/>
  <c r="P148" i="1" s="1"/>
  <c r="N7" i="4"/>
  <c r="N36" i="4"/>
  <c r="N58" i="4"/>
  <c r="O9" i="4"/>
  <c r="O99" i="4"/>
  <c r="Q276" i="1" s="1"/>
  <c r="N6" i="4"/>
  <c r="N94" i="4"/>
  <c r="O46" i="4"/>
  <c r="N210" i="4"/>
  <c r="M26" i="4"/>
  <c r="M210" i="4"/>
  <c r="O10" i="4"/>
  <c r="N26" i="4"/>
  <c r="O29" i="4"/>
  <c r="N31" i="4"/>
  <c r="O73" i="4"/>
  <c r="Q246" i="1" s="1"/>
  <c r="N52" i="4"/>
  <c r="N187" i="4" s="1"/>
  <c r="O218" i="4"/>
  <c r="O27" i="4"/>
  <c r="O17" i="4"/>
  <c r="Q355" i="1" s="1"/>
  <c r="N69" i="4"/>
  <c r="P243" i="1" s="1"/>
  <c r="O7" i="4"/>
  <c r="N53" i="4"/>
  <c r="P150" i="1" s="1"/>
  <c r="O165" i="4"/>
  <c r="N19" i="4"/>
  <c r="N165" i="4"/>
  <c r="O214" i="4"/>
  <c r="M89" i="4"/>
  <c r="O268" i="1" s="1"/>
  <c r="O69" i="4"/>
  <c r="Q243" i="1" s="1"/>
  <c r="O52" i="4"/>
  <c r="O187" i="4" s="1"/>
  <c r="M14" i="4"/>
  <c r="O352" i="1" s="1"/>
  <c r="O14" i="4"/>
  <c r="Q352" i="1" s="1"/>
  <c r="N45" i="4"/>
  <c r="P140" i="1" s="1"/>
  <c r="O16" i="4"/>
  <c r="Q354" i="1" s="1"/>
  <c r="N84" i="4"/>
  <c r="P262" i="1" s="1"/>
  <c r="O215" i="4"/>
  <c r="O18" i="4"/>
  <c r="Q356" i="1" s="1"/>
  <c r="M13" i="4"/>
  <c r="O351" i="1" s="1"/>
  <c r="M165" i="4"/>
  <c r="N23" i="4"/>
  <c r="N25" i="4" s="1"/>
  <c r="J3" i="7" s="1"/>
  <c r="J5" i="7" s="1"/>
  <c r="O72" i="4"/>
  <c r="O45" i="4"/>
  <c r="Q140" i="1" s="1"/>
  <c r="O94" i="4"/>
  <c r="N219" i="4"/>
  <c r="N93" i="4"/>
  <c r="O11" i="4"/>
  <c r="O178" i="4" s="1"/>
  <c r="O210" i="4"/>
  <c r="M10" i="4"/>
  <c r="N83" i="4"/>
  <c r="P260" i="1" s="1"/>
  <c r="O19" i="4"/>
  <c r="O84" i="4"/>
  <c r="Q262" i="1" s="1"/>
  <c r="P210" i="4"/>
  <c r="P14" i="4"/>
  <c r="Q90" i="4"/>
  <c r="Q99" i="4"/>
  <c r="P72" i="4"/>
  <c r="Q58" i="4"/>
  <c r="Q7" i="4"/>
  <c r="Q209" i="4"/>
  <c r="P90" i="4"/>
  <c r="O65" i="4"/>
  <c r="Q170" i="1" s="1"/>
  <c r="Q83" i="4"/>
  <c r="P58" i="4"/>
  <c r="O13" i="4"/>
  <c r="Q351" i="1" s="1"/>
  <c r="P52" i="4"/>
  <c r="P187" i="4" s="1"/>
  <c r="Q82" i="4"/>
  <c r="Q36" i="4"/>
  <c r="P29" i="4"/>
  <c r="L6" i="7" s="1"/>
  <c r="L8" i="7" s="1"/>
  <c r="P208" i="4"/>
  <c r="P209" i="4"/>
  <c r="Q81" i="4"/>
  <c r="Q16" i="4"/>
  <c r="P8" i="4"/>
  <c r="Q8" i="4"/>
  <c r="P15" i="4"/>
  <c r="Q208" i="4"/>
  <c r="Q220" i="4"/>
  <c r="Q94" i="4"/>
  <c r="Q45" i="4"/>
  <c r="P22" i="4"/>
  <c r="Q210" i="4"/>
  <c r="P6" i="4"/>
  <c r="P89" i="4"/>
  <c r="O36" i="4"/>
  <c r="Q65" i="4"/>
  <c r="P7" i="4"/>
  <c r="P220" i="4"/>
  <c r="P16" i="4"/>
  <c r="P10" i="4"/>
  <c r="Q10" i="4"/>
  <c r="Q213" i="4"/>
  <c r="Q72" i="4"/>
  <c r="Q11" i="4"/>
  <c r="Q178" i="4" s="1"/>
  <c r="P83" i="4"/>
  <c r="O219" i="4"/>
  <c r="P77" i="4"/>
  <c r="P65" i="4"/>
  <c r="P45" i="4"/>
  <c r="P91" i="4"/>
  <c r="Q84" i="4"/>
  <c r="Q73" i="4"/>
  <c r="P94" i="4"/>
  <c r="P18" i="4"/>
  <c r="P36" i="4"/>
  <c r="P165" i="4"/>
  <c r="Q77" i="4"/>
  <c r="Q89" i="4"/>
  <c r="P69" i="4"/>
  <c r="Q29" i="4"/>
  <c r="M6" i="7" s="1"/>
  <c r="M8" i="7" s="1"/>
  <c r="Q26" i="4"/>
  <c r="O208" i="4"/>
  <c r="Q22" i="4"/>
  <c r="R9" i="4"/>
  <c r="R82" i="4"/>
  <c r="N81" i="4"/>
  <c r="P257" i="1" s="1"/>
  <c r="P213" i="4"/>
  <c r="Q91" i="4"/>
  <c r="R219" i="4"/>
  <c r="Q219" i="4"/>
  <c r="P26" i="4"/>
  <c r="Q14" i="4"/>
  <c r="R29" i="4"/>
  <c r="N6" i="7" s="1"/>
  <c r="N8" i="7" s="1"/>
  <c r="R14" i="4"/>
  <c r="P219" i="4"/>
  <c r="Q15" i="4"/>
  <c r="R15" i="4"/>
  <c r="O220" i="4"/>
  <c r="P13" i="4"/>
  <c r="Q50" i="4"/>
  <c r="R208" i="4"/>
  <c r="R23" i="4"/>
  <c r="R99" i="4"/>
  <c r="R93" i="4"/>
  <c r="Q49" i="4"/>
  <c r="P23" i="4"/>
  <c r="P25" i="4" s="1"/>
  <c r="L3" i="7" s="1"/>
  <c r="L5" i="7" s="1"/>
  <c r="Q69" i="4"/>
  <c r="P84" i="4"/>
  <c r="P11" i="4"/>
  <c r="P178" i="4" s="1"/>
  <c r="P9" i="4"/>
  <c r="R19" i="4"/>
  <c r="R179" i="4" s="1"/>
  <c r="R214" i="4"/>
  <c r="Q93" i="4"/>
  <c r="P218" i="4"/>
  <c r="R73" i="4"/>
  <c r="Q6" i="4"/>
  <c r="R13" i="4"/>
  <c r="R45" i="4"/>
  <c r="Q165" i="4"/>
  <c r="Q13" i="4"/>
  <c r="P214" i="4"/>
  <c r="P215" i="4"/>
  <c r="P93" i="4"/>
  <c r="R165" i="4"/>
  <c r="N33" i="4"/>
  <c r="R26" i="4"/>
  <c r="R52" i="4"/>
  <c r="R187" i="4" s="1"/>
  <c r="P73" i="4"/>
  <c r="Q52" i="4"/>
  <c r="Q187" i="4" s="1"/>
  <c r="Q215" i="4"/>
  <c r="R58" i="4"/>
  <c r="P50" i="4"/>
  <c r="Q9" i="4"/>
  <c r="Q19" i="4"/>
  <c r="Q179" i="4" s="1"/>
  <c r="P99" i="4"/>
  <c r="Q17" i="4"/>
  <c r="R210" i="4"/>
  <c r="R218" i="4"/>
  <c r="Q23" i="4"/>
  <c r="R16" i="4"/>
  <c r="Q27" i="4"/>
  <c r="O89" i="4"/>
  <c r="Q268" i="1" s="1"/>
  <c r="R8" i="4"/>
  <c r="R84" i="4"/>
  <c r="P46" i="4"/>
  <c r="P27" i="4"/>
  <c r="R10" i="4"/>
  <c r="R36" i="4"/>
  <c r="R69" i="4"/>
  <c r="S13" i="4"/>
  <c r="R49" i="4"/>
  <c r="S73" i="4"/>
  <c r="S15" i="4"/>
  <c r="P82" i="4"/>
  <c r="R90" i="4"/>
  <c r="S36" i="4"/>
  <c r="S14" i="4"/>
  <c r="S16" i="4"/>
  <c r="R11" i="4"/>
  <c r="R178" i="4" s="1"/>
  <c r="R6" i="4"/>
  <c r="R215" i="4"/>
  <c r="R81" i="4"/>
  <c r="R89" i="4"/>
  <c r="S65" i="4"/>
  <c r="Q18" i="4"/>
  <c r="S220" i="4"/>
  <c r="S215" i="4"/>
  <c r="R83" i="4"/>
  <c r="S23" i="4"/>
  <c r="R18" i="4"/>
  <c r="Q46" i="4"/>
  <c r="Q48" i="4" s="1"/>
  <c r="Q186" i="4" s="1"/>
  <c r="R27" i="4"/>
  <c r="S10" i="4"/>
  <c r="Q214" i="4"/>
  <c r="R213" i="4"/>
  <c r="S91" i="4"/>
  <c r="S18" i="4"/>
  <c r="S208" i="4"/>
  <c r="R7" i="4"/>
  <c r="S84" i="4"/>
  <c r="S90" i="4"/>
  <c r="R50" i="4"/>
  <c r="R91" i="4"/>
  <c r="S214" i="4"/>
  <c r="S19" i="4"/>
  <c r="S179" i="4" s="1"/>
  <c r="S81" i="4"/>
  <c r="R220" i="4"/>
  <c r="R94" i="4"/>
  <c r="R46" i="4"/>
  <c r="R48" i="4" s="1"/>
  <c r="R186" i="4" s="1"/>
  <c r="S82" i="4"/>
  <c r="R72" i="4"/>
  <c r="R77" i="4"/>
  <c r="P81" i="4"/>
  <c r="P17" i="4"/>
  <c r="R17" i="4"/>
  <c r="S165" i="4"/>
  <c r="P19" i="4"/>
  <c r="P179" i="4" s="1"/>
  <c r="R65" i="4"/>
  <c r="S29" i="4"/>
  <c r="O6" i="7" s="1"/>
  <c r="O8" i="7" s="1"/>
  <c r="S9" i="4"/>
  <c r="S219" i="4"/>
  <c r="S7" i="4"/>
  <c r="S17" i="4"/>
  <c r="S27" i="4"/>
  <c r="S22" i="4"/>
  <c r="S26" i="4"/>
  <c r="S50" i="4"/>
  <c r="S218" i="4"/>
  <c r="S45" i="4"/>
  <c r="S6" i="4"/>
  <c r="S94" i="4"/>
  <c r="S83" i="4"/>
  <c r="S69" i="4"/>
  <c r="S72" i="4"/>
  <c r="S89" i="4"/>
  <c r="S52" i="4"/>
  <c r="S187" i="4" s="1"/>
  <c r="S210" i="4"/>
  <c r="S46" i="4"/>
  <c r="S48" i="4" s="1"/>
  <c r="S186" i="4" s="1"/>
  <c r="S58" i="4"/>
  <c r="S93" i="4"/>
  <c r="S99" i="4"/>
  <c r="S8" i="4"/>
  <c r="S11" i="4"/>
  <c r="S178" i="4" s="1"/>
  <c r="R209" i="4"/>
  <c r="S49" i="4"/>
  <c r="R22" i="4"/>
  <c r="S213" i="4"/>
  <c r="S209" i="4"/>
  <c r="N217" i="1"/>
  <c r="P286" i="1"/>
  <c r="P287" i="1"/>
  <c r="M195" i="1"/>
  <c r="J141" i="4"/>
  <c r="J142" i="4" s="1"/>
  <c r="L214" i="1"/>
  <c r="L217" i="1" s="1"/>
  <c r="I114" i="4"/>
  <c r="K182" i="1"/>
  <c r="K233" i="1" s="1"/>
  <c r="J189" i="1"/>
  <c r="I218" i="1"/>
  <c r="I209" i="1"/>
  <c r="L141" i="4"/>
  <c r="N214" i="1"/>
  <c r="N382" i="1" s="1"/>
  <c r="O141" i="4"/>
  <c r="Q214" i="1"/>
  <c r="Q217" i="1" s="1"/>
  <c r="Q383" i="1"/>
  <c r="Q288" i="1"/>
  <c r="O183" i="4"/>
  <c r="O194" i="1"/>
  <c r="N189" i="1"/>
  <c r="N383" i="1"/>
  <c r="K183" i="4"/>
  <c r="M288" i="1"/>
  <c r="J183" i="4"/>
  <c r="L288" i="1"/>
  <c r="K101" i="4"/>
  <c r="K104" i="4" s="1"/>
  <c r="J195" i="4"/>
  <c r="I183" i="4"/>
  <c r="K288" i="1"/>
  <c r="I210" i="1"/>
  <c r="G141" i="4"/>
  <c r="G142" i="4" s="1"/>
  <c r="Q186" i="1"/>
  <c r="Q287" i="1"/>
  <c r="Q286" i="1"/>
  <c r="P382" i="1"/>
  <c r="O383" i="1"/>
  <c r="N287" i="1"/>
  <c r="N286" i="1"/>
  <c r="K141" i="4"/>
  <c r="K142" i="4" s="1"/>
  <c r="M214" i="1"/>
  <c r="M382" i="1" s="1"/>
  <c r="J287" i="1"/>
  <c r="J286" i="1"/>
  <c r="AD397" i="3"/>
  <c r="AE394" i="3" s="1"/>
  <c r="Z484" i="13"/>
  <c r="Z485" i="13"/>
  <c r="X488" i="13"/>
  <c r="X489" i="13"/>
  <c r="AC527" i="3"/>
  <c r="O56" i="4" s="1"/>
  <c r="Y484" i="13"/>
  <c r="Y485" i="13"/>
  <c r="P193" i="1"/>
  <c r="N124" i="4"/>
  <c r="AO82" i="13"/>
  <c r="AO483" i="13" s="1" a="1"/>
  <c r="AO483" i="13" s="1"/>
  <c r="AN489" i="13"/>
  <c r="AN488" i="13"/>
  <c r="AN448" i="3"/>
  <c r="AN579" i="3" s="1"/>
  <c r="Y83" i="13"/>
  <c r="X440" i="3"/>
  <c r="X340" i="3" s="1"/>
  <c r="X529" i="3"/>
  <c r="L57" i="4" s="1"/>
  <c r="AK466" i="3"/>
  <c r="AK546" i="3" s="1"/>
  <c r="AM579" i="3"/>
  <c r="AL465" i="3"/>
  <c r="AM528" i="3"/>
  <c r="AM560" i="3" s="1"/>
  <c r="AD402" i="3"/>
  <c r="AD525" i="3"/>
  <c r="AD527" i="3" s="1"/>
  <c r="AD403" i="3"/>
  <c r="AD336" i="3"/>
  <c r="AD338" i="3" s="1"/>
  <c r="Z83" i="13" s="1"/>
  <c r="Z487" i="13" s="1" a="1"/>
  <c r="Z487" i="13" s="1"/>
  <c r="AM462" i="3"/>
  <c r="AM453" i="3"/>
  <c r="AM580" i="3" s="1"/>
  <c r="AN454" i="3"/>
  <c r="AE392" i="3"/>
  <c r="AN423" i="3"/>
  <c r="AN422" i="3"/>
  <c r="AN459" i="3"/>
  <c r="AN600" i="3" s="1"/>
  <c r="AF524" i="3"/>
  <c r="P30" i="4" s="1"/>
  <c r="AF387" i="3"/>
  <c r="AF388" i="3"/>
  <c r="AC362" i="3"/>
  <c r="AC364" i="3" s="1"/>
  <c r="AN8" i="3"/>
  <c r="AN3" i="3" s="1"/>
  <c r="AR186" i="1"/>
  <c r="AR223" i="1"/>
  <c r="AV148" i="1"/>
  <c r="AR150" i="1"/>
  <c r="AP258" i="1"/>
  <c r="AO209" i="1"/>
  <c r="AT243" i="1"/>
  <c r="AP153" i="1"/>
  <c r="AS245" i="1"/>
  <c r="AO153" i="1"/>
  <c r="AO260" i="1"/>
  <c r="AP382" i="1"/>
  <c r="AO262" i="1"/>
  <c r="AV194" i="1"/>
  <c r="AV209" i="1"/>
  <c r="AW186" i="1"/>
  <c r="AU268" i="1"/>
  <c r="AV355" i="1"/>
  <c r="AR257" i="1"/>
  <c r="AU257" i="1"/>
  <c r="AU186" i="1"/>
  <c r="AW355" i="1"/>
  <c r="AQ150" i="1"/>
  <c r="AW286" i="1"/>
  <c r="AP262" i="1"/>
  <c r="AS190" i="1"/>
  <c r="AP194" i="1"/>
  <c r="AR245" i="1"/>
  <c r="AP182" i="1"/>
  <c r="AV214" i="1"/>
  <c r="AW288" i="1"/>
  <c r="AU246" i="1"/>
  <c r="AR189" i="1"/>
  <c r="AS258" i="1"/>
  <c r="AQ223" i="1"/>
  <c r="AV208" i="1"/>
  <c r="AR190" i="1"/>
  <c r="AV196" i="1"/>
  <c r="AW352" i="1"/>
  <c r="AS249" i="1"/>
  <c r="AV216" i="1"/>
  <c r="AT140" i="1"/>
  <c r="AP257" i="1"/>
  <c r="AR268" i="1"/>
  <c r="AP159" i="1"/>
  <c r="AO268" i="1"/>
  <c r="AO243" i="1"/>
  <c r="AO356" i="1"/>
  <c r="AO270" i="1"/>
  <c r="AP190" i="1"/>
  <c r="AT217" i="1"/>
  <c r="AV287" i="1"/>
  <c r="AS257" i="1"/>
  <c r="AU194" i="1"/>
  <c r="AS246" i="1"/>
  <c r="AS153" i="1"/>
  <c r="AP270" i="1"/>
  <c r="AQ260" i="1"/>
  <c r="AV150" i="1"/>
  <c r="AU243" i="1"/>
  <c r="AP268" i="1"/>
  <c r="AO258" i="1"/>
  <c r="AP150" i="1"/>
  <c r="AT381" i="1"/>
  <c r="AQ182" i="1"/>
  <c r="AT276" i="1"/>
  <c r="AQ140" i="1"/>
  <c r="AV353" i="1"/>
  <c r="AQ276" i="1"/>
  <c r="AV356" i="1"/>
  <c r="AO351" i="1"/>
  <c r="AO163" i="1"/>
  <c r="AP260" i="1"/>
  <c r="AP170" i="1"/>
  <c r="AO170" i="1"/>
  <c r="AS182" i="1"/>
  <c r="AP243" i="1"/>
  <c r="AW150" i="1"/>
  <c r="AV383" i="1"/>
  <c r="AU216" i="1"/>
  <c r="AQ245" i="1"/>
  <c r="AW351" i="1"/>
  <c r="AU288" i="1"/>
  <c r="AQ209" i="1"/>
  <c r="AU382" i="1"/>
  <c r="AV286" i="1"/>
  <c r="AT194" i="1"/>
  <c r="AR258" i="1"/>
  <c r="AQ383" i="1"/>
  <c r="AT286" i="1"/>
  <c r="AS140" i="1"/>
  <c r="AQ170" i="1"/>
  <c r="AR196" i="1"/>
  <c r="AU150" i="1"/>
  <c r="AV351" i="1"/>
  <c r="AP276" i="1"/>
  <c r="AR170" i="1"/>
  <c r="AO249" i="1"/>
  <c r="AQ243" i="1"/>
  <c r="AO245" i="1"/>
  <c r="AV288" i="1"/>
  <c r="AV218" i="1"/>
  <c r="AW287" i="1"/>
  <c r="AW243" i="1"/>
  <c r="AT148" i="1"/>
  <c r="AT189" i="1"/>
  <c r="AW140" i="1"/>
  <c r="AR287" i="1"/>
  <c r="AW170" i="1"/>
  <c r="AU356" i="1"/>
  <c r="AO150" i="1"/>
  <c r="AT246" i="1"/>
  <c r="AU352" i="1"/>
  <c r="AQ190" i="1"/>
  <c r="AP286" i="1"/>
  <c r="AR356" i="1"/>
  <c r="AP287" i="1"/>
  <c r="AO352" i="1"/>
  <c r="AT262" i="1"/>
  <c r="AT153" i="1"/>
  <c r="AV153" i="1"/>
  <c r="AU351" i="1"/>
  <c r="AO246" i="1"/>
  <c r="AW245" i="1"/>
  <c r="AP140" i="1"/>
  <c r="AQ148" i="1"/>
  <c r="AR194" i="1"/>
  <c r="AP383" i="1"/>
  <c r="AS159" i="1"/>
  <c r="AQ356" i="1"/>
  <c r="AO223" i="1"/>
  <c r="AU245" i="1"/>
  <c r="AR270" i="1"/>
  <c r="AW356" i="1"/>
  <c r="AR153" i="1"/>
  <c r="AQ262" i="1"/>
  <c r="AP249" i="1"/>
  <c r="AQ258" i="1"/>
  <c r="AP245" i="1"/>
  <c r="AU196" i="1"/>
  <c r="AS216" i="1"/>
  <c r="AV382" i="1"/>
  <c r="AS195" i="1"/>
  <c r="AU148" i="1"/>
  <c r="AQ249" i="1"/>
  <c r="AO354" i="1"/>
  <c r="AU190" i="1"/>
  <c r="AS383" i="1"/>
  <c r="AR148" i="1"/>
  <c r="AV262" i="1"/>
  <c r="AT267" i="1"/>
  <c r="AU353" i="1"/>
  <c r="AP148" i="1"/>
  <c r="AV257" i="1"/>
  <c r="AR276" i="1"/>
  <c r="AT383" i="1"/>
  <c r="AR262" i="1"/>
  <c r="AT196" i="1"/>
  <c r="AV140" i="1"/>
  <c r="AU276" i="1"/>
  <c r="AQ382" i="1"/>
  <c r="AQ195" i="1"/>
  <c r="AT186" i="1"/>
  <c r="AV352" i="1"/>
  <c r="AR383" i="1"/>
  <c r="AU208" i="1"/>
  <c r="AT170" i="1"/>
  <c r="AR140" i="1"/>
  <c r="AP223" i="1"/>
  <c r="AW257" i="1"/>
  <c r="AV260" i="1"/>
  <c r="AS356" i="1"/>
  <c r="AS163" i="1"/>
  <c r="AS268" i="1"/>
  <c r="AR260" i="1"/>
  <c r="AO148" i="1"/>
  <c r="AU355" i="1"/>
  <c r="AS276" i="1"/>
  <c r="AW353" i="1"/>
  <c r="AS288" i="1"/>
  <c r="AW196" i="1"/>
  <c r="AS150" i="1"/>
  <c r="AO288" i="1"/>
  <c r="AW354" i="1"/>
  <c r="AU262" i="1"/>
  <c r="AV245" i="1"/>
  <c r="AT258" i="1"/>
  <c r="AQ270" i="1"/>
  <c r="AR209" i="1"/>
  <c r="AU354" i="1"/>
  <c r="AW258" i="1"/>
  <c r="AR246" i="1"/>
  <c r="AR217" i="1"/>
  <c r="AS194" i="1"/>
  <c r="AS148" i="1"/>
  <c r="AS382" i="1"/>
  <c r="AP356" i="1"/>
  <c r="AT270" i="1"/>
  <c r="AS270" i="1"/>
  <c r="AP208" i="1"/>
  <c r="AT356" i="1"/>
  <c r="AQ217" i="1"/>
  <c r="AO196" i="1"/>
  <c r="AT190" i="1"/>
  <c r="AU189" i="1"/>
  <c r="AV243" i="1"/>
  <c r="AO159" i="1"/>
  <c r="AP186" i="1"/>
  <c r="AV276" i="1"/>
  <c r="AT150" i="1"/>
  <c r="AQ196" i="1"/>
  <c r="AW194" i="1"/>
  <c r="AS287" i="1"/>
  <c r="AW268" i="1"/>
  <c r="AV268" i="1"/>
  <c r="AT260" i="1"/>
  <c r="AW246" i="1"/>
  <c r="AU383" i="1"/>
  <c r="AO210" i="1"/>
  <c r="AU287" i="1"/>
  <c r="AO257" i="1"/>
  <c r="AP288" i="1"/>
  <c r="AU170" i="1"/>
  <c r="AO218" i="1"/>
  <c r="AU214" i="1"/>
  <c r="AS186" i="1"/>
  <c r="AP163" i="1"/>
  <c r="AW260" i="1"/>
  <c r="AV189" i="1"/>
  <c r="AV354" i="1"/>
  <c r="AU258" i="1"/>
  <c r="AT382" i="1"/>
  <c r="AQ287" i="1"/>
  <c r="AQ159" i="1"/>
  <c r="AR159" i="1"/>
  <c r="AP216" i="1"/>
  <c r="AU260" i="1"/>
  <c r="AT208" i="1"/>
  <c r="AR214" i="1"/>
  <c r="AR249" i="1"/>
  <c r="AQ214" i="1"/>
  <c r="AV258" i="1"/>
  <c r="AS260" i="1"/>
  <c r="AQ186" i="1"/>
  <c r="AP196" i="1"/>
  <c r="AT214" i="1"/>
  <c r="AW276" i="1"/>
  <c r="AR243" i="1"/>
  <c r="AW214" i="1"/>
  <c r="AS243" i="1"/>
  <c r="AS262" i="1"/>
  <c r="AS170" i="1"/>
  <c r="AT288" i="1"/>
  <c r="AW218" i="1"/>
  <c r="AQ233" i="1"/>
  <c r="AW208" i="1"/>
  <c r="AP218" i="1"/>
  <c r="AQ257" i="1"/>
  <c r="AS196" i="1"/>
  <c r="AO382" i="1"/>
  <c r="AU218" i="1"/>
  <c r="AV193" i="1"/>
  <c r="AR288" i="1"/>
  <c r="AQ218" i="1"/>
  <c r="AT287" i="1"/>
  <c r="AT245" i="1"/>
  <c r="AO355" i="1"/>
  <c r="AS214" i="1"/>
  <c r="AV246" i="1"/>
  <c r="AR286" i="1"/>
  <c r="AQ286" i="1"/>
  <c r="AS286" i="1"/>
  <c r="AS218" i="1"/>
  <c r="AW262" i="1"/>
  <c r="AO182" i="1"/>
  <c r="AW383" i="1"/>
  <c r="AU140" i="1"/>
  <c r="AT257" i="1"/>
  <c r="AT268" i="1"/>
  <c r="AQ163" i="1"/>
  <c r="AR218" i="1"/>
  <c r="AW217" i="1"/>
  <c r="AV217" i="1"/>
  <c r="AR163" i="1"/>
  <c r="AU286" i="1"/>
  <c r="AQ288" i="1"/>
  <c r="AU153" i="1"/>
  <c r="AP246" i="1"/>
  <c r="AT218" i="1"/>
  <c r="AP189" i="1"/>
  <c r="AQ246" i="1"/>
  <c r="AO276" i="1"/>
  <c r="AQ153" i="1"/>
  <c r="AO189" i="1"/>
  <c r="AO140" i="1"/>
  <c r="AS209" i="1"/>
  <c r="AU217" i="1"/>
  <c r="AR182" i="1"/>
  <c r="AU209" i="1"/>
  <c r="AW148" i="1"/>
  <c r="AV170" i="1"/>
  <c r="AQ268" i="1"/>
  <c r="AS223" i="1"/>
  <c r="AO353" i="1"/>
  <c r="G125" i="4" l="1"/>
  <c r="O25" i="4"/>
  <c r="K3" i="7" s="1"/>
  <c r="K5" i="7" s="1"/>
  <c r="P267" i="1"/>
  <c r="I48" i="4"/>
  <c r="I186" i="4" s="1"/>
  <c r="H125" i="4"/>
  <c r="N209" i="1"/>
  <c r="J100" i="4"/>
  <c r="J272" i="1"/>
  <c r="O267" i="1"/>
  <c r="K267" i="1"/>
  <c r="P48" i="4"/>
  <c r="P186" i="4" s="1"/>
  <c r="K76" i="4"/>
  <c r="L267" i="1"/>
  <c r="J267" i="1"/>
  <c r="Q209" i="1"/>
  <c r="AF382" i="3"/>
  <c r="L25" i="4"/>
  <c r="K125" i="4"/>
  <c r="AD588" i="3"/>
  <c r="O117" i="4" s="1"/>
  <c r="L48" i="4"/>
  <c r="L186" i="4" s="1"/>
  <c r="G194" i="4"/>
  <c r="I273" i="1"/>
  <c r="P263" i="1"/>
  <c r="Q142" i="1"/>
  <c r="M384" i="1"/>
  <c r="DJ52" i="6"/>
  <c r="CG52" i="6"/>
  <c r="CH52" i="6" s="1"/>
  <c r="DJ26" i="6"/>
  <c r="CG26" i="6"/>
  <c r="CH26" i="6" s="1"/>
  <c r="M263" i="1"/>
  <c r="CD58" i="6"/>
  <c r="CF58" i="6" s="1"/>
  <c r="DI58" i="6"/>
  <c r="L263" i="1"/>
  <c r="H79" i="4"/>
  <c r="H197" i="4"/>
  <c r="H192" i="4"/>
  <c r="I178" i="4"/>
  <c r="BY28" i="6"/>
  <c r="DH28" i="6" s="1"/>
  <c r="J303" i="1"/>
  <c r="BX11" i="6"/>
  <c r="DG11" i="6" s="1"/>
  <c r="H182" i="4"/>
  <c r="BY9" i="6"/>
  <c r="DH9" i="6" s="1"/>
  <c r="E9" i="7"/>
  <c r="E11" i="7" s="1"/>
  <c r="I180" i="4"/>
  <c r="I42" i="4"/>
  <c r="M227" i="1"/>
  <c r="M381" i="1"/>
  <c r="K151" i="4"/>
  <c r="N195" i="1"/>
  <c r="Q25" i="4"/>
  <c r="M3" i="7" s="1"/>
  <c r="M5" i="7" s="1"/>
  <c r="Q247" i="1"/>
  <c r="O31" i="4"/>
  <c r="O263" i="1"/>
  <c r="M179" i="4"/>
  <c r="O357" i="1"/>
  <c r="CG27" i="6"/>
  <c r="CH27" i="6" s="1"/>
  <c r="DJ27" i="6"/>
  <c r="CG57" i="6"/>
  <c r="CH57" i="6" s="1"/>
  <c r="DJ57" i="6"/>
  <c r="M149" i="1"/>
  <c r="G6" i="7"/>
  <c r="G8" i="7" s="1"/>
  <c r="CA7" i="6"/>
  <c r="K25" i="4"/>
  <c r="K386" i="1"/>
  <c r="BW11" i="6"/>
  <c r="DF11" i="6" s="1"/>
  <c r="G182" i="4"/>
  <c r="I303" i="1"/>
  <c r="K263" i="1"/>
  <c r="K334" i="1"/>
  <c r="Q219" i="1"/>
  <c r="O386" i="1"/>
  <c r="P173" i="1"/>
  <c r="P380" i="1"/>
  <c r="O384" i="1"/>
  <c r="DJ54" i="6"/>
  <c r="CG54" i="6"/>
  <c r="CH54" i="6" s="1"/>
  <c r="N386" i="1"/>
  <c r="O380" i="1"/>
  <c r="O173" i="1"/>
  <c r="DJ59" i="6"/>
  <c r="CG59" i="6"/>
  <c r="CH59" i="6" s="1"/>
  <c r="K189" i="4"/>
  <c r="M298" i="1"/>
  <c r="CD24" i="6"/>
  <c r="CF24" i="6" s="1"/>
  <c r="DI24" i="6"/>
  <c r="M173" i="1"/>
  <c r="M380" i="1"/>
  <c r="J76" i="4"/>
  <c r="J25" i="4"/>
  <c r="BY7" i="6"/>
  <c r="DH7" i="6" s="1"/>
  <c r="E6" i="7"/>
  <c r="E8" i="7" s="1"/>
  <c r="K149" i="1"/>
  <c r="I154" i="1"/>
  <c r="E79" i="4"/>
  <c r="E192" i="4"/>
  <c r="E197" i="4"/>
  <c r="E104" i="4"/>
  <c r="H151" i="4"/>
  <c r="O381" i="1"/>
  <c r="O195" i="1"/>
  <c r="Q381" i="1"/>
  <c r="P53" i="4"/>
  <c r="N263" i="1"/>
  <c r="CG48" i="6"/>
  <c r="CH48" i="6" s="1"/>
  <c r="DJ48" i="6"/>
  <c r="CA34" i="6"/>
  <c r="M354" i="1"/>
  <c r="K48" i="4"/>
  <c r="K186" i="4" s="1"/>
  <c r="I182" i="4"/>
  <c r="BY11" i="6"/>
  <c r="DH11" i="6" s="1"/>
  <c r="K303" i="1"/>
  <c r="BY36" i="6"/>
  <c r="K357" i="1"/>
  <c r="I179" i="4"/>
  <c r="G179" i="4"/>
  <c r="I357" i="1"/>
  <c r="M282" i="1"/>
  <c r="M187" i="1"/>
  <c r="Q382" i="1"/>
  <c r="P219" i="1"/>
  <c r="K227" i="1"/>
  <c r="O219" i="1"/>
  <c r="O54" i="4"/>
  <c r="O48" i="4"/>
  <c r="O186" i="4" s="1"/>
  <c r="O142" i="1"/>
  <c r="N48" i="4"/>
  <c r="N186" i="4" s="1"/>
  <c r="F9" i="7"/>
  <c r="F11" i="7" s="1"/>
  <c r="J180" i="4"/>
  <c r="BZ9" i="6"/>
  <c r="J42" i="4"/>
  <c r="M154" i="1"/>
  <c r="M334" i="1" s="1"/>
  <c r="O247" i="1"/>
  <c r="L354" i="1"/>
  <c r="BZ34" i="6"/>
  <c r="J40" i="4"/>
  <c r="M247" i="1"/>
  <c r="I79" i="4"/>
  <c r="I197" i="4"/>
  <c r="I192" i="4"/>
  <c r="BZ35" i="6"/>
  <c r="L355" i="1"/>
  <c r="K154" i="1"/>
  <c r="H100" i="4"/>
  <c r="I173" i="1"/>
  <c r="I380" i="1"/>
  <c r="D48" i="4"/>
  <c r="D186" i="4" s="1"/>
  <c r="E48" i="4"/>
  <c r="E186" i="4" s="1"/>
  <c r="L187" i="1"/>
  <c r="L282" i="1"/>
  <c r="G151" i="4"/>
  <c r="N303" i="1"/>
  <c r="L182" i="4"/>
  <c r="CB11" i="6"/>
  <c r="DK11" i="6" s="1"/>
  <c r="N384" i="1"/>
  <c r="CB6" i="6"/>
  <c r="DK6" i="6" s="1"/>
  <c r="H3" i="7"/>
  <c r="H5" i="7" s="1"/>
  <c r="CG24" i="6"/>
  <c r="CH24" i="6" s="1"/>
  <c r="DJ24" i="6"/>
  <c r="L384" i="1"/>
  <c r="J192" i="4"/>
  <c r="J79" i="4"/>
  <c r="J197" i="4"/>
  <c r="M355" i="1"/>
  <c r="CA35" i="6"/>
  <c r="DJ53" i="6"/>
  <c r="CG53" i="6"/>
  <c r="CH53" i="6" s="1"/>
  <c r="DI27" i="6"/>
  <c r="CD27" i="6"/>
  <c r="CF27" i="6" s="1"/>
  <c r="H181" i="4"/>
  <c r="BX10" i="6"/>
  <c r="DG10" i="6" s="1"/>
  <c r="K385" i="1"/>
  <c r="BY32" i="6"/>
  <c r="K352" i="1"/>
  <c r="K247" i="1"/>
  <c r="BX31" i="6"/>
  <c r="J351" i="1"/>
  <c r="J173" i="1"/>
  <c r="J380" i="1"/>
  <c r="G180" i="4"/>
  <c r="G42" i="4"/>
  <c r="BW9" i="6"/>
  <c r="DF9" i="6" s="1"/>
  <c r="F48" i="4"/>
  <c r="F186" i="4" s="1"/>
  <c r="D40" i="4"/>
  <c r="D192" i="4"/>
  <c r="D197" i="4"/>
  <c r="D104" i="4"/>
  <c r="E100" i="4"/>
  <c r="H104" i="4"/>
  <c r="I187" i="1"/>
  <c r="I282" i="1"/>
  <c r="I217" i="1"/>
  <c r="I233" i="1"/>
  <c r="I383" i="1"/>
  <c r="Q384" i="1"/>
  <c r="K192" i="4"/>
  <c r="K79" i="4"/>
  <c r="K197" i="4"/>
  <c r="DJ25" i="6"/>
  <c r="CG25" i="6"/>
  <c r="CH25" i="6" s="1"/>
  <c r="M386" i="1"/>
  <c r="G9" i="7"/>
  <c r="G11" i="7" s="1"/>
  <c r="K180" i="4"/>
  <c r="CA9" i="6"/>
  <c r="K42" i="4"/>
  <c r="BZ10" i="6"/>
  <c r="J181" i="4"/>
  <c r="L149" i="1"/>
  <c r="F6" i="7"/>
  <c r="F8" i="7" s="1"/>
  <c r="BZ7" i="6"/>
  <c r="CD57" i="6"/>
  <c r="CF57" i="6" s="1"/>
  <c r="DI57" i="6"/>
  <c r="BX36" i="6"/>
  <c r="J357" i="1"/>
  <c r="H179" i="4"/>
  <c r="BY35" i="6"/>
  <c r="DH35" i="6" s="1"/>
  <c r="K355" i="1"/>
  <c r="G76" i="4"/>
  <c r="I247" i="1"/>
  <c r="G181" i="4"/>
  <c r="BW10" i="6"/>
  <c r="DF10" i="6" s="1"/>
  <c r="S25" i="4"/>
  <c r="O3" i="7" s="1"/>
  <c r="O5" i="7" s="1"/>
  <c r="R25" i="4"/>
  <c r="N3" i="7" s="1"/>
  <c r="N5" i="7" s="1"/>
  <c r="P149" i="1"/>
  <c r="J6" i="7"/>
  <c r="J8" i="7" s="1"/>
  <c r="L247" i="1"/>
  <c r="CB34" i="6"/>
  <c r="DK34" i="6" s="1"/>
  <c r="N354" i="1"/>
  <c r="DJ47" i="6"/>
  <c r="CG47" i="6"/>
  <c r="CH47" i="6" s="1"/>
  <c r="DI52" i="6"/>
  <c r="CD52" i="6"/>
  <c r="CF52" i="6" s="1"/>
  <c r="L380" i="1"/>
  <c r="L173" i="1"/>
  <c r="I40" i="4"/>
  <c r="I386" i="1"/>
  <c r="I142" i="1"/>
  <c r="I104" i="4"/>
  <c r="Q357" i="1"/>
  <c r="O179" i="4"/>
  <c r="P386" i="1"/>
  <c r="CB31" i="6"/>
  <c r="N351" i="1"/>
  <c r="CD54" i="6"/>
  <c r="CF54" i="6" s="1"/>
  <c r="DI54" i="6"/>
  <c r="BZ32" i="6"/>
  <c r="L352" i="1"/>
  <c r="BZ33" i="6"/>
  <c r="L353" i="1"/>
  <c r="DI53" i="6"/>
  <c r="CD53" i="6"/>
  <c r="CF53" i="6" s="1"/>
  <c r="J179" i="4"/>
  <c r="BZ36" i="6"/>
  <c r="L357" i="1"/>
  <c r="H194" i="4"/>
  <c r="BX35" i="6"/>
  <c r="DG35" i="6" s="1"/>
  <c r="J355" i="1"/>
  <c r="I385" i="1"/>
  <c r="I195" i="1"/>
  <c r="L382" i="1"/>
  <c r="J282" i="1"/>
  <c r="J187" i="1"/>
  <c r="Q386" i="1"/>
  <c r="Q173" i="1"/>
  <c r="Q380" i="1"/>
  <c r="N179" i="4"/>
  <c r="P357" i="1"/>
  <c r="CB28" i="6"/>
  <c r="DK28" i="6" s="1"/>
  <c r="L178" i="4"/>
  <c r="N149" i="1"/>
  <c r="CB7" i="6"/>
  <c r="DK7" i="6" s="1"/>
  <c r="L386" i="1"/>
  <c r="BY10" i="6"/>
  <c r="DH10" i="6" s="1"/>
  <c r="I181" i="4"/>
  <c r="I194" i="4"/>
  <c r="K274" i="1"/>
  <c r="BX32" i="6"/>
  <c r="J352" i="1"/>
  <c r="J386" i="1"/>
  <c r="K337" i="1"/>
  <c r="Q335" i="1"/>
  <c r="Q385" i="1"/>
  <c r="K181" i="4"/>
  <c r="CA10" i="6"/>
  <c r="L34" i="4"/>
  <c r="CA28" i="6"/>
  <c r="K178" i="4"/>
  <c r="DI47" i="6"/>
  <c r="CD47" i="6"/>
  <c r="CF47" i="6" s="1"/>
  <c r="CD59" i="6"/>
  <c r="CF59" i="6" s="1"/>
  <c r="DI59" i="6"/>
  <c r="I100" i="4"/>
  <c r="J263" i="1"/>
  <c r="BX9" i="6"/>
  <c r="DG9" i="6" s="1"/>
  <c r="H180" i="4"/>
  <c r="H42" i="4"/>
  <c r="J142" i="1"/>
  <c r="F180" i="4"/>
  <c r="F42" i="4"/>
  <c r="J209" i="1"/>
  <c r="K381" i="1"/>
  <c r="I125" i="4"/>
  <c r="Q149" i="1"/>
  <c r="K6" i="7"/>
  <c r="K8" i="7" s="1"/>
  <c r="Q263" i="1"/>
  <c r="Q333" i="1"/>
  <c r="O154" i="1"/>
  <c r="O334" i="1" s="1"/>
  <c r="N142" i="1"/>
  <c r="CB36" i="6"/>
  <c r="L179" i="4"/>
  <c r="N357" i="1"/>
  <c r="N247" i="1"/>
  <c r="J194" i="4"/>
  <c r="M385" i="1"/>
  <c r="K384" i="1"/>
  <c r="DJ58" i="6"/>
  <c r="CG58" i="6"/>
  <c r="CH58" i="6" s="1"/>
  <c r="K194" i="4"/>
  <c r="CD25" i="6"/>
  <c r="CF25" i="6" s="1"/>
  <c r="DI25" i="6"/>
  <c r="K353" i="1"/>
  <c r="BY33" i="6"/>
  <c r="E76" i="4"/>
  <c r="BX33" i="6"/>
  <c r="J353" i="1"/>
  <c r="J387" i="1"/>
  <c r="I298" i="1"/>
  <c r="G189" i="4"/>
  <c r="E42" i="4"/>
  <c r="E180" i="4"/>
  <c r="J227" i="1"/>
  <c r="I227" i="1"/>
  <c r="L335" i="1"/>
  <c r="N219" i="1"/>
  <c r="I219" i="1"/>
  <c r="I220" i="1" s="1"/>
  <c r="J195" i="1"/>
  <c r="P384" i="1"/>
  <c r="O385" i="1"/>
  <c r="CD48" i="6"/>
  <c r="CF48" i="6" s="1"/>
  <c r="DI48" i="6"/>
  <c r="CA31" i="6"/>
  <c r="M351" i="1"/>
  <c r="M353" i="1"/>
  <c r="CA33" i="6"/>
  <c r="N154" i="1"/>
  <c r="M267" i="1"/>
  <c r="M272" i="1" s="1"/>
  <c r="M387" i="1" s="1"/>
  <c r="L142" i="1"/>
  <c r="L333" i="1" s="1"/>
  <c r="K173" i="1"/>
  <c r="K380" i="1"/>
  <c r="BX34" i="6"/>
  <c r="DG34" i="6" s="1"/>
  <c r="J354" i="1"/>
  <c r="K142" i="1"/>
  <c r="K335" i="1" s="1"/>
  <c r="K354" i="1"/>
  <c r="BY34" i="6"/>
  <c r="DH34" i="6" s="1"/>
  <c r="H178" i="4"/>
  <c r="BX28" i="6"/>
  <c r="DG28" i="6" s="1"/>
  <c r="J385" i="1"/>
  <c r="H40" i="4"/>
  <c r="I142" i="4"/>
  <c r="M233" i="1"/>
  <c r="L233" i="1"/>
  <c r="L337" i="1" s="1"/>
  <c r="P142" i="1"/>
  <c r="P154" i="1"/>
  <c r="P334" i="1" s="1"/>
  <c r="P385" i="1"/>
  <c r="O149" i="1"/>
  <c r="I6" i="7"/>
  <c r="I8" i="7" s="1"/>
  <c r="CB33" i="6"/>
  <c r="N353" i="1"/>
  <c r="N380" i="1"/>
  <c r="N173" i="1"/>
  <c r="M142" i="1"/>
  <c r="M333" i="1" s="1"/>
  <c r="J182" i="4"/>
  <c r="BZ11" i="6"/>
  <c r="L303" i="1"/>
  <c r="CA32" i="6"/>
  <c r="M352" i="1"/>
  <c r="J189" i="4"/>
  <c r="L298" i="1"/>
  <c r="BZ28" i="6"/>
  <c r="J178" i="4"/>
  <c r="BY31" i="6"/>
  <c r="K351" i="1"/>
  <c r="J149" i="1"/>
  <c r="BX7" i="6"/>
  <c r="DG7" i="6" s="1"/>
  <c r="L154" i="1"/>
  <c r="F76" i="4"/>
  <c r="J384" i="1"/>
  <c r="I384" i="1"/>
  <c r="I263" i="1"/>
  <c r="I334" i="1"/>
  <c r="I333" i="1"/>
  <c r="M217" i="1"/>
  <c r="J381" i="1"/>
  <c r="J233" i="1"/>
  <c r="L219" i="1"/>
  <c r="L220" i="1" s="1"/>
  <c r="K282" i="1"/>
  <c r="K187" i="1"/>
  <c r="Q267" i="1"/>
  <c r="CG49" i="6"/>
  <c r="CH49" i="6" s="1"/>
  <c r="DJ49" i="6"/>
  <c r="M48" i="4"/>
  <c r="M186" i="4" s="1"/>
  <c r="CA36" i="6"/>
  <c r="M357" i="1"/>
  <c r="K179" i="4"/>
  <c r="BZ31" i="6"/>
  <c r="L351" i="1"/>
  <c r="E3" i="7"/>
  <c r="E5" i="7" s="1"/>
  <c r="BY6" i="6"/>
  <c r="DH6" i="6" s="1"/>
  <c r="J247" i="1"/>
  <c r="F192" i="4"/>
  <c r="F79" i="4"/>
  <c r="F197" i="4"/>
  <c r="F104" i="4"/>
  <c r="F40" i="4"/>
  <c r="I267" i="1"/>
  <c r="E40" i="4"/>
  <c r="J125" i="4"/>
  <c r="J217" i="1"/>
  <c r="L227" i="1"/>
  <c r="K219" i="1"/>
  <c r="P247" i="1"/>
  <c r="O33" i="4"/>
  <c r="N385" i="1"/>
  <c r="M25" i="4"/>
  <c r="I3" i="7" s="1"/>
  <c r="I5" i="7" s="1"/>
  <c r="N352" i="1"/>
  <c r="CB32" i="6"/>
  <c r="CB35" i="6"/>
  <c r="DK35" i="6" s="1"/>
  <c r="N355" i="1"/>
  <c r="M303" i="1"/>
  <c r="CA11" i="6"/>
  <c r="K182" i="4"/>
  <c r="I189" i="4"/>
  <c r="K298" i="1"/>
  <c r="J298" i="1"/>
  <c r="H189" i="4"/>
  <c r="L385" i="1"/>
  <c r="DI49" i="6"/>
  <c r="CD49" i="6"/>
  <c r="CF49" i="6" s="1"/>
  <c r="J154" i="1"/>
  <c r="J334" i="1" s="1"/>
  <c r="I149" i="1"/>
  <c r="BW7" i="6"/>
  <c r="DF7" i="6" s="1"/>
  <c r="G104" i="4"/>
  <c r="G79" i="4"/>
  <c r="G197" i="4"/>
  <c r="G192" i="4"/>
  <c r="D100" i="4"/>
  <c r="L381" i="1"/>
  <c r="L195" i="1"/>
  <c r="P381" i="1"/>
  <c r="AN424" i="3"/>
  <c r="AN437" i="3" s="1"/>
  <c r="AO83" i="13"/>
  <c r="AO487" i="13" s="1" a="1"/>
  <c r="AO487" i="13" s="1"/>
  <c r="Y487" i="13" a="1"/>
  <c r="Y487" i="13" s="1"/>
  <c r="Z488" i="13"/>
  <c r="Z489" i="13"/>
  <c r="AO484" i="13"/>
  <c r="AO485" i="13"/>
  <c r="P195" i="1"/>
  <c r="AD595" i="3"/>
  <c r="N159" i="1"/>
  <c r="X558" i="3"/>
  <c r="X533" i="3"/>
  <c r="L60" i="4" s="1"/>
  <c r="Q153" i="1"/>
  <c r="AM465" i="3"/>
  <c r="AM466" i="3" s="1"/>
  <c r="AM546" i="3" s="1"/>
  <c r="X343" i="3"/>
  <c r="L38" i="4" s="1"/>
  <c r="T84" i="13"/>
  <c r="X287" i="11"/>
  <c r="X288" i="11" s="1"/>
  <c r="AN528" i="3"/>
  <c r="AN560" i="3" s="1"/>
  <c r="AD362" i="3"/>
  <c r="AD364" i="3" s="1"/>
  <c r="AE397" i="3"/>
  <c r="AE525" i="3"/>
  <c r="AE402" i="3"/>
  <c r="AE403" i="3"/>
  <c r="AE336" i="3"/>
  <c r="AE338" i="3" s="1"/>
  <c r="AL466" i="3"/>
  <c r="AL546" i="3" s="1"/>
  <c r="S77" i="4" s="1"/>
  <c r="AN462" i="3"/>
  <c r="AN453" i="3"/>
  <c r="AP267" i="1"/>
  <c r="AQ352" i="1"/>
  <c r="AR384" i="1"/>
  <c r="AO380" i="1"/>
  <c r="AP209" i="1"/>
  <c r="AR381" i="1"/>
  <c r="AR195" i="1"/>
  <c r="AO233" i="1"/>
  <c r="AS387" i="1"/>
  <c r="AW384" i="1"/>
  <c r="AR247" i="1"/>
  <c r="AV142" i="1"/>
  <c r="AV385" i="1"/>
  <c r="AQ355" i="1"/>
  <c r="AV195" i="1"/>
  <c r="AS385" i="1"/>
  <c r="AR149" i="1"/>
  <c r="AV219" i="1"/>
  <c r="AQ337" i="1"/>
  <c r="AR298" i="1"/>
  <c r="AS334" i="1"/>
  <c r="AR355" i="1"/>
  <c r="AQ384" i="1"/>
  <c r="AQ357" i="1"/>
  <c r="AS357" i="1"/>
  <c r="AS380" i="1"/>
  <c r="AQ353" i="1"/>
  <c r="AW209" i="1"/>
  <c r="AR382" i="1"/>
  <c r="AQ247" i="1"/>
  <c r="AR380" i="1"/>
  <c r="AO384" i="1"/>
  <c r="AR227" i="1"/>
  <c r="AR357" i="1"/>
  <c r="AQ380" i="1"/>
  <c r="AR351" i="1"/>
  <c r="AS381" i="1"/>
  <c r="AT303" i="1"/>
  <c r="AT247" i="1"/>
  <c r="AO247" i="1"/>
  <c r="AR352" i="1"/>
  <c r="AO298" i="1"/>
  <c r="AT142" i="1"/>
  <c r="AR273" i="1"/>
  <c r="AO386" i="1"/>
  <c r="AS247" i="1"/>
  <c r="AP263" i="1"/>
  <c r="AV357" i="1"/>
  <c r="AP381" i="1"/>
  <c r="AW219" i="1"/>
  <c r="AO195" i="1"/>
  <c r="AT357" i="1"/>
  <c r="AU381" i="1"/>
  <c r="AO142" i="1"/>
  <c r="AT351" i="1"/>
  <c r="AP195" i="1"/>
  <c r="AW149" i="1"/>
  <c r="AQ187" i="1"/>
  <c r="AO154" i="1"/>
  <c r="AU149" i="1"/>
  <c r="AV386" i="1"/>
  <c r="AR267" i="1"/>
  <c r="AU380" i="1"/>
  <c r="AV267" i="1"/>
  <c r="AV384" i="1"/>
  <c r="AR337" i="1"/>
  <c r="AP282" i="1"/>
  <c r="AS142" i="1"/>
  <c r="AW142" i="1"/>
  <c r="AP233" i="1"/>
  <c r="AW173" i="1"/>
  <c r="AO383" i="1"/>
  <c r="AP227" i="1"/>
  <c r="AW335" i="1"/>
  <c r="AS263" i="1"/>
  <c r="AU195" i="1"/>
  <c r="AR386" i="1"/>
  <c r="AQ385" i="1"/>
  <c r="AT173" i="1"/>
  <c r="AT354" i="1"/>
  <c r="AQ173" i="1"/>
  <c r="AS298" i="1"/>
  <c r="AS149" i="1"/>
  <c r="AU334" i="1"/>
  <c r="AV380" i="1"/>
  <c r="AP387" i="1"/>
  <c r="AP384" i="1"/>
  <c r="AP217" i="1"/>
  <c r="AQ142" i="1"/>
  <c r="AP353" i="1"/>
  <c r="AP272" i="1"/>
  <c r="AW385" i="1"/>
  <c r="AT195" i="1"/>
  <c r="AP247" i="1"/>
  <c r="AP352" i="1"/>
  <c r="AV149" i="1"/>
  <c r="AW263" i="1"/>
  <c r="AQ263" i="1"/>
  <c r="AQ149" i="1"/>
  <c r="AP154" i="1"/>
  <c r="AS233" i="1"/>
  <c r="AO263" i="1"/>
  <c r="AP273" i="1"/>
  <c r="AW382" i="1"/>
  <c r="AR173" i="1"/>
  <c r="AO173" i="1"/>
  <c r="AT159" i="1"/>
  <c r="AT353" i="1"/>
  <c r="AU385" i="1"/>
  <c r="AO227" i="1"/>
  <c r="AR333" i="1"/>
  <c r="AS351" i="1"/>
  <c r="AP385" i="1"/>
  <c r="AU386" i="1"/>
  <c r="AW333" i="1"/>
  <c r="AT209" i="1"/>
  <c r="AW267" i="1"/>
  <c r="AQ354" i="1"/>
  <c r="AR335" i="1"/>
  <c r="AS272" i="1"/>
  <c r="AS187" i="1"/>
  <c r="AT149" i="1"/>
  <c r="AS353" i="1"/>
  <c r="AW380" i="1"/>
  <c r="AS352" i="1"/>
  <c r="AT154" i="1"/>
  <c r="AO149" i="1"/>
  <c r="AO385" i="1"/>
  <c r="AP354" i="1"/>
  <c r="AP386" i="1"/>
  <c r="AQ303" i="1"/>
  <c r="AP149" i="1"/>
  <c r="AS217" i="1"/>
  <c r="AQ282" i="1"/>
  <c r="AW381" i="1"/>
  <c r="AT263" i="1"/>
  <c r="AQ298" i="1"/>
  <c r="AT355" i="1"/>
  <c r="AT380" i="1"/>
  <c r="AO219" i="1"/>
  <c r="AS282" i="1"/>
  <c r="AR187" i="1"/>
  <c r="AT219" i="1"/>
  <c r="AR303" i="1"/>
  <c r="AO333" i="1"/>
  <c r="AR233" i="1"/>
  <c r="AP142" i="1"/>
  <c r="AV173" i="1"/>
  <c r="AU219" i="1"/>
  <c r="AO267" i="1"/>
  <c r="AR154" i="1"/>
  <c r="AT352" i="1"/>
  <c r="AR354" i="1"/>
  <c r="AP380" i="1"/>
  <c r="AU263" i="1"/>
  <c r="AW357" i="1"/>
  <c r="AO357" i="1"/>
  <c r="AW153" i="1"/>
  <c r="AP187" i="1"/>
  <c r="AU267" i="1"/>
  <c r="AS303" i="1"/>
  <c r="AU154" i="1"/>
  <c r="AV263" i="1"/>
  <c r="AP173" i="1"/>
  <c r="AO217" i="1"/>
  <c r="AS384" i="1"/>
  <c r="AP298" i="1"/>
  <c r="AQ335" i="1"/>
  <c r="AT385" i="1"/>
  <c r="AV247" i="1"/>
  <c r="AQ334" i="1"/>
  <c r="AQ351" i="1"/>
  <c r="AP351" i="1"/>
  <c r="AT384" i="1"/>
  <c r="AO187" i="1"/>
  <c r="AP357" i="1"/>
  <c r="AW247" i="1"/>
  <c r="AS355" i="1"/>
  <c r="AV154" i="1"/>
  <c r="AR142" i="1"/>
  <c r="AU384" i="1"/>
  <c r="AO282" i="1"/>
  <c r="AW386" i="1"/>
  <c r="AQ386" i="1"/>
  <c r="AO334" i="1"/>
  <c r="AP355" i="1"/>
  <c r="AU357" i="1"/>
  <c r="AV334" i="1"/>
  <c r="AQ381" i="1"/>
  <c r="AS333" i="1"/>
  <c r="AU173" i="1"/>
  <c r="AS154" i="1"/>
  <c r="AS386" i="1"/>
  <c r="AQ267" i="1"/>
  <c r="AR219" i="1"/>
  <c r="AU247" i="1"/>
  <c r="AR353" i="1"/>
  <c r="AQ273" i="1"/>
  <c r="AT386" i="1"/>
  <c r="AR385" i="1"/>
  <c r="AQ219" i="1"/>
  <c r="AP303" i="1"/>
  <c r="AO303" i="1"/>
  <c r="AU142" i="1"/>
  <c r="AS173" i="1"/>
  <c r="AP334" i="1"/>
  <c r="AR263" i="1"/>
  <c r="AV381" i="1"/>
  <c r="AS227" i="1"/>
  <c r="AS354" i="1"/>
  <c r="AR282" i="1"/>
  <c r="AQ227" i="1"/>
  <c r="AQ154" i="1"/>
  <c r="AS267" i="1"/>
  <c r="M335" i="1" l="1"/>
  <c r="K333" i="1"/>
  <c r="K272" i="1"/>
  <c r="I272" i="1"/>
  <c r="AG377" i="3"/>
  <c r="AG379" i="3"/>
  <c r="AF587" i="3"/>
  <c r="P116" i="4" s="1"/>
  <c r="L272" i="1"/>
  <c r="DH33" i="6"/>
  <c r="BY41" i="6"/>
  <c r="K197" i="1"/>
  <c r="J123" i="1"/>
  <c r="J315" i="1"/>
  <c r="J156" i="1"/>
  <c r="DK33" i="6"/>
  <c r="CB41" i="6"/>
  <c r="DJ28" i="6"/>
  <c r="CG28" i="6"/>
  <c r="CH28" i="6" s="1"/>
  <c r="DH32" i="6"/>
  <c r="BY40" i="6"/>
  <c r="K336" i="1"/>
  <c r="DK32" i="6"/>
  <c r="CB40" i="6"/>
  <c r="L281" i="1"/>
  <c r="J122" i="1"/>
  <c r="DH36" i="6"/>
  <c r="BY42" i="6"/>
  <c r="DI35" i="6"/>
  <c r="CD35" i="6"/>
  <c r="CF35" i="6" s="1"/>
  <c r="O122" i="1"/>
  <c r="K125" i="1"/>
  <c r="K304" i="1"/>
  <c r="I156" i="1"/>
  <c r="I123" i="1"/>
  <c r="I315" i="1"/>
  <c r="J274" i="1"/>
  <c r="DG36" i="6"/>
  <c r="BX42" i="6"/>
  <c r="K264" i="1"/>
  <c r="M264" i="1"/>
  <c r="P122" i="1"/>
  <c r="J333" i="1"/>
  <c r="J335" i="1"/>
  <c r="I125" i="1"/>
  <c r="I304" i="1"/>
  <c r="O333" i="1"/>
  <c r="DJ10" i="6"/>
  <c r="CG10" i="6"/>
  <c r="CH10" i="6" s="1"/>
  <c r="P332" i="1"/>
  <c r="L328" i="1"/>
  <c r="N336" i="1"/>
  <c r="I229" i="1"/>
  <c r="I326" i="1" s="1"/>
  <c r="Q264" i="1"/>
  <c r="L332" i="1"/>
  <c r="L250" i="1"/>
  <c r="N304" i="1"/>
  <c r="N125" i="1"/>
  <c r="O264" i="1"/>
  <c r="J125" i="1"/>
  <c r="J304" i="1"/>
  <c r="BY39" i="6"/>
  <c r="DH31" i="6"/>
  <c r="M328" i="1"/>
  <c r="J229" i="1"/>
  <c r="J264" i="1"/>
  <c r="CD36" i="6"/>
  <c r="BZ42" i="6"/>
  <c r="DI36" i="6"/>
  <c r="DI7" i="6"/>
  <c r="CD7" i="6"/>
  <c r="CF7" i="6" s="1"/>
  <c r="K229" i="1"/>
  <c r="CG34" i="6"/>
  <c r="CH34" i="6" s="1"/>
  <c r="DJ34" i="6"/>
  <c r="DK31" i="6"/>
  <c r="CB39" i="6"/>
  <c r="CD31" i="6"/>
  <c r="DI31" i="6"/>
  <c r="BZ39" i="6"/>
  <c r="CG32" i="6"/>
  <c r="DJ32" i="6"/>
  <c r="CA40" i="6"/>
  <c r="K220" i="1"/>
  <c r="CA41" i="6"/>
  <c r="DJ33" i="6"/>
  <c r="CG33" i="6"/>
  <c r="Q123" i="1"/>
  <c r="Q315" i="1"/>
  <c r="I122" i="1"/>
  <c r="P315" i="1"/>
  <c r="P123" i="1"/>
  <c r="P156" i="1"/>
  <c r="DJ35" i="6"/>
  <c r="CG35" i="6"/>
  <c r="CH35" i="6" s="1"/>
  <c r="M250" i="1"/>
  <c r="M332" i="1"/>
  <c r="Q332" i="1"/>
  <c r="O123" i="1"/>
  <c r="O315" i="1"/>
  <c r="O156" i="1"/>
  <c r="CB42" i="6"/>
  <c r="DK36" i="6"/>
  <c r="I264" i="1"/>
  <c r="L125" i="1"/>
  <c r="L304" i="1"/>
  <c r="L156" i="1"/>
  <c r="L123" i="1"/>
  <c r="L315" i="1"/>
  <c r="I327" i="1"/>
  <c r="I328" i="1"/>
  <c r="I337" i="1"/>
  <c r="M281" i="1"/>
  <c r="I336" i="1"/>
  <c r="N315" i="1"/>
  <c r="N156" i="1"/>
  <c r="N123" i="1"/>
  <c r="J336" i="1"/>
  <c r="J332" i="1"/>
  <c r="J250" i="1"/>
  <c r="J328" i="1"/>
  <c r="AE527" i="3"/>
  <c r="L229" i="1"/>
  <c r="L327" i="1" s="1"/>
  <c r="P335" i="1"/>
  <c r="CD11" i="6"/>
  <c r="DI11" i="6"/>
  <c r="I151" i="4"/>
  <c r="K198" i="1"/>
  <c r="BX40" i="6"/>
  <c r="DG32" i="6"/>
  <c r="L197" i="1"/>
  <c r="L198" i="1" s="1"/>
  <c r="CD34" i="6"/>
  <c r="CF34" i="6" s="1"/>
  <c r="DI34" i="6"/>
  <c r="M197" i="1"/>
  <c r="K156" i="1"/>
  <c r="K123" i="1"/>
  <c r="K315" i="1"/>
  <c r="G3" i="7"/>
  <c r="G5" i="7" s="1"/>
  <c r="CA6" i="6"/>
  <c r="Q122" i="1"/>
  <c r="N122" i="1"/>
  <c r="CG36" i="6"/>
  <c r="DJ36" i="6"/>
  <c r="CA42" i="6"/>
  <c r="CG31" i="6"/>
  <c r="CA39" i="6"/>
  <c r="DJ31" i="6"/>
  <c r="J337" i="1"/>
  <c r="M219" i="1"/>
  <c r="CD10" i="6"/>
  <c r="CF10" i="6" s="1"/>
  <c r="DI10" i="6"/>
  <c r="J281" i="1"/>
  <c r="N281" i="1"/>
  <c r="CG7" i="6"/>
  <c r="CH7" i="6" s="1"/>
  <c r="DJ7" i="6"/>
  <c r="P333" i="1"/>
  <c r="J151" i="4"/>
  <c r="M122" i="1"/>
  <c r="J219" i="1"/>
  <c r="J197" i="1"/>
  <c r="BZ41" i="6"/>
  <c r="DI33" i="6"/>
  <c r="I197" i="1"/>
  <c r="O332" i="1"/>
  <c r="O335" i="1"/>
  <c r="N334" i="1"/>
  <c r="P264" i="1"/>
  <c r="L166" i="4"/>
  <c r="L71" i="4"/>
  <c r="DJ11" i="6"/>
  <c r="CG11" i="6"/>
  <c r="L274" i="1"/>
  <c r="N335" i="1"/>
  <c r="K281" i="1"/>
  <c r="DJ9" i="6"/>
  <c r="CG9" i="6"/>
  <c r="CH9" i="6" s="1"/>
  <c r="BX39" i="6"/>
  <c r="DG31" i="6"/>
  <c r="M336" i="1"/>
  <c r="N333" i="1"/>
  <c r="BZ6" i="6"/>
  <c r="F3" i="7"/>
  <c r="F5" i="7" s="1"/>
  <c r="M315" i="1"/>
  <c r="M123" i="1"/>
  <c r="M156" i="1"/>
  <c r="K328" i="1"/>
  <c r="CD28" i="6"/>
  <c r="CF28" i="6" s="1"/>
  <c r="DI28" i="6"/>
  <c r="L122" i="1"/>
  <c r="O336" i="1"/>
  <c r="L336" i="1"/>
  <c r="M337" i="1"/>
  <c r="DI32" i="6"/>
  <c r="BZ40" i="6"/>
  <c r="CD32" i="6"/>
  <c r="I250" i="1"/>
  <c r="I332" i="1"/>
  <c r="K250" i="1"/>
  <c r="K332" i="1"/>
  <c r="N264" i="1"/>
  <c r="L334" i="1"/>
  <c r="P336" i="1"/>
  <c r="M304" i="1"/>
  <c r="M125" i="1"/>
  <c r="K122" i="1"/>
  <c r="BX41" i="6"/>
  <c r="DG33" i="6"/>
  <c r="N332" i="1"/>
  <c r="I335" i="1"/>
  <c r="DI9" i="6"/>
  <c r="CD9" i="6"/>
  <c r="CF9" i="6" s="1"/>
  <c r="M229" i="1"/>
  <c r="M327" i="1" s="1"/>
  <c r="L264" i="1"/>
  <c r="Q193" i="1"/>
  <c r="O124" i="4"/>
  <c r="N162" i="1"/>
  <c r="Y488" i="13"/>
  <c r="Y489" i="13"/>
  <c r="AO489" i="13"/>
  <c r="AO488" i="13"/>
  <c r="Q154" i="1"/>
  <c r="T85" i="13"/>
  <c r="X344" i="3"/>
  <c r="X567" i="3"/>
  <c r="L96" i="4" s="1"/>
  <c r="N273" i="1" s="1"/>
  <c r="N272" i="1" s="1"/>
  <c r="T491" i="13" a="1"/>
  <c r="T491" i="13" s="1"/>
  <c r="AL84" i="13"/>
  <c r="AL491" i="13" s="1" a="1"/>
  <c r="AL491" i="13" s="1"/>
  <c r="AE588" i="3"/>
  <c r="AE595" i="3" s="1"/>
  <c r="AF392" i="3"/>
  <c r="AF394" i="3"/>
  <c r="AE362" i="3"/>
  <c r="AE364" i="3" s="1"/>
  <c r="AN580" i="3"/>
  <c r="AN465" i="3"/>
  <c r="AN466" i="3" s="1"/>
  <c r="AN546" i="3" s="1"/>
  <c r="AS335" i="1"/>
  <c r="AT336" i="1"/>
  <c r="AP122" i="1"/>
  <c r="AS273" i="1"/>
  <c r="AV333" i="1"/>
  <c r="AR197" i="1"/>
  <c r="AR122" i="1"/>
  <c r="AQ336" i="1"/>
  <c r="AW154" i="1"/>
  <c r="AQ123" i="1"/>
  <c r="AP336" i="1"/>
  <c r="AQ281" i="1"/>
  <c r="AU315" i="1"/>
  <c r="AP125" i="1"/>
  <c r="AQ333" i="1"/>
  <c r="AU123" i="1"/>
  <c r="AU156" i="1"/>
  <c r="AR250" i="1"/>
  <c r="AU122" i="1"/>
  <c r="AQ304" i="1"/>
  <c r="AO273" i="1"/>
  <c r="AR327" i="1"/>
  <c r="AW193" i="1"/>
  <c r="AQ332" i="1"/>
  <c r="AO327" i="1"/>
  <c r="AQ272" i="1"/>
  <c r="AO337" i="1"/>
  <c r="AW122" i="1"/>
  <c r="AT315" i="1"/>
  <c r="AO125" i="1"/>
  <c r="AU333" i="1"/>
  <c r="AU336" i="1"/>
  <c r="AT272" i="1"/>
  <c r="AS250" i="1"/>
  <c r="AV123" i="1"/>
  <c r="AS229" i="1"/>
  <c r="AO328" i="1"/>
  <c r="AT335" i="1"/>
  <c r="AP123" i="1"/>
  <c r="AP197" i="1"/>
  <c r="AO336" i="1"/>
  <c r="AV315" i="1"/>
  <c r="AO272" i="1"/>
  <c r="AR229" i="1"/>
  <c r="AT281" i="1"/>
  <c r="AS123" i="1"/>
  <c r="AO122" i="1"/>
  <c r="AP304" i="1"/>
  <c r="AQ122" i="1"/>
  <c r="AT157" i="1"/>
  <c r="AT162" i="1"/>
  <c r="AR156" i="1"/>
  <c r="AR334" i="1"/>
  <c r="AS304" i="1"/>
  <c r="AO156" i="1"/>
  <c r="AP281" i="1"/>
  <c r="AO332" i="1"/>
  <c r="AR125" i="1"/>
  <c r="AR336" i="1"/>
  <c r="AS219" i="1"/>
  <c r="AO229" i="1"/>
  <c r="AS197" i="1"/>
  <c r="AW123" i="1"/>
  <c r="AS332" i="1"/>
  <c r="AV332" i="1"/>
  <c r="AT332" i="1"/>
  <c r="AU335" i="1"/>
  <c r="AT333" i="1"/>
  <c r="AS315" i="1"/>
  <c r="AP156" i="1"/>
  <c r="AQ328" i="1"/>
  <c r="AP250" i="1"/>
  <c r="AO123" i="1"/>
  <c r="AU332" i="1"/>
  <c r="AT125" i="1"/>
  <c r="AV156" i="1"/>
  <c r="AR272" i="1"/>
  <c r="AS336" i="1"/>
  <c r="AS156" i="1"/>
  <c r="AP333" i="1"/>
  <c r="AV336" i="1"/>
  <c r="AS122" i="1"/>
  <c r="AR315" i="1"/>
  <c r="AT304" i="1"/>
  <c r="AS328" i="1"/>
  <c r="AS125" i="1"/>
  <c r="AO250" i="1"/>
  <c r="AS281" i="1"/>
  <c r="AV122" i="1"/>
  <c r="AT156" i="1"/>
  <c r="AQ125" i="1"/>
  <c r="AP328" i="1"/>
  <c r="AW332" i="1"/>
  <c r="AO326" i="1"/>
  <c r="AO315" i="1"/>
  <c r="AO197" i="1"/>
  <c r="AQ229" i="1"/>
  <c r="AV335" i="1"/>
  <c r="AR332" i="1"/>
  <c r="AP335" i="1"/>
  <c r="AO304" i="1"/>
  <c r="AQ156" i="1"/>
  <c r="AQ315" i="1"/>
  <c r="AT334" i="1"/>
  <c r="AT122" i="1"/>
  <c r="AS337" i="1"/>
  <c r="AQ250" i="1"/>
  <c r="AW315" i="1"/>
  <c r="AR304" i="1"/>
  <c r="AR123" i="1"/>
  <c r="AP337" i="1"/>
  <c r="AR328" i="1"/>
  <c r="AR281" i="1"/>
  <c r="AQ197" i="1"/>
  <c r="AP315" i="1"/>
  <c r="AT123" i="1"/>
  <c r="AP332" i="1"/>
  <c r="AP219" i="1"/>
  <c r="AP229" i="1"/>
  <c r="AO335" i="1"/>
  <c r="AS327" i="1"/>
  <c r="L387" i="1" l="1"/>
  <c r="AG524" i="3"/>
  <c r="AG387" i="3"/>
  <c r="AG388" i="3"/>
  <c r="AG382" i="3"/>
  <c r="I387" i="1"/>
  <c r="L326" i="1"/>
  <c r="K387" i="1"/>
  <c r="M326" i="1"/>
  <c r="I230" i="1"/>
  <c r="I232" i="1"/>
  <c r="J237" i="1"/>
  <c r="I237" i="1"/>
  <c r="I198" i="1"/>
  <c r="CH32" i="6"/>
  <c r="CG40" i="6"/>
  <c r="CH40" i="6" s="1"/>
  <c r="M220" i="1"/>
  <c r="M279" i="1"/>
  <c r="M277" i="1"/>
  <c r="M251" i="1"/>
  <c r="J234" i="1"/>
  <c r="K238" i="1"/>
  <c r="J235" i="1"/>
  <c r="J309" i="1"/>
  <c r="J230" i="1"/>
  <c r="K237" i="1"/>
  <c r="J232" i="1"/>
  <c r="J198" i="1"/>
  <c r="M232" i="1"/>
  <c r="M230" i="1"/>
  <c r="M198" i="1"/>
  <c r="J327" i="1"/>
  <c r="CF31" i="6"/>
  <c r="CD39" i="6"/>
  <c r="CF39" i="6" s="1"/>
  <c r="I135" i="1" a="1"/>
  <c r="I135" i="1" s="1"/>
  <c r="K135" i="1" a="1"/>
  <c r="K135" i="1" s="1"/>
  <c r="K134" i="1" a="1"/>
  <c r="K134" i="1" s="1"/>
  <c r="I274" i="1"/>
  <c r="L134" i="1" a="1"/>
  <c r="L134" i="1" s="1"/>
  <c r="J220" i="1"/>
  <c r="J326" i="1"/>
  <c r="L135" i="1" a="1"/>
  <c r="L135" i="1" s="1"/>
  <c r="P316" i="1"/>
  <c r="P329" i="1"/>
  <c r="P378" i="1"/>
  <c r="I378" i="1"/>
  <c r="I329" i="1"/>
  <c r="I316" i="1"/>
  <c r="I162" i="1"/>
  <c r="I324" i="1"/>
  <c r="K378" i="1"/>
  <c r="K329" i="1"/>
  <c r="K324" i="1"/>
  <c r="K316" i="1"/>
  <c r="K162" i="1"/>
  <c r="M137" i="1" a="1"/>
  <c r="M137" i="1" s="1"/>
  <c r="M134" i="1" a="1"/>
  <c r="M134" i="1" s="1"/>
  <c r="CH31" i="6"/>
  <c r="CG39" i="6"/>
  <c r="CH39" i="6" s="1"/>
  <c r="J279" i="1"/>
  <c r="J277" i="1"/>
  <c r="J251" i="1"/>
  <c r="L324" i="1"/>
  <c r="L329" i="1"/>
  <c r="L316" i="1"/>
  <c r="L162" i="1"/>
  <c r="L378" i="1"/>
  <c r="P135" i="1" a="1"/>
  <c r="P135" i="1" s="1"/>
  <c r="L232" i="1"/>
  <c r="L230" i="1"/>
  <c r="M237" i="1"/>
  <c r="D22" i="1"/>
  <c r="J137" i="1" a="1"/>
  <c r="J137" i="1" s="1"/>
  <c r="K137" i="1" a="1"/>
  <c r="K137" i="1" s="1"/>
  <c r="L137" i="1" a="1"/>
  <c r="L137" i="1" s="1"/>
  <c r="I134" i="1" a="1"/>
  <c r="I134" i="1" s="1"/>
  <c r="I137" i="1" a="1"/>
  <c r="I137" i="1" s="1"/>
  <c r="O134" i="1" a="1"/>
  <c r="O134" i="1" s="1"/>
  <c r="CG42" i="6"/>
  <c r="CH42" i="6" s="1"/>
  <c r="CH36" i="6"/>
  <c r="N135" i="1" a="1"/>
  <c r="N135" i="1" s="1"/>
  <c r="K309" i="1"/>
  <c r="K235" i="1"/>
  <c r="K234" i="1"/>
  <c r="L238" i="1"/>
  <c r="K326" i="1"/>
  <c r="K327" i="1"/>
  <c r="N137" i="1" a="1"/>
  <c r="N137" i="1" s="1"/>
  <c r="N316" i="1"/>
  <c r="N378" i="1"/>
  <c r="N329" i="1"/>
  <c r="Q135" i="1" a="1"/>
  <c r="Q135" i="1" s="1"/>
  <c r="J316" i="1"/>
  <c r="J378" i="1"/>
  <c r="J162" i="1"/>
  <c r="J329" i="1"/>
  <c r="J324" i="1"/>
  <c r="M135" i="1" a="1"/>
  <c r="M135" i="1" s="1"/>
  <c r="CH33" i="6"/>
  <c r="CG41" i="6"/>
  <c r="CH41" i="6" s="1"/>
  <c r="L279" i="1"/>
  <c r="L277" i="1"/>
  <c r="L251" i="1"/>
  <c r="M274" i="1"/>
  <c r="K277" i="1"/>
  <c r="K279" i="1"/>
  <c r="K251" i="1"/>
  <c r="N134" i="1" a="1"/>
  <c r="N134" i="1" s="1"/>
  <c r="P134" i="1" a="1"/>
  <c r="P134" i="1" s="1"/>
  <c r="J135" i="1" a="1"/>
  <c r="J135" i="1" s="1"/>
  <c r="X348" i="3"/>
  <c r="L41" i="4" s="1"/>
  <c r="H9" i="7" s="1"/>
  <c r="L39" i="4"/>
  <c r="L40" i="4" s="1"/>
  <c r="M324" i="1"/>
  <c r="M162" i="1"/>
  <c r="M316" i="1"/>
  <c r="M378" i="1"/>
  <c r="M329" i="1"/>
  <c r="M309" i="1"/>
  <c r="M235" i="1"/>
  <c r="M234" i="1"/>
  <c r="Q134" i="1" a="1"/>
  <c r="Q134" i="1" s="1"/>
  <c r="O378" i="1"/>
  <c r="O329" i="1"/>
  <c r="O316" i="1"/>
  <c r="J134" i="1" a="1"/>
  <c r="J134" i="1" s="1"/>
  <c r="L237" i="1"/>
  <c r="K230" i="1"/>
  <c r="K232" i="1"/>
  <c r="I279" i="1"/>
  <c r="I277" i="1"/>
  <c r="I251" i="1"/>
  <c r="DI6" i="6"/>
  <c r="CD6" i="6"/>
  <c r="CF6" i="6" s="1"/>
  <c r="CG6" i="6"/>
  <c r="CH6" i="6" s="1"/>
  <c r="DJ6" i="6"/>
  <c r="CD42" i="6"/>
  <c r="CF42" i="6" s="1"/>
  <c r="CF36" i="6"/>
  <c r="I238" i="1"/>
  <c r="I309" i="1"/>
  <c r="J238" i="1"/>
  <c r="I234" i="1"/>
  <c r="I235" i="1"/>
  <c r="CD40" i="6"/>
  <c r="CF40" i="6" s="1"/>
  <c r="CF32" i="6"/>
  <c r="L235" i="1"/>
  <c r="L234" i="1"/>
  <c r="M238" i="1"/>
  <c r="L309" i="1"/>
  <c r="O135" i="1" a="1"/>
  <c r="O135" i="1" s="1"/>
  <c r="X534" i="3"/>
  <c r="L61" i="4" s="1"/>
  <c r="X291" i="11"/>
  <c r="X292" i="11" s="1"/>
  <c r="T86" i="13"/>
  <c r="T495" i="13" a="1"/>
  <c r="T495" i="13" s="1"/>
  <c r="AL85" i="13"/>
  <c r="AL495" i="13" s="1" a="1"/>
  <c r="AL495" i="13" s="1"/>
  <c r="N387" i="1"/>
  <c r="T493" i="13"/>
  <c r="T492" i="13"/>
  <c r="AL492" i="13"/>
  <c r="AL493" i="13"/>
  <c r="Q195" i="1"/>
  <c r="Q336" i="1"/>
  <c r="Q334" i="1"/>
  <c r="Q156" i="1"/>
  <c r="AF397" i="3"/>
  <c r="AF525" i="3"/>
  <c r="AF402" i="3"/>
  <c r="AF403" i="3"/>
  <c r="AF336" i="3"/>
  <c r="AF338" i="3" s="1"/>
  <c r="P33" i="4" s="1"/>
  <c r="AR387" i="1"/>
  <c r="AS378" i="1"/>
  <c r="AP237" i="1"/>
  <c r="AR324" i="1"/>
  <c r="AP279" i="1"/>
  <c r="AU329" i="1"/>
  <c r="AS324" i="1"/>
  <c r="AQ234" i="1"/>
  <c r="AQ327" i="1"/>
  <c r="AQ238" i="1"/>
  <c r="AT134" i="1"/>
  <c r="AR309" i="1"/>
  <c r="AP232" i="1"/>
  <c r="AP324" i="1"/>
  <c r="AR137" i="1"/>
  <c r="AP316" i="1"/>
  <c r="AS162" i="1"/>
  <c r="AR234" i="1"/>
  <c r="AW156" i="1"/>
  <c r="AR329" i="1"/>
  <c r="AT387" i="1"/>
  <c r="AP277" i="1"/>
  <c r="AS234" i="1"/>
  <c r="AQ134" i="1"/>
  <c r="AS277" i="1"/>
  <c r="AP235" i="1"/>
  <c r="AU135" i="1"/>
  <c r="AV316" i="1"/>
  <c r="AS135" i="1"/>
  <c r="AT329" i="1"/>
  <c r="AR378" i="1"/>
  <c r="AQ135" i="1"/>
  <c r="AS238" i="1"/>
  <c r="AO134" i="1"/>
  <c r="AS134" i="1"/>
  <c r="AR238" i="1"/>
  <c r="AQ279" i="1"/>
  <c r="AQ232" i="1"/>
  <c r="AQ378" i="1"/>
  <c r="AP234" i="1"/>
  <c r="AP329" i="1"/>
  <c r="AO135" i="1"/>
  <c r="AS316" i="1"/>
  <c r="AV134" i="1"/>
  <c r="AJ22" i="1"/>
  <c r="AS232" i="1"/>
  <c r="AW134" i="1"/>
  <c r="AQ309" i="1"/>
  <c r="AR162" i="1"/>
  <c r="AW334" i="1"/>
  <c r="AU134" i="1"/>
  <c r="AP309" i="1"/>
  <c r="AU378" i="1"/>
  <c r="AR237" i="1"/>
  <c r="AR235" i="1"/>
  <c r="AO237" i="1"/>
  <c r="AV135" i="1"/>
  <c r="AO387" i="1"/>
  <c r="AO279" i="1"/>
  <c r="AT137" i="1"/>
  <c r="AV378" i="1"/>
  <c r="AO238" i="1"/>
  <c r="AS279" i="1"/>
  <c r="AT135" i="1"/>
  <c r="AT273" i="1"/>
  <c r="AQ237" i="1"/>
  <c r="AW336" i="1"/>
  <c r="AP238" i="1"/>
  <c r="AO378" i="1"/>
  <c r="AR326" i="1"/>
  <c r="AO232" i="1"/>
  <c r="AS309" i="1"/>
  <c r="AQ137" i="1"/>
  <c r="AO309" i="1"/>
  <c r="AO162" i="1"/>
  <c r="AQ235" i="1"/>
  <c r="AW195" i="1"/>
  <c r="AS235" i="1"/>
  <c r="AR135" i="1"/>
  <c r="AQ277" i="1"/>
  <c r="AP378" i="1"/>
  <c r="AS237" i="1"/>
  <c r="AQ324" i="1"/>
  <c r="AQ387" i="1"/>
  <c r="AT378" i="1"/>
  <c r="AU316" i="1"/>
  <c r="AS326" i="1"/>
  <c r="AS137" i="1"/>
  <c r="AP134" i="1"/>
  <c r="AO329" i="1"/>
  <c r="AO277" i="1"/>
  <c r="AP162" i="1"/>
  <c r="AP326" i="1"/>
  <c r="AR277" i="1"/>
  <c r="AV329" i="1"/>
  <c r="AP135" i="1"/>
  <c r="AR232" i="1"/>
  <c r="AO324" i="1"/>
  <c r="AQ329" i="1"/>
  <c r="AQ162" i="1"/>
  <c r="AS329" i="1"/>
  <c r="AP137" i="1"/>
  <c r="AO235" i="1"/>
  <c r="AP327" i="1"/>
  <c r="AR316" i="1"/>
  <c r="AR134" i="1"/>
  <c r="AO316" i="1"/>
  <c r="AT316" i="1"/>
  <c r="AQ316" i="1"/>
  <c r="AQ326" i="1"/>
  <c r="AO137" i="1"/>
  <c r="AR279" i="1"/>
  <c r="AO234" i="1"/>
  <c r="AW135" i="1"/>
  <c r="AH377" i="3" l="1"/>
  <c r="AG587" i="3"/>
  <c r="AH379" i="3"/>
  <c r="L310" i="1"/>
  <c r="K310" i="1"/>
  <c r="J310" i="1"/>
  <c r="L165" i="1"/>
  <c r="L307" i="1"/>
  <c r="M165" i="1"/>
  <c r="M307" i="1"/>
  <c r="J165" i="1"/>
  <c r="J307" i="1"/>
  <c r="M283" i="1"/>
  <c r="I165" i="1"/>
  <c r="I307" i="1"/>
  <c r="M308" i="1"/>
  <c r="K320" i="1"/>
  <c r="L320" i="1"/>
  <c r="I283" i="1"/>
  <c r="K308" i="1"/>
  <c r="J308" i="1"/>
  <c r="X350" i="3"/>
  <c r="X366" i="3"/>
  <c r="X368" i="3" s="1"/>
  <c r="L66" i="4" s="1"/>
  <c r="M310" i="1"/>
  <c r="K283" i="1"/>
  <c r="M320" i="1"/>
  <c r="J283" i="1"/>
  <c r="X349" i="3"/>
  <c r="L161" i="4" s="1"/>
  <c r="O9" i="6"/>
  <c r="BR9" i="6" s="1"/>
  <c r="J320" i="1"/>
  <c r="I310" i="1"/>
  <c r="AF527" i="3"/>
  <c r="P56" i="4" s="1"/>
  <c r="P31" i="4"/>
  <c r="P54" i="4"/>
  <c r="X295" i="11"/>
  <c r="X296" i="11" s="1"/>
  <c r="L283" i="1"/>
  <c r="I320" i="1"/>
  <c r="I308" i="1"/>
  <c r="T87" i="13"/>
  <c r="T503" i="13" s="1" a="1"/>
  <c r="T503" i="13" s="1"/>
  <c r="L308" i="1"/>
  <c r="K165" i="1"/>
  <c r="K307" i="1"/>
  <c r="AL496" i="13"/>
  <c r="AL497" i="13"/>
  <c r="T497" i="13"/>
  <c r="T496" i="13"/>
  <c r="L194" i="4"/>
  <c r="N274" i="1"/>
  <c r="T499" i="13" a="1"/>
  <c r="T499" i="13" s="1"/>
  <c r="AL86" i="13"/>
  <c r="AL499" i="13" s="1" a="1"/>
  <c r="AL499" i="13" s="1"/>
  <c r="T101" i="13"/>
  <c r="X341" i="11"/>
  <c r="X342" i="11" s="1"/>
  <c r="O17" i="6"/>
  <c r="BR17" i="6" s="1"/>
  <c r="X370" i="3"/>
  <c r="L162" i="4" s="1"/>
  <c r="X619" i="3"/>
  <c r="L146" i="4" s="1"/>
  <c r="Y494" i="3"/>
  <c r="X542" i="3"/>
  <c r="L70" i="4" s="1"/>
  <c r="X537" i="3"/>
  <c r="L63" i="4" s="1"/>
  <c r="Q329" i="1"/>
  <c r="Q378" i="1"/>
  <c r="Q316" i="1"/>
  <c r="H11" i="7"/>
  <c r="L180" i="4"/>
  <c r="L42" i="4"/>
  <c r="CB9" i="6"/>
  <c r="DK9" i="6" s="1"/>
  <c r="AF362" i="3"/>
  <c r="AF364" i="3" s="1"/>
  <c r="AG394" i="3"/>
  <c r="AF588" i="3"/>
  <c r="AG392" i="3"/>
  <c r="AG397" i="3" s="1"/>
  <c r="AP310" i="1"/>
  <c r="AS307" i="1"/>
  <c r="AW378" i="1"/>
  <c r="AP307" i="1"/>
  <c r="AO308" i="1"/>
  <c r="AS320" i="1"/>
  <c r="AR308" i="1"/>
  <c r="AW316" i="1"/>
  <c r="AQ308" i="1"/>
  <c r="AS310" i="1"/>
  <c r="AO310" i="1"/>
  <c r="AS308" i="1"/>
  <c r="AQ320" i="1"/>
  <c r="AO320" i="1"/>
  <c r="AO165" i="1"/>
  <c r="AR320" i="1"/>
  <c r="AR165" i="1"/>
  <c r="AW329" i="1"/>
  <c r="AP320" i="1"/>
  <c r="AP308" i="1"/>
  <c r="AP165" i="1"/>
  <c r="AS165" i="1"/>
  <c r="AR307" i="1"/>
  <c r="AQ307" i="1"/>
  <c r="AQ165" i="1"/>
  <c r="AO307" i="1"/>
  <c r="AR310" i="1"/>
  <c r="AQ310" i="1"/>
  <c r="AH388" i="3" l="1"/>
  <c r="AH524" i="3"/>
  <c r="AH387" i="3"/>
  <c r="AL87" i="13"/>
  <c r="AL503" i="13" s="1" a="1"/>
  <c r="AL503" i="13" s="1"/>
  <c r="AH382" i="3"/>
  <c r="L322" i="1"/>
  <c r="L321" i="1"/>
  <c r="AF595" i="3"/>
  <c r="P117" i="4"/>
  <c r="P124" i="4" s="1"/>
  <c r="I167" i="1"/>
  <c r="M167" i="1"/>
  <c r="K322" i="1"/>
  <c r="K321" i="1"/>
  <c r="K167" i="1"/>
  <c r="J167" i="1"/>
  <c r="T88" i="13"/>
  <c r="T507" i="13" s="1" a="1"/>
  <c r="T507" i="13" s="1"/>
  <c r="X299" i="11"/>
  <c r="X300" i="11" s="1"/>
  <c r="J322" i="1"/>
  <c r="I322" i="1"/>
  <c r="I321" i="1"/>
  <c r="J321" i="1"/>
  <c r="L167" i="1"/>
  <c r="M322" i="1"/>
  <c r="M321" i="1"/>
  <c r="O10" i="6"/>
  <c r="BR10" i="6" s="1"/>
  <c r="X371" i="3"/>
  <c r="T505" i="13"/>
  <c r="T504" i="13"/>
  <c r="X622" i="3"/>
  <c r="X545" i="3"/>
  <c r="N249" i="1"/>
  <c r="T500" i="13"/>
  <c r="T501" i="13"/>
  <c r="Y563" i="3"/>
  <c r="Y493" i="3"/>
  <c r="T102" i="13"/>
  <c r="X345" i="11"/>
  <c r="X346" i="11" s="1"/>
  <c r="O18" i="6"/>
  <c r="BR18" i="6" s="1"/>
  <c r="T552" i="13" a="1"/>
  <c r="T552" i="13" s="1"/>
  <c r="T581" i="13" a="1"/>
  <c r="T581" i="13" s="1"/>
  <c r="AL101" i="13"/>
  <c r="N163" i="1"/>
  <c r="CB10" i="6"/>
  <c r="DK10" i="6" s="1"/>
  <c r="L181" i="4"/>
  <c r="AL501" i="13"/>
  <c r="AL500" i="13"/>
  <c r="AL504" i="13"/>
  <c r="AL505" i="13"/>
  <c r="L188" i="4"/>
  <c r="AG588" i="3"/>
  <c r="AG595" i="3" s="1"/>
  <c r="AH394" i="3"/>
  <c r="AH392" i="3"/>
  <c r="AG402" i="3"/>
  <c r="AG525" i="3"/>
  <c r="AG403" i="3"/>
  <c r="AG336" i="3"/>
  <c r="AG338" i="3" s="1"/>
  <c r="AQ167" i="1"/>
  <c r="AS321" i="1"/>
  <c r="AQ322" i="1"/>
  <c r="AR321" i="1"/>
  <c r="AR167" i="1"/>
  <c r="AO167" i="1"/>
  <c r="AO322" i="1"/>
  <c r="AP321" i="1"/>
  <c r="AQ321" i="1"/>
  <c r="AT163" i="1"/>
  <c r="AS322" i="1"/>
  <c r="AP167" i="1"/>
  <c r="AS167" i="1"/>
  <c r="AT249" i="1"/>
  <c r="AP322" i="1"/>
  <c r="AO321" i="1"/>
  <c r="AR322" i="1"/>
  <c r="AI377" i="3" l="1"/>
  <c r="AH587" i="3"/>
  <c r="Q116" i="4" s="1"/>
  <c r="AI379" i="3"/>
  <c r="AL88" i="13"/>
  <c r="AL507" i="13" s="1" a="1"/>
  <c r="AL507" i="13" s="1"/>
  <c r="AL509" i="13" s="1"/>
  <c r="Q30" i="4"/>
  <c r="Q53" i="4"/>
  <c r="L168" i="4"/>
  <c r="L75" i="4"/>
  <c r="L76" i="4" s="1"/>
  <c r="M169" i="1"/>
  <c r="I169" i="1"/>
  <c r="J169" i="1"/>
  <c r="Q33" i="4"/>
  <c r="AG527" i="3"/>
  <c r="L169" i="1"/>
  <c r="K169" i="1"/>
  <c r="N307" i="1"/>
  <c r="N165" i="1"/>
  <c r="N250" i="1"/>
  <c r="T509" i="13"/>
  <c r="T508" i="13"/>
  <c r="N225" i="1"/>
  <c r="L149" i="4"/>
  <c r="T553" i="13"/>
  <c r="T554" i="13"/>
  <c r="T556" i="13" a="1"/>
  <c r="T556" i="13" s="1"/>
  <c r="AL102" i="13"/>
  <c r="AL556" i="13" s="1" a="1"/>
  <c r="AL556" i="13" s="1"/>
  <c r="T582" i="13"/>
  <c r="T583" i="13"/>
  <c r="Y496" i="3"/>
  <c r="U89" i="13"/>
  <c r="U103" i="13"/>
  <c r="Y303" i="11"/>
  <c r="Y304" i="11" s="1"/>
  <c r="AL581" i="13" a="1"/>
  <c r="AL581" i="13" s="1"/>
  <c r="AL552" i="13" a="1"/>
  <c r="AL552" i="13" s="1"/>
  <c r="L189" i="4"/>
  <c r="N298" i="1"/>
  <c r="X548" i="3"/>
  <c r="L78" i="4" s="1"/>
  <c r="L169" i="4"/>
  <c r="AH397" i="3"/>
  <c r="AH588" i="3" s="1"/>
  <c r="AG362" i="3"/>
  <c r="AG364" i="3" s="1"/>
  <c r="AH525" i="3"/>
  <c r="AH527" i="3" s="1"/>
  <c r="AH402" i="3"/>
  <c r="AH403" i="3"/>
  <c r="AH336" i="3"/>
  <c r="AH338" i="3" s="1"/>
  <c r="AT165" i="1"/>
  <c r="AT298" i="1"/>
  <c r="AT225" i="1"/>
  <c r="AT307" i="1"/>
  <c r="AS169" i="1"/>
  <c r="AO169" i="1"/>
  <c r="AT250" i="1"/>
  <c r="AP169" i="1"/>
  <c r="AQ169" i="1"/>
  <c r="AR169" i="1"/>
  <c r="AL508" i="13" l="1"/>
  <c r="AI524" i="3"/>
  <c r="AI387" i="3"/>
  <c r="AI388" i="3"/>
  <c r="AI382" i="3"/>
  <c r="K297" i="1"/>
  <c r="K323" i="1"/>
  <c r="K172" i="1"/>
  <c r="K317" i="1"/>
  <c r="L297" i="1"/>
  <c r="L323" i="1"/>
  <c r="L172" i="1"/>
  <c r="L317" i="1"/>
  <c r="AH595" i="3"/>
  <c r="Q117" i="4"/>
  <c r="Q124" i="4" s="1"/>
  <c r="J317" i="1"/>
  <c r="J172" i="1"/>
  <c r="J323" i="1"/>
  <c r="J297" i="1"/>
  <c r="I172" i="1"/>
  <c r="I317" i="1"/>
  <c r="I323" i="1"/>
  <c r="I297" i="1"/>
  <c r="Q56" i="4"/>
  <c r="M172" i="1"/>
  <c r="M323" i="1"/>
  <c r="M297" i="1"/>
  <c r="M317" i="1"/>
  <c r="Q31" i="4"/>
  <c r="Q54" i="4"/>
  <c r="AI392" i="3"/>
  <c r="AL558" i="13"/>
  <c r="AL557" i="13"/>
  <c r="X648" i="3"/>
  <c r="X649" i="3" s="1"/>
  <c r="X570" i="3"/>
  <c r="L98" i="4" s="1"/>
  <c r="AI394" i="3"/>
  <c r="AI402" i="3" s="1"/>
  <c r="U511" i="13" a="1"/>
  <c r="U511" i="13" s="1"/>
  <c r="N227" i="1"/>
  <c r="AL583" i="13"/>
  <c r="AL582" i="13"/>
  <c r="N279" i="1"/>
  <c r="N277" i="1"/>
  <c r="AL554" i="13"/>
  <c r="AL553" i="13"/>
  <c r="N167" i="1"/>
  <c r="T557" i="13"/>
  <c r="T558" i="13"/>
  <c r="U560" i="13" a="1"/>
  <c r="U560" i="13" s="1"/>
  <c r="AH362" i="3"/>
  <c r="AH364" i="3" s="1"/>
  <c r="AR317" i="1"/>
  <c r="AS297" i="1"/>
  <c r="AQ317" i="1"/>
  <c r="AR297" i="1"/>
  <c r="AT227" i="1"/>
  <c r="AQ172" i="1"/>
  <c r="AQ297" i="1"/>
  <c r="AO317" i="1"/>
  <c r="AP317" i="1"/>
  <c r="AS317" i="1"/>
  <c r="AP172" i="1"/>
  <c r="AO297" i="1"/>
  <c r="AO172" i="1"/>
  <c r="AP297" i="1"/>
  <c r="AQ323" i="1"/>
  <c r="AP323" i="1"/>
  <c r="AS172" i="1"/>
  <c r="AO323" i="1"/>
  <c r="AT167" i="1"/>
  <c r="AT277" i="1"/>
  <c r="AS323" i="1"/>
  <c r="AR172" i="1"/>
  <c r="AT279" i="1"/>
  <c r="AR323" i="1"/>
  <c r="AI587" i="3" l="1"/>
  <c r="AJ377" i="3"/>
  <c r="AJ382" i="3" s="1"/>
  <c r="AK379" i="3" s="1"/>
  <c r="AJ379" i="3"/>
  <c r="I176" i="1"/>
  <c r="I177" i="1"/>
  <c r="K176" i="1"/>
  <c r="K177" i="1"/>
  <c r="M177" i="1"/>
  <c r="M176" i="1"/>
  <c r="J177" i="1"/>
  <c r="J176" i="1"/>
  <c r="L176" i="1"/>
  <c r="L177" i="1"/>
  <c r="AI336" i="3"/>
  <c r="AI338" i="3" s="1"/>
  <c r="AI362" i="3" s="1"/>
  <c r="AI364" i="3" s="1"/>
  <c r="AI403" i="3"/>
  <c r="AI525" i="3"/>
  <c r="N229" i="1"/>
  <c r="N308" i="1"/>
  <c r="L197" i="4"/>
  <c r="L192" i="4"/>
  <c r="L79" i="4"/>
  <c r="N251" i="1"/>
  <c r="U512" i="13"/>
  <c r="U513" i="13"/>
  <c r="X573" i="3"/>
  <c r="L102" i="4" s="1"/>
  <c r="U562" i="13"/>
  <c r="U561" i="13"/>
  <c r="N169" i="1"/>
  <c r="AI397" i="3"/>
  <c r="AK377" i="3"/>
  <c r="AJ587" i="3"/>
  <c r="R116" i="4" s="1"/>
  <c r="AP176" i="1"/>
  <c r="AS176" i="1"/>
  <c r="AR176" i="1"/>
  <c r="AO176" i="1"/>
  <c r="AQ176" i="1"/>
  <c r="AT229" i="1"/>
  <c r="AT308" i="1"/>
  <c r="AT169" i="1"/>
  <c r="AJ387" i="3" l="1"/>
  <c r="AJ524" i="3"/>
  <c r="AJ388" i="3"/>
  <c r="AI527" i="3"/>
  <c r="M299" i="1"/>
  <c r="M178" i="1"/>
  <c r="K299" i="1"/>
  <c r="K178" i="1"/>
  <c r="I178" i="1"/>
  <c r="I299" i="1"/>
  <c r="L299" i="1"/>
  <c r="L178" i="1"/>
  <c r="J299" i="1"/>
  <c r="J178" i="1"/>
  <c r="N172" i="1"/>
  <c r="N323" i="1"/>
  <c r="N317" i="1"/>
  <c r="N297" i="1"/>
  <c r="AI588" i="3"/>
  <c r="AI595" i="3" s="1"/>
  <c r="AJ394" i="3"/>
  <c r="AJ392" i="3"/>
  <c r="L100" i="4"/>
  <c r="X575" i="3"/>
  <c r="X599" i="3"/>
  <c r="L127" i="4" s="1"/>
  <c r="Y569" i="3"/>
  <c r="Y428" i="3" s="1"/>
  <c r="X500" i="3"/>
  <c r="X503" i="3" s="1"/>
  <c r="L153" i="4" s="1"/>
  <c r="X578" i="3"/>
  <c r="L107" i="4" s="1"/>
  <c r="X429" i="3"/>
  <c r="N309" i="1"/>
  <c r="N234" i="1"/>
  <c r="N235" i="1"/>
  <c r="N238" i="1"/>
  <c r="AK524" i="3"/>
  <c r="AK387" i="3"/>
  <c r="AK388" i="3"/>
  <c r="AK382" i="3"/>
  <c r="AT238" i="1"/>
  <c r="AQ299" i="1"/>
  <c r="AR299" i="1"/>
  <c r="AT234" i="1"/>
  <c r="AS299" i="1"/>
  <c r="AT297" i="1"/>
  <c r="AO299" i="1"/>
  <c r="AP299" i="1"/>
  <c r="AT323" i="1"/>
  <c r="AT235" i="1"/>
  <c r="AT309" i="1"/>
  <c r="AT172" i="1"/>
  <c r="AT317" i="1"/>
  <c r="R53" i="4" l="1"/>
  <c r="R30" i="4"/>
  <c r="J300" i="1"/>
  <c r="J301" i="1"/>
  <c r="J124" i="1"/>
  <c r="I124" i="1"/>
  <c r="I300" i="1"/>
  <c r="I301" i="1"/>
  <c r="L301" i="1"/>
  <c r="L300" i="1"/>
  <c r="L124" i="1"/>
  <c r="K301" i="1"/>
  <c r="K300" i="1"/>
  <c r="K124" i="1"/>
  <c r="M301" i="1"/>
  <c r="M124" i="1"/>
  <c r="M300" i="1"/>
  <c r="AJ397" i="3"/>
  <c r="X507" i="3"/>
  <c r="L201" i="4"/>
  <c r="X606" i="3"/>
  <c r="X615" i="3" s="1"/>
  <c r="L134" i="4"/>
  <c r="L142" i="4" s="1"/>
  <c r="N220" i="1" s="1"/>
  <c r="L195" i="4"/>
  <c r="L104" i="4"/>
  <c r="M101" i="4"/>
  <c r="AJ588" i="3"/>
  <c r="AK392" i="3"/>
  <c r="AK394" i="3"/>
  <c r="AJ336" i="3"/>
  <c r="AJ338" i="3" s="1"/>
  <c r="AJ525" i="3"/>
  <c r="AJ403" i="3"/>
  <c r="AJ402" i="3"/>
  <c r="X585" i="3"/>
  <c r="X597" i="3" s="1"/>
  <c r="N310" i="1"/>
  <c r="Y433" i="3"/>
  <c r="Y438" i="3" s="1"/>
  <c r="X430" i="3"/>
  <c r="N176" i="1"/>
  <c r="N177" i="1"/>
  <c r="AL379" i="3"/>
  <c r="AL377" i="3"/>
  <c r="AK587" i="3"/>
  <c r="AS124" i="1"/>
  <c r="AS300" i="1"/>
  <c r="AP124" i="1"/>
  <c r="AO124" i="1"/>
  <c r="AS301" i="1"/>
  <c r="AO300" i="1"/>
  <c r="AO301" i="1"/>
  <c r="AP300" i="1"/>
  <c r="AR301" i="1"/>
  <c r="AR300" i="1"/>
  <c r="AT310" i="1"/>
  <c r="AR124" i="1"/>
  <c r="AQ300" i="1"/>
  <c r="AT176" i="1"/>
  <c r="AP301" i="1"/>
  <c r="AQ124" i="1"/>
  <c r="AQ301" i="1"/>
  <c r="AJ362" i="3" l="1"/>
  <c r="AJ364" i="3" s="1"/>
  <c r="R33" i="4"/>
  <c r="K136" i="1" a="1"/>
  <c r="K136" i="1" s="1"/>
  <c r="M302" i="1"/>
  <c r="AJ595" i="3"/>
  <c r="R117" i="4"/>
  <c r="R124" i="4" s="1"/>
  <c r="I302" i="1"/>
  <c r="I136" i="1" a="1"/>
  <c r="I136" i="1" s="1"/>
  <c r="J136" i="1" a="1"/>
  <c r="J136" i="1" s="1"/>
  <c r="AJ527" i="3"/>
  <c r="R56" i="4" s="1"/>
  <c r="R54" i="4"/>
  <c r="R31" i="4"/>
  <c r="M136" i="1" a="1"/>
  <c r="M136" i="1" s="1"/>
  <c r="L136" i="1" a="1"/>
  <c r="L136" i="1" s="1"/>
  <c r="L302" i="1"/>
  <c r="J302" i="1"/>
  <c r="K302" i="1"/>
  <c r="L154" i="4"/>
  <c r="L202" i="4" s="1"/>
  <c r="AL382" i="3"/>
  <c r="AM379" i="3" s="1"/>
  <c r="N178" i="1"/>
  <c r="L114" i="4"/>
  <c r="L125" i="4" s="1"/>
  <c r="N182" i="1"/>
  <c r="L155" i="4"/>
  <c r="AK402" i="3"/>
  <c r="AK403" i="3"/>
  <c r="AK336" i="3"/>
  <c r="AK338" i="3" s="1"/>
  <c r="AK525" i="3"/>
  <c r="X623" i="3"/>
  <c r="X2" i="3" s="1"/>
  <c r="AK397" i="3"/>
  <c r="Y440" i="3"/>
  <c r="Y340" i="3" s="1"/>
  <c r="Y529" i="3"/>
  <c r="N299" i="1"/>
  <c r="AL524" i="3"/>
  <c r="AL387" i="3"/>
  <c r="AL388" i="3"/>
  <c r="AQ302" i="1"/>
  <c r="AT299" i="1"/>
  <c r="AO302" i="1"/>
  <c r="AT182" i="1"/>
  <c r="AP136" i="1"/>
  <c r="AS136" i="1"/>
  <c r="AR136" i="1"/>
  <c r="AQ136" i="1"/>
  <c r="AS302" i="1"/>
  <c r="AR302" i="1"/>
  <c r="AP302" i="1"/>
  <c r="AO136" i="1"/>
  <c r="AL587" i="3" l="1"/>
  <c r="S116" i="4" s="1"/>
  <c r="S30" i="4"/>
  <c r="S53" i="4"/>
  <c r="AK527" i="3"/>
  <c r="AM377" i="3"/>
  <c r="AK362" i="3"/>
  <c r="AK364" i="3" s="1"/>
  <c r="AM382" i="3"/>
  <c r="AN379" i="3" s="1"/>
  <c r="Y533" i="3"/>
  <c r="Y558" i="3"/>
  <c r="AK588" i="3"/>
  <c r="AK595" i="3" s="1"/>
  <c r="AL394" i="3"/>
  <c r="AL392" i="3"/>
  <c r="N301" i="1"/>
  <c r="N124" i="1"/>
  <c r="N300" i="1"/>
  <c r="Y343" i="3"/>
  <c r="U84" i="13"/>
  <c r="Y287" i="11"/>
  <c r="Y288" i="11" s="1"/>
  <c r="N282" i="1"/>
  <c r="N187" i="1"/>
  <c r="N233" i="1"/>
  <c r="L151" i="4"/>
  <c r="AM387" i="3"/>
  <c r="AM524" i="3"/>
  <c r="AM388" i="3"/>
  <c r="AT300" i="1"/>
  <c r="AT187" i="1"/>
  <c r="AT282" i="1"/>
  <c r="AT233" i="1"/>
  <c r="AT124" i="1"/>
  <c r="AT301" i="1"/>
  <c r="AM587" i="3" l="1"/>
  <c r="AN377" i="3"/>
  <c r="AN382" i="3" s="1"/>
  <c r="AN587" i="3" s="1"/>
  <c r="N328" i="1"/>
  <c r="N327" i="1"/>
  <c r="N326" i="1"/>
  <c r="N337" i="1"/>
  <c r="N302" i="1"/>
  <c r="AL336" i="3"/>
  <c r="AL338" i="3" s="1"/>
  <c r="AL525" i="3"/>
  <c r="AL402" i="3"/>
  <c r="AL403" i="3"/>
  <c r="U85" i="13"/>
  <c r="Y344" i="3"/>
  <c r="AL397" i="3"/>
  <c r="Y567" i="3"/>
  <c r="N283" i="1"/>
  <c r="O281" i="1"/>
  <c r="N197" i="1"/>
  <c r="U491" i="13" a="1"/>
  <c r="U491" i="13" s="1"/>
  <c r="N136" i="1" a="1"/>
  <c r="N136" i="1" s="1"/>
  <c r="AN524" i="3"/>
  <c r="AN387" i="3"/>
  <c r="AN388" i="3"/>
  <c r="AT326" i="1"/>
  <c r="AT136" i="1"/>
  <c r="AT327" i="1"/>
  <c r="AU281" i="1"/>
  <c r="AT328" i="1"/>
  <c r="AT302" i="1"/>
  <c r="AT197" i="1"/>
  <c r="AT337" i="1"/>
  <c r="AL362" i="3" l="1"/>
  <c r="AL364" i="3" s="1"/>
  <c r="S33" i="4"/>
  <c r="AL527" i="3"/>
  <c r="S56" i="4" s="1"/>
  <c r="S31" i="4"/>
  <c r="S54" i="4"/>
  <c r="Y348" i="3"/>
  <c r="U87" i="13"/>
  <c r="Y295" i="11"/>
  <c r="Y296" i="11" s="1"/>
  <c r="Y366" i="3"/>
  <c r="Y368" i="3" s="1"/>
  <c r="Y350" i="3"/>
  <c r="Y349" i="3"/>
  <c r="U495" i="13" a="1"/>
  <c r="U495" i="13" s="1"/>
  <c r="U492" i="13"/>
  <c r="U493" i="13"/>
  <c r="N230" i="1"/>
  <c r="N232" i="1"/>
  <c r="N237" i="1"/>
  <c r="N324" i="1"/>
  <c r="N198" i="1"/>
  <c r="AL588" i="3"/>
  <c r="AM392" i="3"/>
  <c r="AM394" i="3"/>
  <c r="Y534" i="3"/>
  <c r="U86" i="13"/>
  <c r="Y291" i="11"/>
  <c r="Y292" i="11" s="1"/>
  <c r="AT237" i="1"/>
  <c r="AT324" i="1"/>
  <c r="AT232" i="1"/>
  <c r="AL595" i="3" l="1"/>
  <c r="S117" i="4"/>
  <c r="S124" i="4" s="1"/>
  <c r="N320" i="1"/>
  <c r="U499" i="13" a="1"/>
  <c r="U499" i="13" s="1"/>
  <c r="U101" i="13"/>
  <c r="Y341" i="11"/>
  <c r="Y342" i="11" s="1"/>
  <c r="Y371" i="3"/>
  <c r="Y370" i="3"/>
  <c r="Z494" i="3"/>
  <c r="Y619" i="3"/>
  <c r="AM336" i="3"/>
  <c r="AM338" i="3" s="1"/>
  <c r="AM362" i="3" s="1"/>
  <c r="AM364" i="3" s="1"/>
  <c r="AM402" i="3"/>
  <c r="AM403" i="3"/>
  <c r="AM525" i="3"/>
  <c r="AM527" i="3" s="1"/>
  <c r="U496" i="13"/>
  <c r="U497" i="13"/>
  <c r="AM397" i="3"/>
  <c r="Y542" i="3"/>
  <c r="Y537" i="3"/>
  <c r="U88" i="13"/>
  <c r="Y299" i="11"/>
  <c r="Y300" i="11" s="1"/>
  <c r="U503" i="13" a="1"/>
  <c r="U503" i="13" s="1"/>
  <c r="AT320" i="1"/>
  <c r="Y622" i="3" l="1"/>
  <c r="U507" i="13" a="1"/>
  <c r="U507" i="13" s="1"/>
  <c r="U581" i="13" a="1"/>
  <c r="U581" i="13" s="1"/>
  <c r="U552" i="13" a="1"/>
  <c r="U552" i="13" s="1"/>
  <c r="U504" i="13"/>
  <c r="U505" i="13"/>
  <c r="Z563" i="3"/>
  <c r="Z493" i="3"/>
  <c r="M163" i="4" s="1"/>
  <c r="U102" i="13"/>
  <c r="Y345" i="11"/>
  <c r="Y346" i="11" s="1"/>
  <c r="U501" i="13"/>
  <c r="U500" i="13"/>
  <c r="Y545" i="3"/>
  <c r="AN394" i="3"/>
  <c r="AN392" i="3"/>
  <c r="AM588" i="3"/>
  <c r="AM595" i="3" s="1"/>
  <c r="N322" i="1"/>
  <c r="N321" i="1"/>
  <c r="AT322" i="1"/>
  <c r="AT321" i="1"/>
  <c r="M92" i="4" l="1"/>
  <c r="O270" i="1" s="1"/>
  <c r="Z496" i="3"/>
  <c r="V103" i="13"/>
  <c r="V89" i="13"/>
  <c r="Z303" i="11"/>
  <c r="Z304" i="11" s="1"/>
  <c r="U556" i="13" a="1"/>
  <c r="U556" i="13" s="1"/>
  <c r="U582" i="13"/>
  <c r="U583" i="13"/>
  <c r="AN397" i="3"/>
  <c r="AN588" i="3" s="1"/>
  <c r="AN595" i="3" s="1"/>
  <c r="AN336" i="3"/>
  <c r="AN338" i="3" s="1"/>
  <c r="AN362" i="3" s="1"/>
  <c r="AN364" i="3" s="1"/>
  <c r="AN525" i="3"/>
  <c r="AN527" i="3" s="1"/>
  <c r="AN403" i="3"/>
  <c r="AN402" i="3"/>
  <c r="U553" i="13"/>
  <c r="U554" i="13"/>
  <c r="Y548" i="3"/>
  <c r="U508" i="13"/>
  <c r="U509" i="13"/>
  <c r="AU270" i="1"/>
  <c r="U557" i="13" l="1"/>
  <c r="U558" i="13"/>
  <c r="M182" i="4"/>
  <c r="O303" i="1"/>
  <c r="Y648" i="3"/>
  <c r="Y649" i="3" s="1"/>
  <c r="Y570" i="3"/>
  <c r="V511" i="13" a="1"/>
  <c r="V511" i="13" s="1"/>
  <c r="AM89" i="13"/>
  <c r="AM511" i="13" s="1" a="1"/>
  <c r="AM511" i="13" s="1"/>
  <c r="V560" i="13" a="1"/>
  <c r="V560" i="13" s="1"/>
  <c r="AM103" i="13"/>
  <c r="AM560" i="13" s="1" a="1"/>
  <c r="AM560" i="13" s="1"/>
  <c r="AU303" i="1"/>
  <c r="AM562" i="13" l="1"/>
  <c r="AM561" i="13"/>
  <c r="V561" i="13"/>
  <c r="V562" i="13"/>
  <c r="AM512" i="13"/>
  <c r="AM513" i="13"/>
  <c r="Y573" i="3"/>
  <c r="O304" i="1"/>
  <c r="O125" i="1"/>
  <c r="V512" i="13"/>
  <c r="V513" i="13"/>
  <c r="AU304" i="1"/>
  <c r="AU125" i="1"/>
  <c r="O137" i="1" l="1" a="1"/>
  <c r="O137" i="1" s="1"/>
  <c r="Y429" i="3"/>
  <c r="Z569" i="3"/>
  <c r="Z428" i="3" s="1"/>
  <c r="Y575" i="3"/>
  <c r="Y500" i="3"/>
  <c r="Y503" i="3" s="1"/>
  <c r="Y507" i="3" s="1"/>
  <c r="Y599" i="3"/>
  <c r="Y606" i="3" s="1"/>
  <c r="Y615" i="3" s="1"/>
  <c r="Y578" i="3"/>
  <c r="Y585" i="3" s="1"/>
  <c r="Y597" i="3" s="1"/>
  <c r="AU137" i="1"/>
  <c r="Y623" i="3" l="1"/>
  <c r="Y2" i="3" s="1"/>
  <c r="Y430" i="3"/>
  <c r="Z433" i="3"/>
  <c r="Z438" i="3" s="1"/>
  <c r="Z529" i="3" l="1"/>
  <c r="Z440" i="3"/>
  <c r="Z340" i="3" s="1"/>
  <c r="M57" i="4" l="1"/>
  <c r="M34" i="4"/>
  <c r="Z343" i="3"/>
  <c r="M38" i="4" s="1"/>
  <c r="V84" i="13"/>
  <c r="Z287" i="11"/>
  <c r="Z288" i="11" s="1"/>
  <c r="Z558" i="3"/>
  <c r="Z533" i="3"/>
  <c r="M60" i="4" s="1"/>
  <c r="O159" i="1"/>
  <c r="AU159" i="1"/>
  <c r="M71" i="4" l="1"/>
  <c r="M166" i="4"/>
  <c r="O162" i="1"/>
  <c r="Z567" i="3"/>
  <c r="M96" i="4" s="1"/>
  <c r="O273" i="1" s="1"/>
  <c r="O272" i="1" s="1"/>
  <c r="V491" i="13" a="1"/>
  <c r="V491" i="13" s="1"/>
  <c r="AM84" i="13"/>
  <c r="AM491" i="13" s="1" a="1"/>
  <c r="AM491" i="13" s="1"/>
  <c r="V85" i="13"/>
  <c r="Z344" i="3"/>
  <c r="AU162" i="1"/>
  <c r="AU157" i="1"/>
  <c r="AU272" i="1"/>
  <c r="Z348" i="3" l="1"/>
  <c r="M41" i="4" s="1"/>
  <c r="M39" i="4"/>
  <c r="V87" i="13"/>
  <c r="Z295" i="11"/>
  <c r="Z296" i="11" s="1"/>
  <c r="Z350" i="3"/>
  <c r="Z349" i="3"/>
  <c r="M161" i="4" s="1"/>
  <c r="Z366" i="3"/>
  <c r="Z368" i="3" s="1"/>
  <c r="M66" i="4" s="1"/>
  <c r="Z534" i="3"/>
  <c r="M61" i="4" s="1"/>
  <c r="V86" i="13"/>
  <c r="Z291" i="11"/>
  <c r="Z292" i="11" s="1"/>
  <c r="M40" i="4"/>
  <c r="V495" i="13" a="1"/>
  <c r="V495" i="13" s="1"/>
  <c r="AM85" i="13"/>
  <c r="AM495" i="13" s="1" a="1"/>
  <c r="AM495" i="13" s="1"/>
  <c r="O387" i="1"/>
  <c r="AM493" i="13"/>
  <c r="AM492" i="13"/>
  <c r="V492" i="13"/>
  <c r="V493" i="13"/>
  <c r="AU387" i="1"/>
  <c r="AU273" i="1"/>
  <c r="AM496" i="13" l="1"/>
  <c r="AM497" i="13"/>
  <c r="Z542" i="3"/>
  <c r="M70" i="4" s="1"/>
  <c r="Z537" i="3"/>
  <c r="M63" i="4" s="1"/>
  <c r="O274" i="1"/>
  <c r="M194" i="4"/>
  <c r="V499" i="13" a="1"/>
  <c r="V499" i="13" s="1"/>
  <c r="AM86" i="13"/>
  <c r="AM499" i="13" s="1" a="1"/>
  <c r="AM499" i="13" s="1"/>
  <c r="V101" i="13"/>
  <c r="Z341" i="11"/>
  <c r="Z342" i="11" s="1"/>
  <c r="Z371" i="3"/>
  <c r="AA494" i="3"/>
  <c r="Z370" i="3"/>
  <c r="M162" i="4" s="1"/>
  <c r="Z619" i="3"/>
  <c r="M146" i="4" s="1"/>
  <c r="V497" i="13"/>
  <c r="V496" i="13"/>
  <c r="M180" i="4"/>
  <c r="M42" i="4"/>
  <c r="I9" i="7"/>
  <c r="I11" i="7" s="1"/>
  <c r="V88" i="13"/>
  <c r="Z299" i="11"/>
  <c r="Z300" i="11" s="1"/>
  <c r="V503" i="13" a="1"/>
  <c r="V503" i="13" s="1"/>
  <c r="AM87" i="13"/>
  <c r="AM503" i="13" s="1" a="1"/>
  <c r="AM503" i="13" s="1"/>
  <c r="AM505" i="13" l="1"/>
  <c r="AM504" i="13"/>
  <c r="V102" i="13"/>
  <c r="Z345" i="11"/>
  <c r="Z346" i="11" s="1"/>
  <c r="AA493" i="3"/>
  <c r="AA563" i="3"/>
  <c r="M188" i="4"/>
  <c r="AM501" i="13"/>
  <c r="AM500" i="13"/>
  <c r="V507" i="13" a="1"/>
  <c r="V507" i="13" s="1"/>
  <c r="AM88" i="13"/>
  <c r="AM507" i="13" s="1" a="1"/>
  <c r="AM507" i="13" s="1"/>
  <c r="V505" i="13"/>
  <c r="V504" i="13"/>
  <c r="V581" i="13" a="1"/>
  <c r="V581" i="13" s="1"/>
  <c r="V552" i="13" a="1"/>
  <c r="V552" i="13" s="1"/>
  <c r="AM101" i="13"/>
  <c r="O163" i="1"/>
  <c r="Z545" i="3"/>
  <c r="O249" i="1"/>
  <c r="V500" i="13"/>
  <c r="V501" i="13"/>
  <c r="Z622" i="3"/>
  <c r="M181" i="4"/>
  <c r="AU249" i="1"/>
  <c r="AU163" i="1"/>
  <c r="M168" i="4" l="1"/>
  <c r="M75" i="4"/>
  <c r="Z548" i="3"/>
  <c r="M78" i="4" s="1"/>
  <c r="M169" i="4"/>
  <c r="M76" i="4"/>
  <c r="AA496" i="3"/>
  <c r="W89" i="13"/>
  <c r="W103" i="13"/>
  <c r="V508" i="13"/>
  <c r="V509" i="13"/>
  <c r="AM552" i="13" a="1"/>
  <c r="AM552" i="13" s="1"/>
  <c r="AM581" i="13" a="1"/>
  <c r="AM581" i="13" s="1"/>
  <c r="V556" i="13" a="1"/>
  <c r="V556" i="13" s="1"/>
  <c r="AM102" i="13"/>
  <c r="AM556" i="13" s="1" a="1"/>
  <c r="AM556" i="13" s="1"/>
  <c r="O225" i="1"/>
  <c r="M149" i="4"/>
  <c r="V554" i="13"/>
  <c r="V553" i="13"/>
  <c r="O250" i="1"/>
  <c r="V582" i="13"/>
  <c r="V583" i="13"/>
  <c r="AM509" i="13"/>
  <c r="AM508" i="13"/>
  <c r="M189" i="4"/>
  <c r="O298" i="1"/>
  <c r="O307" i="1"/>
  <c r="O165" i="1"/>
  <c r="AU225" i="1"/>
  <c r="AU298" i="1"/>
  <c r="AU165" i="1"/>
  <c r="AU250" i="1"/>
  <c r="AU307" i="1"/>
  <c r="V557" i="13" l="1"/>
  <c r="V558" i="13"/>
  <c r="O167" i="1"/>
  <c r="AM554" i="13"/>
  <c r="AM553" i="13"/>
  <c r="AM583" i="13"/>
  <c r="AM582" i="13"/>
  <c r="O227" i="1"/>
  <c r="W511" i="13" a="1"/>
  <c r="W511" i="13" s="1"/>
  <c r="AM558" i="13"/>
  <c r="AM557" i="13"/>
  <c r="W560" i="13" a="1"/>
  <c r="W560" i="13" s="1"/>
  <c r="O277" i="1"/>
  <c r="O279" i="1"/>
  <c r="Z648" i="3"/>
  <c r="Z649" i="3" s="1"/>
  <c r="Z570" i="3"/>
  <c r="M98" i="4" s="1"/>
  <c r="AU227" i="1"/>
  <c r="AU167" i="1"/>
  <c r="AU277" i="1"/>
  <c r="AU279" i="1"/>
  <c r="O308" i="1" l="1"/>
  <c r="W562" i="13"/>
  <c r="W561" i="13"/>
  <c r="O229" i="1"/>
  <c r="Z573" i="3"/>
  <c r="M102" i="4" s="1"/>
  <c r="O169" i="1"/>
  <c r="W512" i="13"/>
  <c r="W513" i="13"/>
  <c r="M197" i="4"/>
  <c r="M192" i="4"/>
  <c r="M79" i="4"/>
  <c r="O251" i="1"/>
  <c r="AU308" i="1"/>
  <c r="AU169" i="1"/>
  <c r="AU229" i="1"/>
  <c r="M100" i="4" l="1"/>
  <c r="Z429" i="3"/>
  <c r="Z575" i="3"/>
  <c r="Z578" i="3"/>
  <c r="M107" i="4" s="1"/>
  <c r="Z500" i="3"/>
  <c r="Z503" i="3" s="1"/>
  <c r="M153" i="4" s="1"/>
  <c r="AA569" i="3"/>
  <c r="AA428" i="3" s="1"/>
  <c r="Z599" i="3"/>
  <c r="M127" i="4" s="1"/>
  <c r="O317" i="1"/>
  <c r="O323" i="1"/>
  <c r="O172" i="1"/>
  <c r="O297" i="1"/>
  <c r="O235" i="1"/>
  <c r="O234" i="1"/>
  <c r="O309" i="1"/>
  <c r="O238" i="1"/>
  <c r="AU309" i="1"/>
  <c r="AU317" i="1"/>
  <c r="AU238" i="1"/>
  <c r="AU297" i="1"/>
  <c r="AU323" i="1"/>
  <c r="AU234" i="1"/>
  <c r="AU172" i="1"/>
  <c r="AU235" i="1"/>
  <c r="Z507" i="3" l="1"/>
  <c r="M201" i="4"/>
  <c r="O310" i="1"/>
  <c r="O176" i="1"/>
  <c r="O177" i="1"/>
  <c r="M195" i="4"/>
  <c r="M104" i="4"/>
  <c r="N101" i="4"/>
  <c r="Z606" i="3"/>
  <c r="Z615" i="3" s="1"/>
  <c r="M134" i="4"/>
  <c r="M142" i="4" s="1"/>
  <c r="O220" i="1" s="1"/>
  <c r="AA433" i="3"/>
  <c r="AA438" i="3" s="1"/>
  <c r="Z430" i="3"/>
  <c r="Z585" i="3"/>
  <c r="Z597" i="3" s="1"/>
  <c r="AU310" i="1"/>
  <c r="AU176" i="1"/>
  <c r="M154" i="4" l="1"/>
  <c r="M202" i="4" s="1"/>
  <c r="O178" i="1"/>
  <c r="M114" i="4"/>
  <c r="M125" i="4" s="1"/>
  <c r="O182" i="1"/>
  <c r="M155" i="4"/>
  <c r="AA440" i="3"/>
  <c r="AA340" i="3" s="1"/>
  <c r="AA529" i="3"/>
  <c r="Z623" i="3"/>
  <c r="Z2" i="3" s="1"/>
  <c r="O299" i="1"/>
  <c r="AU299" i="1"/>
  <c r="AU182" i="1"/>
  <c r="AA343" i="3" l="1"/>
  <c r="W84" i="13"/>
  <c r="O187" i="1"/>
  <c r="O282" i="1"/>
  <c r="O233" i="1"/>
  <c r="O301" i="1"/>
  <c r="O300" i="1"/>
  <c r="O124" i="1"/>
  <c r="AA558" i="3"/>
  <c r="AA533" i="3"/>
  <c r="M151" i="4"/>
  <c r="AU187" i="1"/>
  <c r="AU124" i="1"/>
  <c r="AU282" i="1"/>
  <c r="AU301" i="1"/>
  <c r="AU300" i="1"/>
  <c r="AU233" i="1"/>
  <c r="AA567" i="3" l="1"/>
  <c r="O136" i="1" a="1"/>
  <c r="O136" i="1" s="1"/>
  <c r="O328" i="1"/>
  <c r="O327" i="1"/>
  <c r="O326" i="1"/>
  <c r="O337" i="1"/>
  <c r="O197" i="1"/>
  <c r="O302" i="1"/>
  <c r="P281" i="1"/>
  <c r="O283" i="1"/>
  <c r="W491" i="13" a="1"/>
  <c r="W491" i="13" s="1"/>
  <c r="W85" i="13"/>
  <c r="AA344" i="3"/>
  <c r="AU328" i="1"/>
  <c r="AV281" i="1"/>
  <c r="AU327" i="1"/>
  <c r="AU302" i="1"/>
  <c r="AU326" i="1"/>
  <c r="AU337" i="1"/>
  <c r="AU197" i="1"/>
  <c r="AU136" i="1"/>
  <c r="AA348" i="3" l="1"/>
  <c r="W492" i="13"/>
  <c r="W493" i="13"/>
  <c r="O232" i="1"/>
  <c r="O230" i="1"/>
  <c r="O324" i="1"/>
  <c r="O237" i="1"/>
  <c r="O198" i="1"/>
  <c r="AA534" i="3"/>
  <c r="W86" i="13"/>
  <c r="W87" i="13"/>
  <c r="AA350" i="3"/>
  <c r="AA366" i="3"/>
  <c r="AA368" i="3" s="1"/>
  <c r="AA349" i="3"/>
  <c r="W495" i="13" a="1"/>
  <c r="W495" i="13" s="1"/>
  <c r="AU232" i="1"/>
  <c r="AU324" i="1"/>
  <c r="AU237" i="1"/>
  <c r="W503" i="13" l="1" a="1"/>
  <c r="W503" i="13" s="1"/>
  <c r="W499" i="13" a="1"/>
  <c r="W499" i="13" s="1"/>
  <c r="AA542" i="3"/>
  <c r="AA537" i="3"/>
  <c r="O320" i="1"/>
  <c r="W497" i="13"/>
  <c r="W496" i="13"/>
  <c r="W88" i="13"/>
  <c r="W101" i="13"/>
  <c r="AB494" i="3"/>
  <c r="AA371" i="3"/>
  <c r="AA370" i="3"/>
  <c r="AA619" i="3"/>
  <c r="AU320" i="1"/>
  <c r="W500" i="13" l="1"/>
  <c r="W501" i="13"/>
  <c r="AB493" i="3"/>
  <c r="N163" i="4" s="1"/>
  <c r="AB563" i="3"/>
  <c r="O322" i="1"/>
  <c r="O321" i="1"/>
  <c r="W581" i="13" a="1"/>
  <c r="W581" i="13" s="1"/>
  <c r="W552" i="13" a="1"/>
  <c r="W552" i="13" s="1"/>
  <c r="W505" i="13"/>
  <c r="W504" i="13"/>
  <c r="W507" i="13" a="1"/>
  <c r="W507" i="13" s="1"/>
  <c r="AA545" i="3"/>
  <c r="AA622" i="3"/>
  <c r="W102" i="13"/>
  <c r="AU321" i="1"/>
  <c r="AU322" i="1"/>
  <c r="N92" i="4" l="1"/>
  <c r="P270" i="1" s="1"/>
  <c r="W509" i="13"/>
  <c r="W508" i="13"/>
  <c r="AB496" i="3"/>
  <c r="X103" i="13"/>
  <c r="X89" i="13"/>
  <c r="W583" i="13"/>
  <c r="W582" i="13"/>
  <c r="W556" i="13" a="1"/>
  <c r="W556" i="13" s="1"/>
  <c r="W553" i="13"/>
  <c r="W554" i="13"/>
  <c r="AA548" i="3"/>
  <c r="AV270" i="1"/>
  <c r="W557" i="13" l="1"/>
  <c r="W558" i="13"/>
  <c r="N182" i="4"/>
  <c r="P303" i="1"/>
  <c r="X511" i="13" a="1"/>
  <c r="X511" i="13" s="1"/>
  <c r="AN89" i="13"/>
  <c r="AN511" i="13" s="1" a="1"/>
  <c r="AN511" i="13" s="1"/>
  <c r="X560" i="13" a="1"/>
  <c r="X560" i="13" s="1"/>
  <c r="AN103" i="13"/>
  <c r="AN560" i="13" s="1" a="1"/>
  <c r="AN560" i="13" s="1"/>
  <c r="AA648" i="3"/>
  <c r="AA649" i="3" s="1"/>
  <c r="AA570" i="3"/>
  <c r="AV303" i="1"/>
  <c r="AA573" i="3" l="1"/>
  <c r="AN562" i="13"/>
  <c r="AN561" i="13"/>
  <c r="X512" i="13"/>
  <c r="X513" i="13"/>
  <c r="X561" i="13"/>
  <c r="X562" i="13"/>
  <c r="P304" i="1"/>
  <c r="P125" i="1"/>
  <c r="AN513" i="13"/>
  <c r="AN512" i="13"/>
  <c r="AV125" i="1"/>
  <c r="AV304" i="1"/>
  <c r="P137" i="1" l="1" a="1"/>
  <c r="P137" i="1" s="1"/>
  <c r="AA599" i="3"/>
  <c r="AA606" i="3" s="1"/>
  <c r="AA615" i="3" s="1"/>
  <c r="AA429" i="3"/>
  <c r="AA575" i="3"/>
  <c r="AA578" i="3"/>
  <c r="AA585" i="3" s="1"/>
  <c r="AA597" i="3" s="1"/>
  <c r="AB569" i="3"/>
  <c r="AB428" i="3" s="1"/>
  <c r="AA500" i="3"/>
  <c r="AA503" i="3" s="1"/>
  <c r="AA507" i="3" s="1"/>
  <c r="AV137" i="1"/>
  <c r="AA623" i="3" l="1"/>
  <c r="AA2" i="3" s="1"/>
  <c r="AB433" i="3"/>
  <c r="AB438" i="3" s="1"/>
  <c r="AA430" i="3"/>
  <c r="AB440" i="3" l="1"/>
  <c r="AB340" i="3" s="1"/>
  <c r="AB529" i="3"/>
  <c r="N34" i="4" l="1"/>
  <c r="N57" i="4"/>
  <c r="P159" i="1" s="1"/>
  <c r="AB533" i="3"/>
  <c r="N60" i="4" s="1"/>
  <c r="AB558" i="3"/>
  <c r="X84" i="13"/>
  <c r="AB343" i="3"/>
  <c r="N38" i="4" s="1"/>
  <c r="AV159" i="1"/>
  <c r="N71" i="4" l="1"/>
  <c r="N166" i="4"/>
  <c r="P162" i="1"/>
  <c r="X85" i="13"/>
  <c r="AB344" i="3"/>
  <c r="X491" i="13" a="1"/>
  <c r="X491" i="13" s="1"/>
  <c r="AN84" i="13"/>
  <c r="AN491" i="13" s="1" a="1"/>
  <c r="AN491" i="13" s="1"/>
  <c r="AB567" i="3"/>
  <c r="N96" i="4" s="1"/>
  <c r="P273" i="1" s="1"/>
  <c r="P272" i="1" s="1"/>
  <c r="AV157" i="1"/>
  <c r="AV162" i="1"/>
  <c r="AV272" i="1"/>
  <c r="AB348" i="3" l="1"/>
  <c r="N41" i="4" s="1"/>
  <c r="N39" i="4"/>
  <c r="N40" i="4" s="1"/>
  <c r="AN492" i="13"/>
  <c r="AN493" i="13"/>
  <c r="P387" i="1"/>
  <c r="X495" i="13" a="1"/>
  <c r="X495" i="13" s="1"/>
  <c r="AN85" i="13"/>
  <c r="AN495" i="13" s="1" a="1"/>
  <c r="AN495" i="13" s="1"/>
  <c r="X492" i="13"/>
  <c r="X493" i="13"/>
  <c r="X87" i="13"/>
  <c r="AB366" i="3"/>
  <c r="AB368" i="3" s="1"/>
  <c r="N66" i="4" s="1"/>
  <c r="AB350" i="3"/>
  <c r="AB349" i="3"/>
  <c r="N161" i="4" s="1"/>
  <c r="AB534" i="3"/>
  <c r="N61" i="4" s="1"/>
  <c r="X86" i="13"/>
  <c r="AV273" i="1"/>
  <c r="AV387" i="1"/>
  <c r="J9" i="7" l="1"/>
  <c r="J11" i="7" s="1"/>
  <c r="N180" i="4"/>
  <c r="N42" i="4"/>
  <c r="X101" i="13"/>
  <c r="AB370" i="3"/>
  <c r="N162" i="4" s="1"/>
  <c r="AC494" i="3"/>
  <c r="AB371" i="3"/>
  <c r="AB619" i="3"/>
  <c r="N146" i="4" s="1"/>
  <c r="AB542" i="3"/>
  <c r="N70" i="4" s="1"/>
  <c r="AB537" i="3"/>
  <c r="N63" i="4" s="1"/>
  <c r="X496" i="13"/>
  <c r="X497" i="13"/>
  <c r="X88" i="13"/>
  <c r="X503" i="13" a="1"/>
  <c r="X503" i="13" s="1"/>
  <c r="AN87" i="13"/>
  <c r="AN503" i="13" s="1" a="1"/>
  <c r="AN503" i="13" s="1"/>
  <c r="N194" i="4"/>
  <c r="P274" i="1"/>
  <c r="AN496" i="13"/>
  <c r="AN497" i="13"/>
  <c r="X499" i="13" a="1"/>
  <c r="X499" i="13" s="1"/>
  <c r="AN86" i="13"/>
  <c r="AN499" i="13" s="1" a="1"/>
  <c r="AN499" i="13" s="1"/>
  <c r="N188" i="4" l="1"/>
  <c r="AB545" i="3"/>
  <c r="P249" i="1"/>
  <c r="AB622" i="3"/>
  <c r="X507" i="13" a="1"/>
  <c r="X507" i="13" s="1"/>
  <c r="AN88" i="13"/>
  <c r="AN507" i="13" s="1" a="1"/>
  <c r="AN507" i="13" s="1"/>
  <c r="P163" i="1"/>
  <c r="AC563" i="3"/>
  <c r="AC493" i="3"/>
  <c r="X552" i="13" a="1"/>
  <c r="X552" i="13" s="1"/>
  <c r="X581" i="13" a="1"/>
  <c r="X581" i="13" s="1"/>
  <c r="AN101" i="13"/>
  <c r="AN504" i="13"/>
  <c r="AN505" i="13"/>
  <c r="AN501" i="13"/>
  <c r="AN500" i="13"/>
  <c r="X504" i="13"/>
  <c r="X505" i="13"/>
  <c r="X501" i="13"/>
  <c r="X500" i="13"/>
  <c r="X102" i="13"/>
  <c r="N181" i="4"/>
  <c r="AV163" i="1"/>
  <c r="AV249" i="1"/>
  <c r="N168" i="4" l="1"/>
  <c r="N169" i="4" s="1"/>
  <c r="N75" i="4"/>
  <c r="N76" i="4" s="1"/>
  <c r="AC496" i="3"/>
  <c r="Y103" i="13"/>
  <c r="Y89" i="13"/>
  <c r="AN509" i="13"/>
  <c r="AN508" i="13"/>
  <c r="X508" i="13"/>
  <c r="X509" i="13"/>
  <c r="P250" i="1"/>
  <c r="P307" i="1"/>
  <c r="P165" i="1"/>
  <c r="X556" i="13" a="1"/>
  <c r="X556" i="13" s="1"/>
  <c r="AN102" i="13"/>
  <c r="AN556" i="13" s="1" a="1"/>
  <c r="AN556" i="13" s="1"/>
  <c r="P225" i="1"/>
  <c r="N149" i="4"/>
  <c r="AB548" i="3"/>
  <c r="N78" i="4" s="1"/>
  <c r="N189" i="4"/>
  <c r="P298" i="1"/>
  <c r="AN581" i="13" a="1"/>
  <c r="AN581" i="13" s="1"/>
  <c r="AN552" i="13" a="1"/>
  <c r="AN552" i="13" s="1"/>
  <c r="X553" i="13"/>
  <c r="X554" i="13"/>
  <c r="X583" i="13"/>
  <c r="X582" i="13"/>
  <c r="AV307" i="1"/>
  <c r="AV165" i="1"/>
  <c r="AV250" i="1"/>
  <c r="AV225" i="1"/>
  <c r="AV298" i="1"/>
  <c r="AN583" i="13" l="1"/>
  <c r="AN582" i="13"/>
  <c r="X557" i="13"/>
  <c r="X558" i="13"/>
  <c r="AN558" i="13"/>
  <c r="AN557" i="13"/>
  <c r="P167" i="1"/>
  <c r="P279" i="1"/>
  <c r="P277" i="1"/>
  <c r="Y511" i="13" a="1"/>
  <c r="Y511" i="13" s="1"/>
  <c r="AN554" i="13"/>
  <c r="AN553" i="13"/>
  <c r="AB648" i="3"/>
  <c r="AB649" i="3" s="1"/>
  <c r="AB570" i="3"/>
  <c r="N98" i="4" s="1"/>
  <c r="Y560" i="13" a="1"/>
  <c r="Y560" i="13" s="1"/>
  <c r="P227" i="1"/>
  <c r="AV167" i="1"/>
  <c r="AV279" i="1"/>
  <c r="AV227" i="1"/>
  <c r="AV277" i="1"/>
  <c r="AB573" i="3" l="1"/>
  <c r="N102" i="4" s="1"/>
  <c r="Y512" i="13"/>
  <c r="Y513" i="13"/>
  <c r="P308" i="1"/>
  <c r="P169" i="1"/>
  <c r="P229" i="1"/>
  <c r="N197" i="4"/>
  <c r="N192" i="4"/>
  <c r="P251" i="1"/>
  <c r="N79" i="4"/>
  <c r="Y562" i="13"/>
  <c r="Y561" i="13"/>
  <c r="AV308" i="1"/>
  <c r="AV229" i="1"/>
  <c r="AV169" i="1"/>
  <c r="P297" i="1" l="1"/>
  <c r="P317" i="1"/>
  <c r="P172" i="1"/>
  <c r="P323" i="1"/>
  <c r="N100" i="4"/>
  <c r="P309" i="1"/>
  <c r="P234" i="1"/>
  <c r="P235" i="1"/>
  <c r="P238" i="1"/>
  <c r="AB429" i="3"/>
  <c r="AB575" i="3"/>
  <c r="AB500" i="3"/>
  <c r="AB503" i="3" s="1"/>
  <c r="N153" i="4" s="1"/>
  <c r="AB599" i="3"/>
  <c r="N127" i="4" s="1"/>
  <c r="AC569" i="3"/>
  <c r="AC428" i="3" s="1"/>
  <c r="AB578" i="3"/>
  <c r="N107" i="4" s="1"/>
  <c r="AV235" i="1"/>
  <c r="AV317" i="1"/>
  <c r="AV323" i="1"/>
  <c r="AV238" i="1"/>
  <c r="AV309" i="1"/>
  <c r="AV172" i="1"/>
  <c r="AV234" i="1"/>
  <c r="AV297" i="1"/>
  <c r="AB606" i="3" l="1"/>
  <c r="AB615" i="3" s="1"/>
  <c r="N134" i="4"/>
  <c r="N142" i="4" s="1"/>
  <c r="P220" i="1" s="1"/>
  <c r="AB507" i="3"/>
  <c r="N201" i="4"/>
  <c r="AC433" i="3"/>
  <c r="AC438" i="3" s="1"/>
  <c r="AB430" i="3"/>
  <c r="O101" i="4"/>
  <c r="N195" i="4"/>
  <c r="N104" i="4"/>
  <c r="P310" i="1"/>
  <c r="P176" i="1"/>
  <c r="P177" i="1"/>
  <c r="AB585" i="3"/>
  <c r="AB597" i="3" s="1"/>
  <c r="AV176" i="1"/>
  <c r="AV310" i="1"/>
  <c r="N154" i="4" l="1"/>
  <c r="N202" i="4" s="1"/>
  <c r="P178" i="1"/>
  <c r="N114" i="4"/>
  <c r="N125" i="4" s="1"/>
  <c r="P182" i="1"/>
  <c r="N155" i="4"/>
  <c r="P299" i="1"/>
  <c r="AC529" i="3"/>
  <c r="AC440" i="3"/>
  <c r="AC340" i="3" s="1"/>
  <c r="AB623" i="3"/>
  <c r="AB2" i="3" s="1"/>
  <c r="AV182" i="1"/>
  <c r="AV299" i="1"/>
  <c r="Y84" i="13" l="1"/>
  <c r="AC343" i="3"/>
  <c r="AC533" i="3"/>
  <c r="AC558" i="3"/>
  <c r="P301" i="1"/>
  <c r="P300" i="1"/>
  <c r="P124" i="1"/>
  <c r="P282" i="1"/>
  <c r="P187" i="1"/>
  <c r="P233" i="1"/>
  <c r="N151" i="4"/>
  <c r="AV282" i="1"/>
  <c r="AV301" i="1"/>
  <c r="AV233" i="1"/>
  <c r="AV187" i="1"/>
  <c r="AV300" i="1"/>
  <c r="AV124" i="1"/>
  <c r="P136" i="1" l="1" a="1"/>
  <c r="P136" i="1" s="1"/>
  <c r="AC567" i="3"/>
  <c r="P328" i="1"/>
  <c r="P327" i="1"/>
  <c r="P326" i="1"/>
  <c r="P337" i="1"/>
  <c r="P302" i="1"/>
  <c r="Y85" i="13"/>
  <c r="AC344" i="3"/>
  <c r="P197" i="1"/>
  <c r="P283" i="1"/>
  <c r="Q281" i="1"/>
  <c r="Y491" i="13" a="1"/>
  <c r="Y491" i="13" s="1"/>
  <c r="AV328" i="1"/>
  <c r="AW281" i="1"/>
  <c r="AV136" i="1"/>
  <c r="AV302" i="1"/>
  <c r="AV326" i="1"/>
  <c r="AV337" i="1"/>
  <c r="AV197" i="1"/>
  <c r="AV327" i="1"/>
  <c r="AC348" i="3" l="1"/>
  <c r="P232" i="1"/>
  <c r="P230" i="1"/>
  <c r="P237" i="1"/>
  <c r="P324" i="1"/>
  <c r="P198" i="1"/>
  <c r="Y87" i="13"/>
  <c r="AC350" i="3"/>
  <c r="AC366" i="3"/>
  <c r="AC368" i="3" s="1"/>
  <c r="AC349" i="3"/>
  <c r="AC534" i="3"/>
  <c r="Y86" i="13"/>
  <c r="Y495" i="13" a="1"/>
  <c r="Y495" i="13" s="1"/>
  <c r="Y492" i="13"/>
  <c r="Y493" i="13"/>
  <c r="AV237" i="1"/>
  <c r="AV232" i="1"/>
  <c r="AV324" i="1"/>
  <c r="Y88" i="13" l="1"/>
  <c r="Y499" i="13" a="1"/>
  <c r="Y499" i="13" s="1"/>
  <c r="AC542" i="3"/>
  <c r="AC537" i="3"/>
  <c r="Y101" i="13"/>
  <c r="AC370" i="3"/>
  <c r="AD494" i="3"/>
  <c r="AC371" i="3"/>
  <c r="AC619" i="3"/>
  <c r="Y503" i="13" a="1"/>
  <c r="Y503" i="13" s="1"/>
  <c r="P320" i="1"/>
  <c r="Y497" i="13"/>
  <c r="Y496" i="13"/>
  <c r="AV320" i="1"/>
  <c r="Y505" i="13" l="1"/>
  <c r="Y504" i="13"/>
  <c r="AC622" i="3"/>
  <c r="AD493" i="3"/>
  <c r="O163" i="4" s="1"/>
  <c r="AD563" i="3"/>
  <c r="Y581" i="13" a="1"/>
  <c r="Y581" i="13" s="1"/>
  <c r="Y552" i="13" a="1"/>
  <c r="Y552" i="13" s="1"/>
  <c r="Y500" i="13"/>
  <c r="Y501" i="13"/>
  <c r="P322" i="1"/>
  <c r="P321" i="1"/>
  <c r="Y102" i="13"/>
  <c r="AC545" i="3"/>
  <c r="Y507" i="13" a="1"/>
  <c r="Y507" i="13" s="1"/>
  <c r="AV322" i="1"/>
  <c r="AV321" i="1"/>
  <c r="O92" i="4" l="1"/>
  <c r="Q270" i="1" s="1"/>
  <c r="Y553" i="13"/>
  <c r="Y554" i="13"/>
  <c r="Y556" i="13" a="1"/>
  <c r="Y556" i="13" s="1"/>
  <c r="Y508" i="13"/>
  <c r="Y509" i="13"/>
  <c r="AD496" i="3"/>
  <c r="Z89" i="13"/>
  <c r="Z103" i="13"/>
  <c r="AC548" i="3"/>
  <c r="Y582" i="13"/>
  <c r="Y583" i="13"/>
  <c r="AW270" i="1"/>
  <c r="AC648" i="3" l="1"/>
  <c r="AC649" i="3" s="1"/>
  <c r="AC570" i="3"/>
  <c r="Z511" i="13" a="1"/>
  <c r="Z511" i="13" s="1"/>
  <c r="AO89" i="13"/>
  <c r="AO511" i="13" s="1" a="1"/>
  <c r="AO511" i="13" s="1"/>
  <c r="O182" i="4"/>
  <c r="Q303" i="1"/>
  <c r="Y557" i="13"/>
  <c r="Y558" i="13"/>
  <c r="Z560" i="13" a="1"/>
  <c r="Z560" i="13" s="1"/>
  <c r="AO103" i="13"/>
  <c r="AO560" i="13" s="1" a="1"/>
  <c r="AO560" i="13" s="1"/>
  <c r="AW303" i="1"/>
  <c r="AO561" i="13" l="1"/>
  <c r="AO562" i="13"/>
  <c r="Z561" i="13"/>
  <c r="Z562" i="13"/>
  <c r="Q125" i="1"/>
  <c r="Q304" i="1"/>
  <c r="AO513" i="13"/>
  <c r="AO512" i="13"/>
  <c r="AC573" i="3"/>
  <c r="Z512" i="13"/>
  <c r="Z513" i="13"/>
  <c r="AW304" i="1"/>
  <c r="AW125" i="1"/>
  <c r="AC578" i="3" l="1"/>
  <c r="AC585" i="3" s="1"/>
  <c r="AC597" i="3" s="1"/>
  <c r="AD569" i="3"/>
  <c r="AD428" i="3" s="1"/>
  <c r="AC429" i="3"/>
  <c r="AC500" i="3"/>
  <c r="AC503" i="3" s="1"/>
  <c r="AC507" i="3" s="1"/>
  <c r="AC599" i="3"/>
  <c r="AC606" i="3" s="1"/>
  <c r="AC615" i="3" s="1"/>
  <c r="AC623" i="3" s="1"/>
  <c r="AC2" i="3" s="1"/>
  <c r="AC575" i="3"/>
  <c r="Q137" i="1" a="1"/>
  <c r="Q137" i="1" s="1"/>
  <c r="AW137" i="1"/>
  <c r="AD433" i="3" l="1"/>
  <c r="AD438" i="3" s="1"/>
  <c r="AC430" i="3"/>
  <c r="AD440" i="3" l="1"/>
  <c r="AD340" i="3" s="1"/>
  <c r="AD529" i="3"/>
  <c r="O57" i="4" l="1"/>
  <c r="Q159" i="1" s="1"/>
  <c r="O34" i="4"/>
  <c r="AD558" i="3"/>
  <c r="AD533" i="3"/>
  <c r="O60" i="4" s="1"/>
  <c r="Z84" i="13"/>
  <c r="AD343" i="3"/>
  <c r="O38" i="4" s="1"/>
  <c r="AW159" i="1"/>
  <c r="O71" i="4" l="1"/>
  <c r="O166" i="4"/>
  <c r="Z85" i="13"/>
  <c r="AD344" i="3"/>
  <c r="Z491" i="13" a="1"/>
  <c r="Z491" i="13" s="1"/>
  <c r="AO84" i="13"/>
  <c r="AO491" i="13" s="1" a="1"/>
  <c r="AO491" i="13" s="1"/>
  <c r="Q162" i="1"/>
  <c r="AD567" i="3"/>
  <c r="O96" i="4" s="1"/>
  <c r="Q273" i="1" s="1"/>
  <c r="Q272" i="1" s="1"/>
  <c r="AW272" i="1"/>
  <c r="AW162" i="1"/>
  <c r="AW157" i="1"/>
  <c r="AD348" i="3" l="1"/>
  <c r="O41" i="4" s="1"/>
  <c r="O39" i="4"/>
  <c r="Z493" i="13"/>
  <c r="Z492" i="13"/>
  <c r="Z87" i="13"/>
  <c r="AD349" i="3"/>
  <c r="O161" i="4" s="1"/>
  <c r="AD366" i="3"/>
  <c r="AD368" i="3" s="1"/>
  <c r="O66" i="4" s="1"/>
  <c r="AD350" i="3"/>
  <c r="AO493" i="13"/>
  <c r="AO492" i="13"/>
  <c r="AD534" i="3"/>
  <c r="O61" i="4" s="1"/>
  <c r="Z86" i="13"/>
  <c r="O40" i="4"/>
  <c r="Q387" i="1"/>
  <c r="Z495" i="13" a="1"/>
  <c r="Z495" i="13" s="1"/>
  <c r="AO85" i="13"/>
  <c r="AO495" i="13" s="1" a="1"/>
  <c r="AO495" i="13" s="1"/>
  <c r="AW273" i="1"/>
  <c r="AW387" i="1"/>
  <c r="O194" i="4" l="1"/>
  <c r="Q274" i="1"/>
  <c r="AD542" i="3"/>
  <c r="O70" i="4" s="1"/>
  <c r="AD537" i="3"/>
  <c r="O63" i="4" s="1"/>
  <c r="Z499" i="13" a="1"/>
  <c r="Z499" i="13" s="1"/>
  <c r="AO86" i="13"/>
  <c r="AO499" i="13" s="1" a="1"/>
  <c r="AO499" i="13" s="1"/>
  <c r="K9" i="7"/>
  <c r="K11" i="7" s="1"/>
  <c r="O42" i="4"/>
  <c r="O180" i="4"/>
  <c r="Z88" i="13"/>
  <c r="Z101" i="13"/>
  <c r="AD370" i="3"/>
  <c r="O162" i="4" s="1"/>
  <c r="AE494" i="3"/>
  <c r="AD371" i="3"/>
  <c r="AD619" i="3"/>
  <c r="O146" i="4" s="1"/>
  <c r="Z503" i="13" a="1"/>
  <c r="Z503" i="13" s="1"/>
  <c r="AO87" i="13"/>
  <c r="AO503" i="13" s="1" a="1"/>
  <c r="AO503" i="13" s="1"/>
  <c r="Z496" i="13"/>
  <c r="Z497" i="13"/>
  <c r="AO496" i="13"/>
  <c r="AO497" i="13"/>
  <c r="Z581" i="13" l="1" a="1"/>
  <c r="Z581" i="13" s="1"/>
  <c r="Z552" i="13" a="1"/>
  <c r="Z552" i="13" s="1"/>
  <c r="AO101" i="13"/>
  <c r="Z102" i="13"/>
  <c r="AO501" i="13"/>
  <c r="AO500" i="13"/>
  <c r="AO505" i="13"/>
  <c r="AO504" i="13"/>
  <c r="O181" i="4"/>
  <c r="Z504" i="13"/>
  <c r="Z505" i="13"/>
  <c r="Z500" i="13"/>
  <c r="Z501" i="13"/>
  <c r="AE563" i="3"/>
  <c r="AE493" i="3"/>
  <c r="Z507" i="13" a="1"/>
  <c r="Z507" i="13" s="1"/>
  <c r="AO88" i="13"/>
  <c r="AO507" i="13" s="1" a="1"/>
  <c r="AO507" i="13" s="1"/>
  <c r="O188" i="4"/>
  <c r="Q163" i="1"/>
  <c r="AD622" i="3"/>
  <c r="AD545" i="3"/>
  <c r="Q249" i="1"/>
  <c r="AW249" i="1"/>
  <c r="AW163" i="1"/>
  <c r="O168" i="4" l="1"/>
  <c r="O75" i="4"/>
  <c r="AE496" i="3"/>
  <c r="AD548" i="3"/>
  <c r="O78" i="4" s="1"/>
  <c r="O169" i="4"/>
  <c r="Q225" i="1"/>
  <c r="O149" i="4"/>
  <c r="Q298" i="1"/>
  <c r="O189" i="4"/>
  <c r="AO509" i="13"/>
  <c r="AO508" i="13"/>
  <c r="Z556" i="13" a="1"/>
  <c r="Z556" i="13" s="1"/>
  <c r="AO102" i="13"/>
  <c r="AO556" i="13" s="1" a="1"/>
  <c r="AO556" i="13" s="1"/>
  <c r="Q250" i="1"/>
  <c r="Z509" i="13"/>
  <c r="Z508" i="13"/>
  <c r="AO581" i="13" a="1"/>
  <c r="AO581" i="13" s="1"/>
  <c r="AO552" i="13" a="1"/>
  <c r="AO552" i="13" s="1"/>
  <c r="Q307" i="1"/>
  <c r="Q165" i="1"/>
  <c r="Z553" i="13"/>
  <c r="Z554" i="13"/>
  <c r="Z582" i="13"/>
  <c r="Z583" i="13"/>
  <c r="AW225" i="1"/>
  <c r="AW307" i="1"/>
  <c r="AW250" i="1"/>
  <c r="AW165" i="1"/>
  <c r="AW298" i="1"/>
  <c r="O76" i="4" l="1"/>
  <c r="AO582" i="13"/>
  <c r="AO583" i="13"/>
  <c r="AO558" i="13"/>
  <c r="AO557" i="13"/>
  <c r="Q227" i="1"/>
  <c r="Q277" i="1"/>
  <c r="Q279" i="1"/>
  <c r="Q167" i="1"/>
  <c r="Z557" i="13"/>
  <c r="Z558" i="13"/>
  <c r="AO554" i="13"/>
  <c r="AO553" i="13"/>
  <c r="AD648" i="3"/>
  <c r="AD649" i="3" s="1"/>
  <c r="AD570" i="3"/>
  <c r="O98" i="4" s="1"/>
  <c r="AW279" i="1"/>
  <c r="AW227" i="1"/>
  <c r="AW277" i="1"/>
  <c r="AW167" i="1"/>
  <c r="AD573" i="3" l="1"/>
  <c r="O102" i="4" s="1"/>
  <c r="Q308" i="1"/>
  <c r="Q251" i="1"/>
  <c r="O197" i="4"/>
  <c r="O79" i="4"/>
  <c r="O192" i="4"/>
  <c r="Q169" i="1"/>
  <c r="Q229" i="1"/>
  <c r="AW229" i="1"/>
  <c r="AW308" i="1"/>
  <c r="AW169" i="1"/>
  <c r="Q297" i="1" l="1"/>
  <c r="Q323" i="1"/>
  <c r="Q317" i="1"/>
  <c r="Q172" i="1"/>
  <c r="Q309" i="1"/>
  <c r="Q235" i="1"/>
  <c r="Q234" i="1"/>
  <c r="Q238" i="1"/>
  <c r="O100" i="4"/>
  <c r="P101" i="4"/>
  <c r="AD578" i="3"/>
  <c r="O107" i="4" s="1"/>
  <c r="AD500" i="3"/>
  <c r="AD503" i="3" s="1"/>
  <c r="O153" i="4" s="1"/>
  <c r="AD575" i="3"/>
  <c r="AD429" i="3"/>
  <c r="AD599" i="3"/>
  <c r="O127" i="4" s="1"/>
  <c r="AE569" i="3"/>
  <c r="AE428" i="3" s="1"/>
  <c r="AW297" i="1"/>
  <c r="AW234" i="1"/>
  <c r="AW172" i="1"/>
  <c r="AW235" i="1"/>
  <c r="AW323" i="1"/>
  <c r="AW238" i="1"/>
  <c r="AW317" i="1"/>
  <c r="AW309" i="1"/>
  <c r="AD430" i="3" l="1"/>
  <c r="AE433" i="3"/>
  <c r="AE438" i="3" s="1"/>
  <c r="O104" i="4"/>
  <c r="O195" i="4"/>
  <c r="AD585" i="3"/>
  <c r="AD597" i="3" s="1"/>
  <c r="Q310" i="1"/>
  <c r="AD606" i="3"/>
  <c r="AD615" i="3" s="1"/>
  <c r="AD623" i="3" s="1"/>
  <c r="AD2" i="3" s="1"/>
  <c r="O134" i="4"/>
  <c r="O142" i="4" s="1"/>
  <c r="Q220" i="1" s="1"/>
  <c r="AD507" i="3"/>
  <c r="O201" i="4"/>
  <c r="Q176" i="1"/>
  <c r="Q177" i="1"/>
  <c r="AW176" i="1"/>
  <c r="AW310" i="1"/>
  <c r="O154" i="4" l="1"/>
  <c r="O202" i="4" s="1"/>
  <c r="Q178" i="1"/>
  <c r="Q299" i="1"/>
  <c r="Q182" i="1"/>
  <c r="O114" i="4"/>
  <c r="O125" i="4" s="1"/>
  <c r="O155" i="4"/>
  <c r="AE440" i="3"/>
  <c r="AE340" i="3" s="1"/>
  <c r="AE343" i="3" s="1"/>
  <c r="AE529" i="3"/>
  <c r="AW182" i="1"/>
  <c r="AW299" i="1"/>
  <c r="AE558" i="3" l="1"/>
  <c r="AE533" i="3"/>
  <c r="Q282" i="1"/>
  <c r="Q187" i="1"/>
  <c r="Q233" i="1"/>
  <c r="AE344" i="3"/>
  <c r="O151" i="4"/>
  <c r="Q301" i="1"/>
  <c r="Q124" i="1"/>
  <c r="Q300" i="1"/>
  <c r="AW187" i="1"/>
  <c r="AW282" i="1"/>
  <c r="AW124" i="1"/>
  <c r="AW300" i="1"/>
  <c r="AW301" i="1"/>
  <c r="AW233" i="1"/>
  <c r="AE534" i="3" l="1"/>
  <c r="AE567" i="3"/>
  <c r="AE348" i="3"/>
  <c r="Q302" i="1"/>
  <c r="Q136" i="1" a="1"/>
  <c r="Q136" i="1" s="1"/>
  <c r="AE366" i="3"/>
  <c r="AE368" i="3" s="1"/>
  <c r="AE349" i="3"/>
  <c r="AE350" i="3"/>
  <c r="Q327" i="1"/>
  <c r="Q326" i="1"/>
  <c r="Q328" i="1"/>
  <c r="Q337" i="1"/>
  <c r="Q283" i="1"/>
  <c r="Q197" i="1"/>
  <c r="AE537" i="3"/>
  <c r="AW328" i="1"/>
  <c r="AW302" i="1"/>
  <c r="AW136" i="1"/>
  <c r="AW327" i="1"/>
  <c r="AW337" i="1"/>
  <c r="AW326" i="1"/>
  <c r="AW197" i="1"/>
  <c r="AE542" i="3" l="1"/>
  <c r="Q232" i="1"/>
  <c r="Q230" i="1"/>
  <c r="Q237" i="1"/>
  <c r="Q324" i="1"/>
  <c r="Q198" i="1"/>
  <c r="AE370" i="3"/>
  <c r="AF494" i="3"/>
  <c r="AE371" i="3"/>
  <c r="AE619" i="3"/>
  <c r="AW237" i="1"/>
  <c r="AW324" i="1"/>
  <c r="AW232" i="1"/>
  <c r="AE545" i="3" l="1"/>
  <c r="Q320" i="1"/>
  <c r="AE622" i="3"/>
  <c r="AF493" i="3"/>
  <c r="AF563" i="3"/>
  <c r="P92" i="4" s="1"/>
  <c r="AW320" i="1"/>
  <c r="AF496" i="3" l="1"/>
  <c r="P163" i="4"/>
  <c r="P182" i="4" s="1"/>
  <c r="AE548" i="3"/>
  <c r="Q321" i="1"/>
  <c r="Q322" i="1"/>
  <c r="AW321" i="1"/>
  <c r="AW322" i="1"/>
  <c r="AE648" i="3" l="1"/>
  <c r="AE649" i="3" s="1"/>
  <c r="AE570" i="3"/>
  <c r="AE573" i="3" l="1"/>
  <c r="AE575" i="3" l="1"/>
  <c r="AE599" i="3"/>
  <c r="AE606" i="3" s="1"/>
  <c r="AE615" i="3" s="1"/>
  <c r="AE429" i="3"/>
  <c r="AE578" i="3"/>
  <c r="AE585" i="3" s="1"/>
  <c r="AE597" i="3" s="1"/>
  <c r="AF569" i="3"/>
  <c r="AF428" i="3" s="1"/>
  <c r="AE500" i="3"/>
  <c r="AE503" i="3" s="1"/>
  <c r="AE507" i="3" s="1"/>
  <c r="AF433" i="3" l="1"/>
  <c r="AF438" i="3" s="1"/>
  <c r="AE430" i="3"/>
  <c r="AE623" i="3"/>
  <c r="AE2" i="3" s="1"/>
  <c r="AF529" i="3" l="1"/>
  <c r="AF440" i="3"/>
  <c r="AF340" i="3" s="1"/>
  <c r="AF343" i="3" s="1"/>
  <c r="P38" i="4" l="1"/>
  <c r="AF344" i="3"/>
  <c r="AF348" i="3"/>
  <c r="P57" i="4"/>
  <c r="P34" i="4"/>
  <c r="AF558" i="3"/>
  <c r="AF533" i="3"/>
  <c r="P41" i="4" l="1"/>
  <c r="L9" i="7" s="1"/>
  <c r="L11" i="7" s="1"/>
  <c r="AF350" i="3"/>
  <c r="AF366" i="3"/>
  <c r="AF368" i="3" s="1"/>
  <c r="AF349" i="3"/>
  <c r="P161" i="4" s="1"/>
  <c r="P181" i="4" s="1"/>
  <c r="AF534" i="3"/>
  <c r="P39" i="4"/>
  <c r="P40" i="4" s="1"/>
  <c r="P60" i="4"/>
  <c r="AF537" i="3"/>
  <c r="P63" i="4" s="1"/>
  <c r="P188" i="4" s="1"/>
  <c r="AF567" i="3"/>
  <c r="P166" i="4"/>
  <c r="P71" i="4"/>
  <c r="P96" i="4" l="1"/>
  <c r="P194" i="4" s="1"/>
  <c r="AF542" i="3"/>
  <c r="P61" i="4"/>
  <c r="P66" i="4"/>
  <c r="AG494" i="3"/>
  <c r="AF371" i="3"/>
  <c r="AF619" i="3"/>
  <c r="AF370" i="3"/>
  <c r="P162" i="4" s="1"/>
  <c r="P189" i="4" s="1"/>
  <c r="P180" i="4"/>
  <c r="P42" i="4"/>
  <c r="P146" i="4" l="1"/>
  <c r="P149" i="4" s="1"/>
  <c r="AF622" i="3"/>
  <c r="AG493" i="3"/>
  <c r="AG563" i="3"/>
  <c r="AF545" i="3"/>
  <c r="P70" i="4"/>
  <c r="AF548" i="3" l="1"/>
  <c r="P168" i="4"/>
  <c r="P169" i="4" s="1"/>
  <c r="P75" i="4"/>
  <c r="P76" i="4" s="1"/>
  <c r="AG496" i="3"/>
  <c r="P78" i="4" l="1"/>
  <c r="AF648" i="3"/>
  <c r="AF649" i="3" s="1"/>
  <c r="AF570" i="3"/>
  <c r="AF573" i="3" l="1"/>
  <c r="P98" i="4"/>
  <c r="P100" i="4" s="1"/>
  <c r="P192" i="4"/>
  <c r="P197" i="4"/>
  <c r="P79" i="4"/>
  <c r="AF575" i="3" l="1"/>
  <c r="P102" i="4"/>
  <c r="AF599" i="3"/>
  <c r="AG569" i="3"/>
  <c r="AG428" i="3" s="1"/>
  <c r="AF429" i="3"/>
  <c r="AF500" i="3"/>
  <c r="AF503" i="3" s="1"/>
  <c r="AF578" i="3"/>
  <c r="AF507" i="3" l="1"/>
  <c r="P154" i="4" s="1"/>
  <c r="P202" i="4" s="1"/>
  <c r="P153" i="4"/>
  <c r="P201" i="4" s="1"/>
  <c r="AG433" i="3"/>
  <c r="AG438" i="3" s="1"/>
  <c r="AF430" i="3"/>
  <c r="AF606" i="3"/>
  <c r="AF615" i="3" s="1"/>
  <c r="P127" i="4"/>
  <c r="P134" i="4" s="1"/>
  <c r="P142" i="4" s="1"/>
  <c r="AF585" i="3"/>
  <c r="AF597" i="3" s="1"/>
  <c r="P107" i="4"/>
  <c r="P195" i="4"/>
  <c r="Q101" i="4"/>
  <c r="P104" i="4"/>
  <c r="P114" i="4" l="1"/>
  <c r="P125" i="4" s="1"/>
  <c r="P155" i="4"/>
  <c r="AG440" i="3"/>
  <c r="AG340" i="3" s="1"/>
  <c r="AG343" i="3" s="1"/>
  <c r="AG529" i="3"/>
  <c r="P151" i="4"/>
  <c r="AF623" i="3"/>
  <c r="AF2" i="3" s="1"/>
  <c r="AG558" i="3" l="1"/>
  <c r="AG533" i="3"/>
  <c r="AG344" i="3"/>
  <c r="AG348" i="3"/>
  <c r="AG534" i="3" l="1"/>
  <c r="AG537" i="3"/>
  <c r="AG567" i="3"/>
  <c r="AG349" i="3"/>
  <c r="AG350" i="3"/>
  <c r="AG366" i="3"/>
  <c r="AG368" i="3" s="1"/>
  <c r="AG371" i="3" l="1"/>
  <c r="AG370" i="3"/>
  <c r="AH494" i="3"/>
  <c r="AG619" i="3"/>
  <c r="AG542" i="3"/>
  <c r="AG622" i="3" l="1"/>
  <c r="AG545" i="3"/>
  <c r="AH493" i="3"/>
  <c r="AH563" i="3"/>
  <c r="Q92" i="4" s="1"/>
  <c r="AH496" i="3" l="1"/>
  <c r="Q163" i="4"/>
  <c r="Q182" i="4" s="1"/>
  <c r="AG548" i="3"/>
  <c r="AG648" i="3" l="1"/>
  <c r="AG649" i="3" s="1"/>
  <c r="AG570" i="3"/>
  <c r="AG573" i="3" l="1"/>
  <c r="AG500" i="3" l="1"/>
  <c r="AG503" i="3" s="1"/>
  <c r="AG507" i="3" s="1"/>
  <c r="AG429" i="3"/>
  <c r="AG599" i="3"/>
  <c r="AG606" i="3" s="1"/>
  <c r="AG615" i="3" s="1"/>
  <c r="AH569" i="3"/>
  <c r="AH428" i="3" s="1"/>
  <c r="AG575" i="3"/>
  <c r="AG578" i="3"/>
  <c r="AG585" i="3" s="1"/>
  <c r="AG597" i="3" s="1"/>
  <c r="AG623" i="3" l="1"/>
  <c r="AG2" i="3" s="1"/>
  <c r="AG430" i="3"/>
  <c r="AH433" i="3"/>
  <c r="AH438" i="3" s="1"/>
  <c r="AH440" i="3" l="1"/>
  <c r="AH340" i="3" s="1"/>
  <c r="AH343" i="3" s="1"/>
  <c r="AH529" i="3"/>
  <c r="AH558" i="3" l="1"/>
  <c r="AH533" i="3"/>
  <c r="Q57" i="4"/>
  <c r="Q34" i="4"/>
  <c r="AH344" i="3"/>
  <c r="AH348" i="3"/>
  <c r="Q38" i="4"/>
  <c r="AH349" i="3" l="1"/>
  <c r="Q161" i="4" s="1"/>
  <c r="Q181" i="4" s="1"/>
  <c r="AH366" i="3"/>
  <c r="AH368" i="3" s="1"/>
  <c r="AH350" i="3"/>
  <c r="Q41" i="4"/>
  <c r="M9" i="7" s="1"/>
  <c r="M11" i="7" s="1"/>
  <c r="AH534" i="3"/>
  <c r="Q39" i="4"/>
  <c r="Q40" i="4" s="1"/>
  <c r="AH537" i="3"/>
  <c r="Q63" i="4" s="1"/>
  <c r="Q188" i="4" s="1"/>
  <c r="Q60" i="4"/>
  <c r="AH567" i="3"/>
  <c r="Q166" i="4"/>
  <c r="Q71" i="4"/>
  <c r="AH542" i="3" l="1"/>
  <c r="Q61" i="4"/>
  <c r="Q96" i="4"/>
  <c r="Q194" i="4" s="1"/>
  <c r="Q42" i="4"/>
  <c r="Q180" i="4"/>
  <c r="AI494" i="3"/>
  <c r="AH370" i="3"/>
  <c r="Q162" i="4" s="1"/>
  <c r="Q189" i="4" s="1"/>
  <c r="AH371" i="3"/>
  <c r="Q66" i="4"/>
  <c r="AH619" i="3"/>
  <c r="Q146" i="4" l="1"/>
  <c r="Q149" i="4" s="1"/>
  <c r="AH622" i="3"/>
  <c r="AI563" i="3"/>
  <c r="AI493" i="3"/>
  <c r="AH545" i="3"/>
  <c r="Q70" i="4"/>
  <c r="AH548" i="3" l="1"/>
  <c r="Q75" i="4"/>
  <c r="Q76" i="4" s="1"/>
  <c r="Q168" i="4"/>
  <c r="Q169" i="4" s="1"/>
  <c r="AI496" i="3"/>
  <c r="AH648" i="3" l="1"/>
  <c r="AH649" i="3" s="1"/>
  <c r="Q78" i="4"/>
  <c r="AH570" i="3"/>
  <c r="AH573" i="3" l="1"/>
  <c r="Q98" i="4"/>
  <c r="Q100" i="4" s="1"/>
  <c r="Q79" i="4"/>
  <c r="Q197" i="4"/>
  <c r="Q192" i="4"/>
  <c r="AH500" i="3" l="1"/>
  <c r="AH503" i="3" s="1"/>
  <c r="Q102" i="4"/>
  <c r="AH575" i="3"/>
  <c r="AH578" i="3"/>
  <c r="AH599" i="3"/>
  <c r="AI569" i="3"/>
  <c r="AI428" i="3" s="1"/>
  <c r="AH429" i="3"/>
  <c r="AH606" i="3" l="1"/>
  <c r="AH615" i="3" s="1"/>
  <c r="Q127" i="4"/>
  <c r="Q134" i="4" s="1"/>
  <c r="Q142" i="4" s="1"/>
  <c r="AH585" i="3"/>
  <c r="AH597" i="3" s="1"/>
  <c r="Q107" i="4"/>
  <c r="AH430" i="3"/>
  <c r="AI433" i="3"/>
  <c r="AI438" i="3" s="1"/>
  <c r="Q195" i="4"/>
  <c r="R101" i="4"/>
  <c r="Q104" i="4"/>
  <c r="AH507" i="3"/>
  <c r="Q154" i="4" s="1"/>
  <c r="Q202" i="4" s="1"/>
  <c r="Q153" i="4"/>
  <c r="Q201" i="4" s="1"/>
  <c r="AI440" i="3" l="1"/>
  <c r="AI340" i="3" s="1"/>
  <c r="AI343" i="3" s="1"/>
  <c r="AI529" i="3"/>
  <c r="Q114" i="4"/>
  <c r="Q125" i="4" s="1"/>
  <c r="Q151" i="4" s="1"/>
  <c r="Q155" i="4"/>
  <c r="AH623" i="3"/>
  <c r="AH2" i="3" s="1"/>
  <c r="AI558" i="3" l="1"/>
  <c r="AI533" i="3"/>
  <c r="AI344" i="3"/>
  <c r="AI348" i="3" s="1"/>
  <c r="AI349" i="3" l="1"/>
  <c r="AI366" i="3"/>
  <c r="AI368" i="3" s="1"/>
  <c r="AI350" i="3"/>
  <c r="AI567" i="3"/>
  <c r="AI534" i="3"/>
  <c r="AI537" i="3" s="1"/>
  <c r="AJ494" i="3" l="1"/>
  <c r="AI371" i="3"/>
  <c r="AI370" i="3"/>
  <c r="AI619" i="3"/>
  <c r="AI542" i="3"/>
  <c r="AI545" i="3" l="1"/>
  <c r="AI622" i="3"/>
  <c r="AJ493" i="3"/>
  <c r="AJ563" i="3"/>
  <c r="R92" i="4" s="1"/>
  <c r="AJ496" i="3" l="1"/>
  <c r="R163" i="4"/>
  <c r="R182" i="4" s="1"/>
  <c r="AI548" i="3"/>
  <c r="AI648" i="3" l="1"/>
  <c r="AI649" i="3" s="1"/>
  <c r="AI570" i="3"/>
  <c r="AI573" i="3" l="1"/>
  <c r="AJ569" i="3" l="1"/>
  <c r="AJ428" i="3" s="1"/>
  <c r="AI599" i="3"/>
  <c r="AI606" i="3" s="1"/>
  <c r="AI615" i="3" s="1"/>
  <c r="AI575" i="3"/>
  <c r="AI500" i="3"/>
  <c r="AI503" i="3" s="1"/>
  <c r="AI507" i="3" s="1"/>
  <c r="AI578" i="3"/>
  <c r="AI585" i="3" s="1"/>
  <c r="AI597" i="3" s="1"/>
  <c r="AI429" i="3"/>
  <c r="AI430" i="3" l="1"/>
  <c r="AJ433" i="3"/>
  <c r="AJ438" i="3" s="1"/>
  <c r="AI623" i="3"/>
  <c r="AI2" i="3" s="1"/>
  <c r="AJ529" i="3" l="1"/>
  <c r="AJ440" i="3"/>
  <c r="AJ340" i="3" s="1"/>
  <c r="AJ343" i="3" s="1"/>
  <c r="AJ344" i="3" l="1"/>
  <c r="R38" i="4"/>
  <c r="AJ558" i="3"/>
  <c r="AJ533" i="3"/>
  <c r="R34" i="4"/>
  <c r="R57" i="4"/>
  <c r="R60" i="4" l="1"/>
  <c r="AJ567" i="3"/>
  <c r="R166" i="4"/>
  <c r="R71" i="4"/>
  <c r="AJ534" i="3"/>
  <c r="R39" i="4"/>
  <c r="R40" i="4" s="1"/>
  <c r="AJ348" i="3"/>
  <c r="AJ349" i="3" l="1"/>
  <c r="R161" i="4" s="1"/>
  <c r="R181" i="4" s="1"/>
  <c r="AJ350" i="3"/>
  <c r="AJ366" i="3"/>
  <c r="AJ368" i="3" s="1"/>
  <c r="R41" i="4"/>
  <c r="N9" i="7" s="1"/>
  <c r="N11" i="7" s="1"/>
  <c r="AJ542" i="3"/>
  <c r="R61" i="4"/>
  <c r="R96" i="4"/>
  <c r="R194" i="4" s="1"/>
  <c r="AJ537" i="3"/>
  <c r="R63" i="4" s="1"/>
  <c r="R188" i="4" s="1"/>
  <c r="R180" i="4" l="1"/>
  <c r="R42" i="4"/>
  <c r="AJ371" i="3"/>
  <c r="AJ370" i="3"/>
  <c r="R162" i="4" s="1"/>
  <c r="R189" i="4" s="1"/>
  <c r="AK494" i="3"/>
  <c r="R66" i="4"/>
  <c r="AJ619" i="3"/>
  <c r="AJ545" i="3"/>
  <c r="R70" i="4"/>
  <c r="AJ548" i="3" l="1"/>
  <c r="R75" i="4"/>
  <c r="R76" i="4" s="1"/>
  <c r="R168" i="4"/>
  <c r="R169" i="4" s="1"/>
  <c r="R146" i="4"/>
  <c r="R149" i="4" s="1"/>
  <c r="AJ622" i="3"/>
  <c r="AK493" i="3"/>
  <c r="AK563" i="3"/>
  <c r="AK496" i="3" l="1"/>
  <c r="AJ648" i="3"/>
  <c r="AJ649" i="3" s="1"/>
  <c r="R78" i="4"/>
  <c r="AJ570" i="3"/>
  <c r="AJ573" i="3" l="1"/>
  <c r="R98" i="4"/>
  <c r="R100" i="4" s="1"/>
  <c r="R197" i="4"/>
  <c r="R192" i="4"/>
  <c r="R79" i="4"/>
  <c r="R102" i="4" l="1"/>
  <c r="AJ599" i="3"/>
  <c r="AJ578" i="3"/>
  <c r="AK569" i="3"/>
  <c r="AK428" i="3" s="1"/>
  <c r="AJ575" i="3"/>
  <c r="AJ500" i="3"/>
  <c r="AJ503" i="3" s="1"/>
  <c r="AJ429" i="3"/>
  <c r="AJ430" i="3" l="1"/>
  <c r="AK433" i="3"/>
  <c r="AK438" i="3" s="1"/>
  <c r="AJ606" i="3"/>
  <c r="AJ615" i="3" s="1"/>
  <c r="R127" i="4"/>
  <c r="R134" i="4" s="1"/>
  <c r="R142" i="4" s="1"/>
  <c r="AJ507" i="3"/>
  <c r="R154" i="4" s="1"/>
  <c r="R202" i="4" s="1"/>
  <c r="R153" i="4"/>
  <c r="R201" i="4" s="1"/>
  <c r="AJ585" i="3"/>
  <c r="AJ597" i="3" s="1"/>
  <c r="R107" i="4"/>
  <c r="R195" i="4"/>
  <c r="S101" i="4"/>
  <c r="R104" i="4"/>
  <c r="R114" i="4" l="1"/>
  <c r="R125" i="4" s="1"/>
  <c r="R151" i="4" s="1"/>
  <c r="R155" i="4"/>
  <c r="AJ623" i="3"/>
  <c r="AJ2" i="3" s="1"/>
  <c r="AK529" i="3"/>
  <c r="AK440" i="3"/>
  <c r="AK340" i="3" s="1"/>
  <c r="AK343" i="3" s="1"/>
  <c r="AK344" i="3" l="1"/>
  <c r="AK348" i="3"/>
  <c r="AK558" i="3"/>
  <c r="AK533" i="3"/>
  <c r="AK349" i="3" l="1"/>
  <c r="AK366" i="3"/>
  <c r="AK368" i="3" s="1"/>
  <c r="AK350" i="3"/>
  <c r="AK534" i="3"/>
  <c r="AK537" i="3"/>
  <c r="AK567" i="3"/>
  <c r="AK542" i="3" l="1"/>
  <c r="AK370" i="3"/>
  <c r="AL494" i="3"/>
  <c r="AK371" i="3"/>
  <c r="AK619" i="3"/>
  <c r="AK622" i="3" l="1"/>
  <c r="AL563" i="3"/>
  <c r="S92" i="4" s="1"/>
  <c r="AL493" i="3"/>
  <c r="AK545" i="3"/>
  <c r="AK548" i="3" l="1"/>
  <c r="AL496" i="3"/>
  <c r="S163" i="4"/>
  <c r="S182" i="4" s="1"/>
  <c r="AK648" i="3" l="1"/>
  <c r="AK649" i="3" s="1"/>
  <c r="AK570" i="3"/>
  <c r="AK573" i="3" l="1"/>
  <c r="AK578" i="3" l="1"/>
  <c r="AK585" i="3" s="1"/>
  <c r="AK597" i="3" s="1"/>
  <c r="AK500" i="3"/>
  <c r="AK503" i="3" s="1"/>
  <c r="AK507" i="3" s="1"/>
  <c r="AK429" i="3"/>
  <c r="AK575" i="3"/>
  <c r="AL569" i="3"/>
  <c r="AL428" i="3" s="1"/>
  <c r="AK599" i="3"/>
  <c r="AK606" i="3" s="1"/>
  <c r="AK615" i="3" s="1"/>
  <c r="AK623" i="3" l="1"/>
  <c r="AK2" i="3" s="1"/>
  <c r="AK430" i="3"/>
  <c r="AL433" i="3"/>
  <c r="AL438" i="3" s="1"/>
  <c r="AL529" i="3" l="1"/>
  <c r="AL440" i="3"/>
  <c r="AL340" i="3" s="1"/>
  <c r="AL343" i="3" s="1"/>
  <c r="AL344" i="3" l="1"/>
  <c r="AL348" i="3"/>
  <c r="S38" i="4"/>
  <c r="AL533" i="3"/>
  <c r="AL558" i="3"/>
  <c r="S57" i="4"/>
  <c r="S34" i="4"/>
  <c r="AL567" i="3" l="1"/>
  <c r="S166" i="4"/>
  <c r="S71" i="4"/>
  <c r="S60" i="4"/>
  <c r="AL349" i="3"/>
  <c r="S161" i="4" s="1"/>
  <c r="S181" i="4" s="1"/>
  <c r="AL350" i="3"/>
  <c r="AL366" i="3"/>
  <c r="AL368" i="3" s="1"/>
  <c r="S41" i="4"/>
  <c r="O9" i="7" s="1"/>
  <c r="O11" i="7" s="1"/>
  <c r="AL534" i="3"/>
  <c r="AL537" i="3" s="1"/>
  <c r="S63" i="4" s="1"/>
  <c r="S188" i="4" s="1"/>
  <c r="S39" i="4"/>
  <c r="S40" i="4" s="1"/>
  <c r="AL371" i="3" l="1"/>
  <c r="AM494" i="3"/>
  <c r="AL370" i="3"/>
  <c r="S162" i="4" s="1"/>
  <c r="S189" i="4" s="1"/>
  <c r="S66" i="4"/>
  <c r="AL619" i="3"/>
  <c r="S180" i="4"/>
  <c r="S42" i="4"/>
  <c r="AL542" i="3"/>
  <c r="S61" i="4"/>
  <c r="S96" i="4"/>
  <c r="S194" i="4" s="1"/>
  <c r="S146" i="4" l="1"/>
  <c r="S149" i="4" s="1"/>
  <c r="AL622" i="3"/>
  <c r="AL545" i="3"/>
  <c r="S70" i="4"/>
  <c r="AM563" i="3"/>
  <c r="AM493" i="3"/>
  <c r="AM496" i="3" s="1"/>
  <c r="AL548" i="3" l="1"/>
  <c r="S168" i="4"/>
  <c r="S169" i="4" s="1"/>
  <c r="S75" i="4"/>
  <c r="S76" i="4" s="1"/>
  <c r="AL648" i="3" l="1"/>
  <c r="AL649" i="3" s="1"/>
  <c r="S78" i="4"/>
  <c r="AL570" i="3"/>
  <c r="S192" i="4" l="1"/>
  <c r="S79" i="4"/>
  <c r="S197" i="4"/>
  <c r="AL573" i="3"/>
  <c r="S98" i="4"/>
  <c r="S100" i="4" s="1"/>
  <c r="S102" i="4" l="1"/>
  <c r="AL599" i="3"/>
  <c r="AL575" i="3"/>
  <c r="AL500" i="3"/>
  <c r="AL503" i="3" s="1"/>
  <c r="AL429" i="3"/>
  <c r="AL578" i="3"/>
  <c r="AM569" i="3"/>
  <c r="AM428" i="3" s="1"/>
  <c r="AL430" i="3" l="1"/>
  <c r="AM433" i="3"/>
  <c r="AM438" i="3" s="1"/>
  <c r="AL585" i="3"/>
  <c r="AL597" i="3" s="1"/>
  <c r="S107" i="4"/>
  <c r="AL507" i="3"/>
  <c r="S154" i="4" s="1"/>
  <c r="S202" i="4" s="1"/>
  <c r="S153" i="4"/>
  <c r="S201" i="4" s="1"/>
  <c r="AL606" i="3"/>
  <c r="AL615" i="3" s="1"/>
  <c r="AL623" i="3" s="1"/>
  <c r="AL2" i="3" s="1"/>
  <c r="C2" i="3" s="1"/>
  <c r="S127" i="4"/>
  <c r="S134" i="4" s="1"/>
  <c r="S142" i="4" s="1"/>
  <c r="S195" i="4"/>
  <c r="S104" i="4"/>
  <c r="S114" i="4" l="1"/>
  <c r="S125" i="4" s="1"/>
  <c r="S151" i="4" s="1"/>
  <c r="S155" i="4"/>
  <c r="AM529" i="3"/>
  <c r="AM440" i="3"/>
  <c r="AM340" i="3" s="1"/>
  <c r="AM343" i="3" s="1"/>
  <c r="AM344" i="3" l="1"/>
  <c r="AM534" i="3" s="1"/>
  <c r="AM542" i="3" s="1"/>
  <c r="AM545" i="3" s="1"/>
  <c r="AM548" i="3" s="1"/>
  <c r="AM348" i="3"/>
  <c r="AM558" i="3"/>
  <c r="AM567" i="3" s="1"/>
  <c r="AM570" i="3" s="1"/>
  <c r="AM573" i="3" s="1"/>
  <c r="AM533" i="3"/>
  <c r="AM537" i="3" s="1"/>
  <c r="AM350" i="3" l="1"/>
  <c r="AM349" i="3"/>
  <c r="AM366" i="3"/>
  <c r="AM368" i="3" s="1"/>
  <c r="AM429" i="3"/>
  <c r="AM500" i="3"/>
  <c r="AM503" i="3" s="1"/>
  <c r="AM507" i="3" s="1"/>
  <c r="AM575" i="3"/>
  <c r="AN569" i="3"/>
  <c r="AN428" i="3" s="1"/>
  <c r="AM599" i="3"/>
  <c r="AM606" i="3" s="1"/>
  <c r="AM615" i="3" s="1"/>
  <c r="AM578" i="3"/>
  <c r="AM585" i="3" s="1"/>
  <c r="AM597" i="3" s="1"/>
  <c r="AM648" i="3"/>
  <c r="AM649" i="3" s="1"/>
  <c r="AN433" i="3" l="1"/>
  <c r="AN438" i="3" s="1"/>
  <c r="AM430" i="3"/>
  <c r="AM371" i="3"/>
  <c r="AM370" i="3"/>
  <c r="AN494" i="3"/>
  <c r="AM619" i="3"/>
  <c r="AM622" i="3" l="1"/>
  <c r="AM623" i="3" s="1"/>
  <c r="AM2" i="3" s="1"/>
  <c r="AN563" i="3"/>
  <c r="AN493" i="3"/>
  <c r="AN496" i="3" s="1"/>
  <c r="AN529" i="3"/>
  <c r="AN440" i="3"/>
  <c r="AN340" i="3" s="1"/>
  <c r="AN343" i="3" s="1"/>
  <c r="AN344" i="3" l="1"/>
  <c r="AN534" i="3" s="1"/>
  <c r="AN542" i="3" s="1"/>
  <c r="AN545" i="3" s="1"/>
  <c r="AN548" i="3" s="1"/>
  <c r="AN348" i="3"/>
  <c r="AN533" i="3"/>
  <c r="AN537" i="3" s="1"/>
  <c r="AN558" i="3"/>
  <c r="AN567" i="3" s="1"/>
  <c r="AN570" i="3" s="1"/>
  <c r="AN573" i="3" s="1"/>
  <c r="AN578" i="3" l="1"/>
  <c r="AN585" i="3" s="1"/>
  <c r="AN597" i="3" s="1"/>
  <c r="AN599" i="3"/>
  <c r="AN606" i="3" s="1"/>
  <c r="AN615" i="3" s="1"/>
  <c r="AN500" i="3"/>
  <c r="AN503" i="3" s="1"/>
  <c r="AN507" i="3" s="1"/>
  <c r="AN429" i="3"/>
  <c r="AN430" i="3" s="1"/>
  <c r="AN575" i="3"/>
  <c r="AN349" i="3"/>
  <c r="AN350" i="3"/>
  <c r="AN366" i="3"/>
  <c r="AN368" i="3" s="1"/>
  <c r="AN648" i="3"/>
  <c r="AN649" i="3" s="1"/>
  <c r="D649" i="3" s="1"/>
  <c r="D651" i="3" l="1"/>
  <c r="D652" i="3" s="1"/>
  <c r="D654" i="3" s="1"/>
  <c r="AN370" i="3"/>
  <c r="AN371" i="3"/>
  <c r="AN619" i="3"/>
  <c r="AN622" i="3" s="1"/>
  <c r="AN623" i="3" s="1"/>
  <c r="AN2" i="3" s="1"/>
  <c r="D13" i="1" l="1"/>
  <c r="C3" i="3"/>
  <c r="D657" i="3"/>
  <c r="H12" i="7"/>
  <c r="H14" i="7" s="1"/>
  <c r="F108" i="13"/>
  <c r="D35" i="1"/>
  <c r="AJ13" i="1"/>
  <c r="AJ35" i="1"/>
  <c r="AE108" i="13" l="1"/>
  <c r="F585" i="13" a="1"/>
  <c r="F585" i="13" s="1"/>
  <c r="F587" i="13" s="1"/>
  <c r="AE585" i="13" a="1"/>
  <c r="AE585" i="13" s="1"/>
  <c r="AE587" i="13" s="1"/>
  <c r="D21" i="1"/>
  <c r="AJ21" i="1"/>
  <c r="D23" i="1" l="1"/>
  <c r="AJ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AIPL</author>
    <author>Julian Mulcahy</author>
  </authors>
  <commentList>
    <comment ref="A4" authorId="0" shapeId="0" xr:uid="{00000000-0006-0000-0000-000001000000}">
      <text>
        <r>
          <rPr>
            <sz val="11"/>
            <color theme="1"/>
            <rFont val="Calibri"/>
            <family val="2"/>
            <scheme val="minor"/>
          </rPr>
          <t>Please do not delete or remove.</t>
        </r>
      </text>
    </comment>
    <comment ref="D4" authorId="0" shapeId="0" xr:uid="{00000000-0006-0000-0000-000002000000}">
      <text>
        <r>
          <rPr>
            <sz val="11"/>
            <color theme="1"/>
            <rFont val="Calibri"/>
            <family val="2"/>
            <scheme val="minor"/>
          </rPr>
          <t>Please do not delete or remove.</t>
        </r>
      </text>
    </comment>
    <comment ref="C5" authorId="0" shapeId="0" xr:uid="{00000000-0006-0000-0000-000003000000}">
      <text>
        <r>
          <rPr>
            <sz val="11"/>
            <color theme="1"/>
            <rFont val="Calibri"/>
            <family val="2"/>
            <scheme val="minor"/>
          </rPr>
          <t>Input the Instrument type code for which the information is being uploaded. The code acceptable is: 
EQ=Equity</t>
        </r>
      </text>
    </comment>
    <comment ref="C6" authorId="0" shapeId="0" xr:uid="{00000000-0006-0000-0000-000004000000}">
      <text>
        <r>
          <rPr>
            <sz val="11"/>
            <color theme="1"/>
            <rFont val="Calibri"/>
            <family val="2"/>
            <scheme val="minor"/>
          </rPr>
          <t>Input the Instrument Code Type based on the database vendor ticker code used. The acceptable code is:
@BB=Bloomberg</t>
        </r>
      </text>
    </comment>
    <comment ref="C8" authorId="0" shapeId="0" xr:uid="{00000000-0006-0000-0000-000005000000}">
      <text>
        <r>
          <rPr>
            <sz val="11"/>
            <color theme="1"/>
            <rFont val="Calibri"/>
            <family val="2"/>
            <scheme val="minor"/>
          </rPr>
          <t>Input the full "Instrument ticker Code" as provided by Bloomberg. For e.g.,: "ABC AU Equity" for Adelaide Brighton Ltd.</t>
        </r>
      </text>
    </comment>
    <comment ref="C9" authorId="0" shapeId="0" xr:uid="{00000000-0006-0000-0000-000006000000}">
      <text>
        <r>
          <rPr>
            <sz val="11"/>
            <color theme="1"/>
            <rFont val="Calibri"/>
            <family val="2"/>
            <scheme val="minor"/>
          </rPr>
          <t>Please choose the Reporting Multiplier in which the numbers are denominated in the financial model.</t>
        </r>
      </text>
    </comment>
    <comment ref="C11" authorId="0" shapeId="0" xr:uid="{00000000-0006-0000-0000-000007000000}">
      <text>
        <r>
          <rPr>
            <sz val="11"/>
            <color theme="1"/>
            <rFont val="Calibri"/>
            <family val="2"/>
            <scheme val="minor"/>
          </rPr>
          <t>Input the lead Analyst's system username for the Analec system.</t>
        </r>
      </text>
    </comment>
    <comment ref="C15" authorId="0" shapeId="0" xr:uid="{00000000-0006-0000-0000-000008000000}">
      <text>
        <r>
          <rPr>
            <sz val="11"/>
            <color theme="1"/>
            <rFont val="Calibri"/>
            <family val="2"/>
            <scheme val="minor"/>
          </rPr>
          <t>This sharecount would be used for the computation of Market Cap. Please enter full value for e.g., if the sharecount is 2 million then enter 20,000,000.</t>
        </r>
      </text>
    </comment>
    <comment ref="C38" authorId="1" shapeId="0" xr:uid="{00000000-0006-0000-0000-000009000000}">
      <text>
        <r>
          <rPr>
            <sz val="11"/>
            <color theme="1"/>
            <rFont val="Calibri"/>
            <family val="2"/>
            <scheme val="minor"/>
          </rPr>
          <t>AIPL: Input the Valuation - SOTP</t>
        </r>
      </text>
    </comment>
    <comment ref="C43" authorId="1" shapeId="0" xr:uid="{00000000-0006-0000-0000-00000A000000}">
      <text>
        <r>
          <rPr>
            <sz val="11"/>
            <color theme="1"/>
            <rFont val="Calibri"/>
            <family val="2"/>
            <scheme val="minor"/>
          </rPr>
          <t>AIPL: Input the SOTP Weightage</t>
        </r>
      </text>
    </comment>
    <comment ref="C52" authorId="1" shapeId="0" xr:uid="{00000000-0006-0000-0000-00000B000000}">
      <text>
        <r>
          <rPr>
            <sz val="11"/>
            <color theme="1"/>
            <rFont val="Calibri"/>
            <family val="2"/>
            <scheme val="minor"/>
          </rPr>
          <t>AIPL: Input the Name of Segment 7</t>
        </r>
      </text>
    </comment>
    <comment ref="C53" authorId="1" shapeId="0" xr:uid="{00000000-0006-0000-0000-00000C000000}">
      <text>
        <r>
          <rPr>
            <sz val="11"/>
            <color theme="1"/>
            <rFont val="Calibri"/>
            <family val="2"/>
            <scheme val="minor"/>
          </rPr>
          <t>AIPL: Input the Name of Segment 8</t>
        </r>
      </text>
    </comment>
    <comment ref="C54" authorId="1" shapeId="0" xr:uid="{00000000-0006-0000-0000-00000D000000}">
      <text>
        <r>
          <rPr>
            <sz val="11"/>
            <color theme="1"/>
            <rFont val="Calibri"/>
            <family val="2"/>
            <scheme val="minor"/>
          </rPr>
          <t>AIPL: Input the Name of Segment 9</t>
        </r>
      </text>
    </comment>
    <comment ref="C55" authorId="1" shapeId="0" xr:uid="{00000000-0006-0000-0000-00000E000000}">
      <text>
        <r>
          <rPr>
            <sz val="11"/>
            <color theme="1"/>
            <rFont val="Calibri"/>
            <family val="2"/>
            <scheme val="minor"/>
          </rPr>
          <t>AIPL: Input the Name of Segment 10</t>
        </r>
      </text>
    </comment>
    <comment ref="C62" authorId="0" shapeId="0" xr:uid="{00000000-0006-0000-0000-00000F000000}">
      <text>
        <r>
          <rPr>
            <sz val="11"/>
            <color theme="1"/>
            <rFont val="Calibri"/>
            <family val="2"/>
            <scheme val="minor"/>
          </rPr>
          <t>Enter text in Column D alongside.
This would appear as 1st bullet point under Core Driver Section on the Stock Focus Report.</t>
        </r>
      </text>
    </comment>
    <comment ref="C63" authorId="0" shapeId="0" xr:uid="{00000000-0006-0000-0000-000010000000}">
      <text>
        <r>
          <rPr>
            <sz val="11"/>
            <color theme="1"/>
            <rFont val="Calibri"/>
            <family val="2"/>
            <scheme val="minor"/>
          </rPr>
          <t>Enter text in Column D alongside.
This would appear as 2nd bullet point under Core Driver Section on the Stock Focus Report.</t>
        </r>
      </text>
    </comment>
    <comment ref="C64" authorId="0" shapeId="0" xr:uid="{00000000-0006-0000-0000-000011000000}">
      <text>
        <r>
          <rPr>
            <sz val="11"/>
            <color theme="1"/>
            <rFont val="Calibri"/>
            <family val="2"/>
            <scheme val="minor"/>
          </rPr>
          <t>Enter text in Column D alongside.
This would appear as 3rd bullet point under Core Driver Section on the Stock Focus Report.</t>
        </r>
      </text>
    </comment>
    <comment ref="C65" authorId="0" shapeId="0" xr:uid="{00000000-0006-0000-0000-000012000000}">
      <text>
        <r>
          <rPr>
            <sz val="11"/>
            <color theme="1"/>
            <rFont val="Calibri"/>
            <family val="2"/>
            <scheme val="minor"/>
          </rPr>
          <t>Enter text in Column D alongside.
This would appear as 4th bullet point under Core Driver Section on the Stock Focus Report.</t>
        </r>
      </text>
    </comment>
    <comment ref="C66" authorId="0" shapeId="0" xr:uid="{00000000-0006-0000-0000-000013000000}">
      <text>
        <r>
          <rPr>
            <sz val="11"/>
            <color theme="1"/>
            <rFont val="Calibri"/>
            <family val="2"/>
            <scheme val="minor"/>
          </rPr>
          <t>Enter text in Column D alongside.
This would appear as 5th bullet point under Core Driver Section on the Stock Focus Report.</t>
        </r>
      </text>
    </comment>
    <comment ref="C68" authorId="0" shapeId="0" xr:uid="{00000000-0006-0000-0000-000014000000}">
      <text>
        <r>
          <rPr>
            <sz val="11"/>
            <color theme="1"/>
            <rFont val="Calibri"/>
            <family val="2"/>
            <scheme val="minor"/>
          </rPr>
          <t>Enter text in Column D alongside.
This would appear as 1st bullet point under Investment Thesis Section on the Stock Focus Report.</t>
        </r>
      </text>
    </comment>
    <comment ref="C69" authorId="0" shapeId="0" xr:uid="{00000000-0006-0000-0000-000015000000}">
      <text>
        <r>
          <rPr>
            <sz val="11"/>
            <color theme="1"/>
            <rFont val="Calibri"/>
            <family val="2"/>
            <scheme val="minor"/>
          </rPr>
          <t>Enter text in Column D alongside.
This would appear as 2nd bullet point under Investment Thesis Section on the Stock Focus Report.</t>
        </r>
      </text>
    </comment>
    <comment ref="C70" authorId="0" shapeId="0" xr:uid="{00000000-0006-0000-0000-000016000000}">
      <text>
        <r>
          <rPr>
            <sz val="11"/>
            <color theme="1"/>
            <rFont val="Calibri"/>
            <family val="2"/>
            <scheme val="minor"/>
          </rPr>
          <t>Enter text in Column D alongside.
This would appear as 3rd bullet point under Investment Thesis Section on the Stock Focus Report.</t>
        </r>
      </text>
    </comment>
    <comment ref="C71" authorId="0" shapeId="0" xr:uid="{00000000-0006-0000-0000-000017000000}">
      <text>
        <r>
          <rPr>
            <sz val="11"/>
            <color theme="1"/>
            <rFont val="Calibri"/>
            <family val="2"/>
            <scheme val="minor"/>
          </rPr>
          <t>Enter text in Column D alongside.
This would appear as 4th bullet point under Investment Thesis Section on the Stock Focus Report.</t>
        </r>
      </text>
    </comment>
    <comment ref="C72" authorId="0" shapeId="0" xr:uid="{00000000-0006-0000-0000-000018000000}">
      <text>
        <r>
          <rPr>
            <sz val="11"/>
            <color theme="1"/>
            <rFont val="Calibri"/>
            <family val="2"/>
            <scheme val="minor"/>
          </rPr>
          <t>Enter text in Column D alongside.
This would appear as 5th bullet point under Investment Thesis Section on the Stock Focus Report.</t>
        </r>
      </text>
    </comment>
    <comment ref="C74" authorId="0" shapeId="0" xr:uid="{00000000-0006-0000-0000-000019000000}">
      <text>
        <r>
          <rPr>
            <sz val="11"/>
            <color theme="1"/>
            <rFont val="Calibri"/>
            <family val="2"/>
            <scheme val="minor"/>
          </rPr>
          <t>Enter text in Column D alongside.
This would appear as 1st bullet point under Near Term Catalyst Section on the Stock Focus Report.</t>
        </r>
      </text>
    </comment>
    <comment ref="C103" authorId="0" shapeId="0" xr:uid="{00000000-0006-0000-0000-00001A000000}">
      <text>
        <r>
          <rPr>
            <sz val="11"/>
            <color theme="1"/>
            <rFont val="Calibri"/>
            <family val="2"/>
            <scheme val="minor"/>
          </rPr>
          <t>Enter the ticker of the 1st stock for which the EV/EBITDA (P/BV for Banks) needs to be shown on the Stock Focus report (Core Drivers Page).</t>
        </r>
      </text>
    </comment>
    <comment ref="C104" authorId="0" shapeId="0" xr:uid="{00000000-0006-0000-0000-00001B000000}">
      <text>
        <r>
          <rPr>
            <sz val="11"/>
            <color theme="1"/>
            <rFont val="Calibri"/>
            <family val="2"/>
            <scheme val="minor"/>
          </rPr>
          <t>Enter the ticker of the 2nd stock for which the EV/EBITDA (P/BV for Banks) needs to be shown on the Stock Focus report (Core Drivers Page).</t>
        </r>
      </text>
    </comment>
    <comment ref="C105" authorId="0" shapeId="0" xr:uid="{00000000-0006-0000-0000-00001C000000}">
      <text>
        <r>
          <rPr>
            <sz val="11"/>
            <color theme="1"/>
            <rFont val="Calibri"/>
            <family val="2"/>
            <scheme val="minor"/>
          </rPr>
          <t>Enter the ticker of the 3rd stock for which the EV/EBITDA (P/BV for Banks) needs to be shown on the Stock Focus report (Core Drivers Page).</t>
        </r>
      </text>
    </comment>
    <comment ref="C106" authorId="0" shapeId="0" xr:uid="{00000000-0006-0000-0000-00001D000000}">
      <text>
        <r>
          <rPr>
            <sz val="11"/>
            <color theme="1"/>
            <rFont val="Calibri"/>
            <family val="2"/>
            <scheme val="minor"/>
          </rPr>
          <t>Enter the ticker of the 4th stock for which the EV/EBITDA (P/BV for Banks) needs to be shown on the Stock Focus report (Core Drivers Page).</t>
        </r>
      </text>
    </comment>
    <comment ref="C107" authorId="0" shapeId="0" xr:uid="{00000000-0006-0000-0000-00001E000000}">
      <text>
        <r>
          <rPr>
            <sz val="11"/>
            <color theme="1"/>
            <rFont val="Calibri"/>
            <family val="2"/>
            <scheme val="minor"/>
          </rPr>
          <t>Enter the ticker of the 5th stock for which the EV/EBITDA (P/BV for Banks) needs to be shown on the Stock Focus report (Core Drivers Page).</t>
        </r>
      </text>
    </comment>
    <comment ref="C108" authorId="0" shapeId="0" xr:uid="{00000000-0006-0000-0000-00001F000000}">
      <text>
        <r>
          <rPr>
            <sz val="11"/>
            <color theme="1"/>
            <rFont val="Calibri"/>
            <family val="2"/>
            <scheme val="minor"/>
          </rPr>
          <t>Enter the ticker of the 6th stock for which the EV/EBITDA (P/BV for Banks) needs to be shown on the Stock Focus report (Core Drivers Page).</t>
        </r>
      </text>
    </comment>
    <comment ref="C109" authorId="0" shapeId="0" xr:uid="{00000000-0006-0000-0000-000020000000}">
      <text>
        <r>
          <rPr>
            <sz val="11"/>
            <color theme="1"/>
            <rFont val="Calibri"/>
            <family val="2"/>
            <scheme val="minor"/>
          </rPr>
          <t xml:space="preserve">Choose the Index that will be used for relative chart. </t>
        </r>
      </text>
    </comment>
    <comment ref="A111" authorId="0" shapeId="0" xr:uid="{00000000-0006-0000-0000-000021000000}">
      <text>
        <r>
          <rPr>
            <sz val="11"/>
            <color theme="1"/>
            <rFont val="Calibri"/>
            <family val="2"/>
            <scheme val="minor"/>
          </rPr>
          <t>Please do not delete or remove.</t>
        </r>
      </text>
    </comment>
    <comment ref="C114" authorId="0" shapeId="0" xr:uid="{00000000-0006-0000-0000-000022000000}">
      <text>
        <r>
          <rPr>
            <sz val="11"/>
            <color theme="1"/>
            <rFont val="Calibri"/>
            <family val="2"/>
            <scheme val="minor"/>
          </rPr>
          <t>This is an automatic field. Please do not change the formula.</t>
        </r>
      </text>
    </comment>
    <comment ref="AJ114" authorId="0" shapeId="0" xr:uid="{A01B4C69-0008-42D4-AD90-A54215386BB1}">
      <text>
        <r>
          <rPr>
            <sz val="10"/>
            <color indexed="8"/>
            <rFont val="Arial"/>
            <family val="2"/>
          </rPr>
          <t>This must be placed after the last set of data. 
Please do not delete or remove.</t>
        </r>
      </text>
    </comment>
    <comment ref="C115" authorId="0" shapeId="0" xr:uid="{00000000-0006-0000-0000-000024000000}">
      <text>
        <r>
          <rPr>
            <sz val="11"/>
            <color theme="1"/>
            <rFont val="Calibri"/>
            <family val="2"/>
            <scheme val="minor"/>
          </rPr>
          <t>Input the financial year for which the data would be populated below. For e.g., 2005, incase the data below in P&amp;L etc., pertains to 2005.</t>
        </r>
      </text>
    </comment>
    <comment ref="C116" authorId="0" shapeId="0" xr:uid="{00000000-0006-0000-0000-000025000000}">
      <text>
        <r>
          <rPr>
            <sz val="11"/>
            <color theme="1"/>
            <rFont val="Calibri"/>
            <family val="2"/>
            <scheme val="minor"/>
          </rPr>
          <t>Input the Accounts Status.
A = Actual
F = Forecast</t>
        </r>
      </text>
    </comment>
    <comment ref="C117" authorId="0" shapeId="0" xr:uid="{00000000-0006-0000-0000-000026000000}">
      <text>
        <r>
          <rPr>
            <sz val="11"/>
            <color theme="1"/>
            <rFont val="Calibri"/>
            <family val="2"/>
            <scheme val="minor"/>
          </rPr>
          <t>Input the reporting period code:
FY=Full Year
1Q=First Quarter
2Q=Second Quarter
3Q=Third Quarter
4Q=Fourth Quarter</t>
        </r>
      </text>
    </comment>
    <comment ref="C118" authorId="0" shapeId="0" xr:uid="{00000000-0006-0000-0000-000027000000}">
      <text>
        <r>
          <rPr>
            <sz val="11"/>
            <color theme="1"/>
            <rFont val="Calibri"/>
            <family val="2"/>
            <scheme val="minor"/>
          </rPr>
          <t>Input the three letter month code for the period in question. For e.g.,: If you are entering full year numbers for a December ending company, then enter Dec. Similary, if you are entering Q1 numbers for a December ending company, then enter Mar.</t>
        </r>
      </text>
    </comment>
    <comment ref="C345" authorId="1" shapeId="0" xr:uid="{00000000-0006-0000-0000-000028000000}">
      <text>
        <r>
          <rPr>
            <sz val="11"/>
            <color theme="1"/>
            <rFont val="Calibri"/>
            <family val="2"/>
            <scheme val="minor"/>
          </rPr>
          <t>AIPL:Input the sixth segment's revenues forecast.</t>
        </r>
      </text>
    </comment>
    <comment ref="C346" authorId="1" shapeId="0" xr:uid="{00000000-0006-0000-0000-000029000000}">
      <text>
        <r>
          <rPr>
            <sz val="11"/>
            <color theme="1"/>
            <rFont val="Calibri"/>
            <family val="2"/>
            <scheme val="minor"/>
          </rPr>
          <t>AIPL: Input the seventh segment's results forecast.</t>
        </r>
      </text>
    </comment>
    <comment ref="C347" authorId="1" shapeId="0" xr:uid="{00000000-0006-0000-0000-00002A000000}">
      <text>
        <r>
          <rPr>
            <sz val="11"/>
            <color theme="1"/>
            <rFont val="Calibri"/>
            <family val="2"/>
            <scheme val="minor"/>
          </rPr>
          <t>AIPL: Input the Eighth segment's margins forecast.</t>
        </r>
      </text>
    </comment>
    <comment ref="C348" authorId="1" shapeId="0" xr:uid="{00000000-0006-0000-0000-00002B000000}">
      <text>
        <r>
          <rPr>
            <sz val="11"/>
            <color theme="1"/>
            <rFont val="Calibri"/>
            <family val="2"/>
            <scheme val="minor"/>
          </rPr>
          <t>AIPL: Input the Ninth segment's margins forecast.</t>
        </r>
      </text>
    </comment>
    <comment ref="C349" authorId="1" shapeId="0" xr:uid="{00000000-0006-0000-0000-00002C000000}">
      <text>
        <r>
          <rPr>
            <sz val="11"/>
            <color theme="1"/>
            <rFont val="Calibri"/>
            <family val="2"/>
            <scheme val="minor"/>
          </rPr>
          <t>AIPL: Input the Tenth segment's margins forecast.</t>
        </r>
      </text>
    </comment>
    <comment ref="A391" authorId="0" shapeId="0" xr:uid="{00000000-0006-0000-0000-00002D000000}">
      <text>
        <r>
          <rPr>
            <sz val="11"/>
            <color theme="1"/>
            <rFont val="Calibri"/>
            <family val="2"/>
            <scheme val="minor"/>
          </rPr>
          <t>This must be placed after the last set of data. 
Please do not delete or remove.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Paul Mason</author>
    <author>Claude — Grand disposal</author>
    <author>Claude — interest rate fix</author>
    <author>Claude — DPO fix</author>
  </authors>
  <commentList>
    <comment ref="B99" authorId="0" shapeId="0" xr:uid="{00000000-0006-0000-0200-000001000000}">
      <text>
        <r>
          <rPr>
            <sz val="11"/>
            <color theme="1"/>
            <rFont val="Calibri"/>
            <family val="2"/>
            <scheme val="minor"/>
          </rPr>
          <t>Sam Bradshaw:
+ Other Gaming</t>
        </r>
      </text>
    </comment>
    <comment ref="F106" authorId="0" shapeId="0" xr:uid="{00000000-0006-0000-0200-000002000000}">
      <text>
        <r>
          <rPr>
            <sz val="11"/>
            <color theme="1"/>
            <rFont val="Calibri"/>
            <family val="2"/>
            <scheme val="minor"/>
          </rPr>
          <t>Sam Bradshaw:
3Q MC</t>
        </r>
      </text>
    </comment>
    <comment ref="H106" authorId="0" shapeId="0" xr:uid="{00000000-0006-0000-0200-000003000000}">
      <text>
        <r>
          <rPr>
            <sz val="11"/>
            <color theme="1"/>
            <rFont val="Calibri"/>
            <family val="2"/>
            <scheme val="minor"/>
          </rPr>
          <t>Sam Bradshaw:
3Q MC</t>
        </r>
      </text>
    </comment>
    <comment ref="J106" authorId="0" shapeId="0" xr:uid="{00000000-0006-0000-0200-000004000000}">
      <text>
        <r>
          <rPr>
            <sz val="11"/>
            <color theme="1"/>
            <rFont val="Calibri"/>
            <family val="2"/>
            <scheme val="minor"/>
          </rPr>
          <t>Sam Bradshaw:
AR</t>
        </r>
      </text>
    </comment>
    <comment ref="K106" authorId="0" shapeId="0" xr:uid="{00000000-0006-0000-0200-000005000000}">
      <text>
        <r>
          <rPr>
            <sz val="11"/>
            <color theme="1"/>
            <rFont val="Calibri"/>
            <family val="2"/>
            <scheme val="minor"/>
          </rPr>
          <t>Sam Bradshaw:
1H Pres</t>
        </r>
      </text>
    </comment>
    <comment ref="L106" authorId="0" shapeId="0" xr:uid="{00000000-0006-0000-0200-000006000000}">
      <text>
        <r>
          <rPr>
            <sz val="11"/>
            <color theme="1"/>
            <rFont val="Calibri"/>
            <family val="2"/>
            <scheme val="minor"/>
          </rPr>
          <t>Sam Bradshaw:
AR</t>
        </r>
      </text>
    </comment>
    <comment ref="N106" authorId="0" shapeId="0" xr:uid="{00000000-0006-0000-0200-000007000000}">
      <text>
        <r>
          <rPr>
            <sz val="11"/>
            <color theme="1"/>
            <rFont val="Calibri"/>
            <family val="2"/>
            <scheme val="minor"/>
          </rPr>
          <t>Sam Bradshaw:
AR</t>
        </r>
      </text>
    </comment>
    <comment ref="P106" authorId="0" shapeId="0" xr:uid="{00000000-0006-0000-0200-000008000000}">
      <text>
        <r>
          <rPr>
            <sz val="11"/>
            <color theme="1"/>
            <rFont val="Calibri"/>
            <family val="2"/>
            <scheme val="minor"/>
          </rPr>
          <t>Sam Bradshaw:
AR</t>
        </r>
      </text>
    </comment>
    <comment ref="F109" authorId="0" shapeId="0" xr:uid="{00000000-0006-0000-0200-000009000000}">
      <text>
        <r>
          <rPr>
            <sz val="11"/>
            <color theme="1"/>
            <rFont val="Calibri"/>
            <family val="2"/>
            <scheme val="minor"/>
          </rPr>
          <t>Sam Bradshaw:
Says 900 but assumed this includes ATG's</t>
        </r>
      </text>
    </comment>
    <comment ref="X118" authorId="0" shapeId="0" xr:uid="{00000000-0006-0000-0200-00000A000000}">
      <text>
        <r>
          <rPr>
            <sz val="11"/>
            <color theme="1"/>
            <rFont val="Calibri"/>
            <family val="2"/>
            <scheme val="minor"/>
          </rPr>
          <t>Sam Bradshaw:
Mandatory Carded Play</t>
        </r>
      </text>
    </comment>
    <comment ref="U120" authorId="1" shapeId="0" xr:uid="{00000000-0006-0000-0200-00000B000000}">
      <text>
        <r>
          <rPr>
            <sz val="11"/>
            <color theme="1"/>
            <rFont val="Calibri"/>
            <family val="2"/>
            <scheme val="minor"/>
          </rPr>
          <t>Paul Mason:
Opening of NZICC and end of construction works for Rail System but noting MCP comes in</t>
        </r>
      </text>
    </comment>
    <comment ref="W120" authorId="0" shapeId="0" xr:uid="{00000000-0006-0000-0200-00000C000000}">
      <text>
        <r>
          <rPr>
            <sz val="11"/>
            <color theme="1"/>
            <rFont val="Calibri"/>
            <family val="2"/>
            <scheme val="minor"/>
          </rPr>
          <t>Sam Bradshaw:
End of Railworks &amp; Full NZICC</t>
        </r>
      </text>
    </comment>
    <comment ref="F139" authorId="0" shapeId="0" xr:uid="{00000000-0006-0000-0200-00000D000000}">
      <text>
        <r>
          <rPr>
            <sz val="11"/>
            <color theme="1"/>
            <rFont val="Calibri"/>
            <family val="2"/>
            <scheme val="minor"/>
          </rPr>
          <t>Sam Bradshaw:
3Q MC</t>
        </r>
      </text>
    </comment>
    <comment ref="H139" authorId="0" shapeId="0" xr:uid="{00000000-0006-0000-0200-00000E000000}">
      <text>
        <r>
          <rPr>
            <sz val="11"/>
            <color theme="1"/>
            <rFont val="Calibri"/>
            <family val="2"/>
            <scheme val="minor"/>
          </rPr>
          <t>Sam Bradshaw:
3Q MC</t>
        </r>
      </text>
    </comment>
    <comment ref="J139" authorId="0" shapeId="0" xr:uid="{00000000-0006-0000-0200-00000F000000}">
      <text>
        <r>
          <rPr>
            <sz val="11"/>
            <color theme="1"/>
            <rFont val="Calibri"/>
            <family val="2"/>
            <scheme val="minor"/>
          </rPr>
          <t>Sam Bradshaw:
AR</t>
        </r>
      </text>
    </comment>
    <comment ref="K139" authorId="0" shapeId="0" xr:uid="{00000000-0006-0000-0200-000010000000}">
      <text>
        <r>
          <rPr>
            <sz val="11"/>
            <color theme="1"/>
            <rFont val="Calibri"/>
            <family val="2"/>
            <scheme val="minor"/>
          </rPr>
          <t>Sam Bradshaw:
1H Pres</t>
        </r>
      </text>
    </comment>
    <comment ref="L139" authorId="0" shapeId="0" xr:uid="{00000000-0006-0000-0200-000011000000}">
      <text>
        <r>
          <rPr>
            <sz val="11"/>
            <color theme="1"/>
            <rFont val="Calibri"/>
            <family val="2"/>
            <scheme val="minor"/>
          </rPr>
          <t>Sam Bradshaw:
AR</t>
        </r>
      </text>
    </comment>
    <comment ref="M140" authorId="0" shapeId="0" xr:uid="{00000000-0006-0000-0200-000012000000}">
      <text>
        <r>
          <rPr>
            <sz val="11"/>
            <color theme="1"/>
            <rFont val="Calibri"/>
            <family val="2"/>
            <scheme val="minor"/>
          </rPr>
          <t>Sam Bradshaw:
150 Tables, 240 Automatic Table Games</t>
        </r>
      </text>
    </comment>
    <comment ref="F142" authorId="0" shapeId="0" xr:uid="{00000000-0006-0000-0200-000013000000}">
      <text>
        <r>
          <rPr>
            <sz val="11"/>
            <color theme="1"/>
            <rFont val="Calibri"/>
            <family val="2"/>
            <scheme val="minor"/>
          </rPr>
          <t>Sam Bradshaw:
Says 900 but assumed this includes ATG's</t>
        </r>
      </text>
    </comment>
    <comment ref="Q165" authorId="0" shapeId="0" xr:uid="{00000000-0006-0000-0200-000014000000}">
      <text>
        <r>
          <rPr>
            <sz val="11"/>
            <color theme="1"/>
            <rFont val="Calibri"/>
            <family val="2"/>
            <scheme val="minor"/>
          </rPr>
          <t>Sam Bradshaw:
approx 9m above theoretical</t>
        </r>
      </text>
    </comment>
    <comment ref="W175" authorId="0" shapeId="0" xr:uid="{00000000-0006-0000-0200-000015000000}">
      <text>
        <r>
          <rPr>
            <sz val="11"/>
            <color theme="1"/>
            <rFont val="Calibri"/>
            <family val="2"/>
            <scheme val="minor"/>
          </rPr>
          <t>Sam Bradshaw:
Grand roughly 20m rev p.a.</t>
        </r>
      </text>
    </comment>
    <comment ref="S177" authorId="0" shapeId="0" xr:uid="{00000000-0006-0000-0200-000016000000}">
      <text>
        <r>
          <rPr>
            <sz val="11"/>
            <color theme="1"/>
            <rFont val="Calibri"/>
            <family val="2"/>
            <scheme val="minor"/>
          </rPr>
          <t>Sam Bradshaw:
Horizon hotel from Aug
Horizon Hotel Formally opened on 1 August 2024. 303 room 5-star hotel connected to the NZICC and the SkyCity Auckland precinct.
 Forecast to provide ~$8m EBITDA contribution to FY25.</t>
        </r>
      </text>
    </comment>
    <comment ref="W177" authorId="0" shapeId="0" xr:uid="{00000000-0006-0000-0200-000017000000}">
      <text>
        <r>
          <rPr>
            <sz val="11"/>
            <color theme="1"/>
            <rFont val="Calibri"/>
            <family val="2"/>
            <scheme val="minor"/>
          </rPr>
          <t>Sam Bradshaw:
35 - 5m for Grand</t>
        </r>
      </text>
    </comment>
    <comment ref="X177" authorId="0" shapeId="0" xr:uid="{00000000-0006-0000-0200-000018000000}">
      <text>
        <r>
          <rPr>
            <sz val="11"/>
            <color theme="1"/>
            <rFont val="Calibri"/>
            <family val="2"/>
            <scheme val="minor"/>
          </rPr>
          <t>Sam Bradshaw:
36 - 10m for Grand</t>
        </r>
      </text>
    </comment>
    <comment ref="R237" authorId="0" shapeId="0" xr:uid="{00000000-0006-0000-0200-000019000000}">
      <text>
        <r>
          <rPr>
            <sz val="11"/>
            <color theme="1"/>
            <rFont val="Calibri"/>
            <family val="2"/>
            <scheme val="minor"/>
          </rPr>
          <t>Sam Bradshaw:
Casino Duty
https://skycityentertainmentgroup.com/media/3669/20240222-nzx-asx-update-on-sa-casino-duty-dispute.pdf</t>
        </r>
      </text>
    </comment>
    <comment ref="U245" authorId="0" shapeId="0" xr:uid="{00000000-0006-0000-0200-00001A000000}">
      <text>
        <r>
          <rPr>
            <sz val="11"/>
            <color theme="1"/>
            <rFont val="Calibri"/>
            <family val="2"/>
            <scheme val="minor"/>
          </rPr>
          <t>Sam Bradshaw:
NZICC preopening</t>
        </r>
      </text>
    </comment>
    <comment ref="T247" authorId="0" shapeId="0" xr:uid="{00000000-0006-0000-0200-00001B000000}">
      <text>
        <r>
          <rPr>
            <sz val="11"/>
            <color theme="1"/>
            <rFont val="Calibri"/>
            <family val="2"/>
            <scheme val="minor"/>
          </rPr>
          <t>Sam Bradshaw:
18m of transformation costs</t>
        </r>
      </text>
    </comment>
    <comment ref="B276" authorId="0" shapeId="0" xr:uid="{00000000-0006-0000-0200-00001C000000}">
      <text>
        <r>
          <rPr>
            <sz val="11"/>
            <color theme="1"/>
            <rFont val="Calibri"/>
            <family val="2"/>
            <scheme val="minor"/>
          </rPr>
          <t>Sam Bradshaw:
From Segments</t>
        </r>
      </text>
    </comment>
    <comment ref="L278" authorId="0" shapeId="0" xr:uid="{00000000-0006-0000-0200-00001D000000}">
      <text>
        <r>
          <rPr>
            <sz val="11"/>
            <color theme="1"/>
            <rFont val="Calibri"/>
            <family val="2"/>
            <scheme val="minor"/>
          </rPr>
          <t>Sam Bradshaw:
bonusing not split from costs prior to date</t>
        </r>
      </text>
    </comment>
    <comment ref="T315" authorId="0" shapeId="0" xr:uid="{00000000-0006-0000-0200-00001E000000}">
      <text>
        <r>
          <rPr>
            <sz val="11"/>
            <color theme="1"/>
            <rFont val="Calibri"/>
            <family val="2"/>
            <scheme val="minor"/>
          </rPr>
          <t>Sam Bradshaw:
Little executive KPI's met</t>
        </r>
      </text>
    </comment>
    <comment ref="B324" authorId="0" shapeId="0" xr:uid="{00000000-0006-0000-0200-00001F000000}">
      <text>
        <r>
          <rPr>
            <sz val="11"/>
            <color theme="1"/>
            <rFont val="Calibri"/>
            <family val="2"/>
            <scheme val="minor"/>
          </rPr>
          <t>Sam Bradshaw:
Includes Online (ex GiG)</t>
        </r>
      </text>
    </comment>
    <comment ref="U359" authorId="0" shapeId="0" xr:uid="{00000000-0006-0000-0200-000020000000}">
      <text>
        <r>
          <rPr>
            <sz val="11"/>
            <color theme="1"/>
            <rFont val="Calibri"/>
            <family val="2"/>
            <scheme val="minor"/>
          </rPr>
          <t>Sam Bradshaw:
Adelaide Transformation Costs</t>
        </r>
      </text>
    </comment>
    <comment ref="U363" authorId="0" shapeId="0" xr:uid="{00000000-0006-0000-0200-000021000000}">
      <text>
        <r>
          <rPr>
            <sz val="11"/>
            <color theme="1"/>
            <rFont val="Calibri"/>
            <family val="2"/>
            <scheme val="minor"/>
          </rPr>
          <t>Sam Bradshaw:
Adelaide Transformation Costs</t>
        </r>
      </text>
    </comment>
    <comment ref="U367" authorId="0" shapeId="0" xr:uid="{00000000-0006-0000-0200-000022000000}">
      <text>
        <r>
          <rPr>
            <sz val="11"/>
            <color theme="1"/>
            <rFont val="Calibri"/>
            <family val="2"/>
            <scheme val="minor"/>
          </rPr>
          <t>Sam Bradshaw:
Adelaide Transformation Costs</t>
        </r>
      </text>
    </comment>
    <comment ref="W367" authorId="2" shapeId="0" xr:uid="{00000000-0006-0000-0200-000023000000}">
      <text>
        <r>
          <rPr>
            <sz val="11"/>
            <color theme="1"/>
            <rFont val="Calibri"/>
            <family val="2"/>
            <scheme val="minor"/>
          </rPr>
          <t>Incl. ~$18m Grand disposal tax (NZ depreciation clawback; taxable even with ~nil book gain). Placeholder, band ~$10-30m. Booked as 1H27 cash (flows via CF r548); real cash likely FY28. Underlying NPAT untouched; reported only. (Segment rev/opex changes reverted per your instruction.)</t>
        </r>
      </text>
    </comment>
    <comment ref="B378" authorId="0" shapeId="0" xr:uid="{00000000-0006-0000-0200-000024000000}">
      <text>
        <r>
          <rPr>
            <sz val="11"/>
            <color theme="1"/>
            <rFont val="Calibri"/>
            <family val="2"/>
            <scheme val="minor"/>
          </rPr>
          <t>Sam Bradshaw:
Includes ROA Assets</t>
        </r>
      </text>
    </comment>
    <comment ref="B379" authorId="0" shapeId="0" xr:uid="{00000000-0006-0000-0200-000025000000}">
      <text>
        <r>
          <rPr>
            <sz val="11"/>
            <color theme="1"/>
            <rFont val="Calibri"/>
            <family val="2"/>
            <scheme val="minor"/>
          </rPr>
          <t>Sam Bradshaw:
Includes ROA Assets</t>
        </r>
      </text>
    </comment>
    <comment ref="W425" authorId="3" shapeId="0" xr:uid="{00000000-0006-0000-0200-000026000000}">
      <text>
        <r>
          <rPr>
            <sz val="11"/>
            <color theme="1"/>
            <rFont val="Calibri"/>
            <family val="2"/>
            <scheme val="minor"/>
          </rPr>
          <t>Fixed (forecast): original path was 7.3% FY27 / 7.5% FY28, dropping to 5.75% FY29+. FY27/FY28 were ~2% above SKC disclosed ~5.3% cost of debt and above your own long-run 5.75%. Flattened the whole forecast to 5.75% (your long-run; slightly above spot for refi headroom). Historical U/V untouched (computed from actuals). Impact: FY27 net interest ~$33.4m-&gt;~$26m, FY28 ~$27.3m-&gt;~$21m; NPAT ~+$5m FY27, ~+$4.5m FY28. CAUTION for Rev Tables: your "Old" forecast likely used the higher rate, so part of the New-vs-Old NPAT upgrade is this rate correction, not just the deal.</t>
        </r>
      </text>
    </comment>
    <comment ref="P439" authorId="0" shapeId="0" xr:uid="{00000000-0006-0000-0200-000027000000}">
      <text>
        <r>
          <rPr>
            <sz val="11"/>
            <color theme="1"/>
            <rFont val="Calibri"/>
            <family val="2"/>
            <scheme val="minor"/>
          </rPr>
          <t>Sam Bradshaw:
offset by capitalised interest</t>
        </r>
      </text>
    </comment>
    <comment ref="T439" authorId="0" shapeId="0" xr:uid="{00000000-0006-0000-0200-000028000000}">
      <text>
        <r>
          <rPr>
            <sz val="11"/>
            <color theme="1"/>
            <rFont val="Calibri"/>
            <family val="2"/>
            <scheme val="minor"/>
          </rPr>
          <t>Sam Bradshaw:
Impacted by Casino Duty</t>
        </r>
      </text>
    </comment>
    <comment ref="W460" authorId="4" shapeId="0" xr:uid="{00000000-0006-0000-0200-000029000000}">
      <text>
        <r>
          <rPr>
            <sz val="11"/>
            <color theme="1"/>
            <rFont val="Calibri"/>
            <family val="2"/>
            <scheme val="minor"/>
          </rPr>
          <t>Fixed: DPO was hardcoded 120 days; reset to ~85 (FY26 actual — 2H26 formula-implied ~84.5d, FY26 full-year ~86d). Removes the ~$62m payables balloon and the one-off ~$64m 1H27 WC inflow. FY27 net debt rises ~$264.6m -&gt; ~$327m (~1.7x). BS stays balanced.</t>
        </r>
      </text>
    </comment>
    <comment ref="B488" authorId="0" shapeId="0" xr:uid="{00000000-0006-0000-0200-00002A000000}">
      <text>
        <r>
          <rPr>
            <sz val="11"/>
            <color theme="1"/>
            <rFont val="Calibri"/>
            <family val="2"/>
            <scheme val="minor"/>
          </rPr>
          <t>Sam Bradshaw:
Weighted average number of ordinary shares used as the
denominator in calculating basic and diluted earnings per share</t>
        </r>
      </text>
    </comment>
    <comment ref="T511" authorId="0" shapeId="0" xr:uid="{00000000-0006-0000-0200-00002B000000}">
      <text>
        <r>
          <rPr>
            <sz val="11"/>
            <color theme="1"/>
            <rFont val="Calibri"/>
            <family val="2"/>
            <scheme val="minor"/>
          </rPr>
          <t>Sam Bradshaw:
Underlying</t>
        </r>
      </text>
    </comment>
    <comment ref="G554" authorId="0" shapeId="0" xr:uid="{00000000-0006-0000-0200-00002C000000}">
      <text>
        <r>
          <rPr>
            <sz val="11"/>
            <color theme="1"/>
            <rFont val="Calibri"/>
            <family val="2"/>
            <scheme val="minor"/>
          </rPr>
          <t>Sam Bradshaw:
incl. discontinued ops</t>
        </r>
      </text>
    </comment>
    <comment ref="B592" authorId="0" shapeId="0" xr:uid="{00000000-0006-0000-0200-00002D000000}">
      <text>
        <r>
          <rPr>
            <sz val="11"/>
            <color theme="1"/>
            <rFont val="Calibri"/>
            <family val="2"/>
            <scheme val="minor"/>
          </rPr>
          <t>Sam Bradshaw:
Dep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Claude — Adelaide tax losses</author>
    <author>Sam Bradshaw</author>
  </authors>
  <commentList>
    <comment ref="U118" authorId="0" shapeId="0" xr:uid="{00000000-0006-0000-0300-000001000000}">
      <text>
        <r>
          <rPr>
            <sz val="11"/>
            <color theme="1"/>
            <rFont val="Calibri"/>
            <family val="2"/>
            <scheme val="minor"/>
          </rPr>
          <t>Per your note B73 (HY). Losses are UNRECOGNISED, so under AASB 112 there is no deferred-tax asset and no benefit in the P&amp;L tax charge — Adelaide/group reported ETR stays 30% (Option A, simplest + correct). The ~A$180m shelters FUTURE Adelaide CASH tax once Adelaide is taxable (subject to continuity tests), a balance-sheet/cash-tax item, not an ETR item. To model the cash benefit (Option B) you would need an Adelaide cumulative-taxable-income tracker sheltering cash tax to ~nil until the ~A$180m is used, with a DTL building for the book-vs-cash gap; happy to wire that if wanted. FX: losses are A$ — translate at your cross-rate.</t>
        </r>
      </text>
    </comment>
    <comment ref="D197" authorId="1" shapeId="0" xr:uid="{00000000-0006-0000-0300-000002000000}">
      <text>
        <r>
          <rPr>
            <sz val="11"/>
            <color theme="1"/>
            <rFont val="Calibri"/>
            <family val="2"/>
            <scheme val="minor"/>
          </rPr>
          <t>Sam Bradshaw:
Free cash flow = Operating cash flow less capex and intangibles capex (FY!104 + 107 + 108).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F16" authorId="0" shapeId="0" xr:uid="{00000000-0006-0000-0D00-000001000000}">
      <text>
        <r>
          <rPr>
            <sz val="11"/>
            <color theme="1"/>
            <rFont val="Calibri"/>
            <family val="2"/>
            <scheme val="minor"/>
          </rPr>
          <t xml:space="preserve">Sam Bradshaw:
Ex Darwin in 2018
</t>
        </r>
      </text>
    </comment>
    <comment ref="F23" authorId="0" shapeId="0" xr:uid="{00000000-0006-0000-0D00-000002000000}">
      <text>
        <r>
          <rPr>
            <sz val="11"/>
            <color theme="1"/>
            <rFont val="Calibri"/>
            <family val="2"/>
            <scheme val="minor"/>
          </rPr>
          <t xml:space="preserve">Sam Bradshaw:
Ex Darwin in 2018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F5" authorId="0" shapeId="0" xr:uid="{00000000-0006-0000-0E00-000001000000}">
      <text>
        <r>
          <rPr>
            <sz val="11"/>
            <color theme="1"/>
            <rFont val="Calibri"/>
            <family val="2"/>
            <scheme val="minor"/>
          </rPr>
          <t>Sam Bradshaw:
Incl. Darwin</t>
        </r>
      </text>
    </comment>
    <comment ref="P6" authorId="0" shapeId="0" xr:uid="{00000000-0006-0000-0E00-000002000000}">
      <text>
        <r>
          <rPr>
            <sz val="11"/>
            <color theme="1"/>
            <rFont val="Calibri"/>
            <family val="2"/>
            <scheme val="minor"/>
          </rPr>
          <t>Sam Bradshaw:
ID</t>
        </r>
      </text>
    </comment>
    <comment ref="H9" authorId="0" shapeId="0" xr:uid="{00000000-0006-0000-0E00-000003000000}">
      <text>
        <r>
          <rPr>
            <sz val="11"/>
            <color theme="1"/>
            <rFont val="Calibri"/>
            <family val="2"/>
            <scheme val="minor"/>
          </rPr>
          <t xml:space="preserve">Sam Bradshaw:
1H21 Pres
</t>
        </r>
      </text>
    </comment>
    <comment ref="N9" authorId="0" shapeId="0" xr:uid="{00000000-0006-0000-0E00-000004000000}">
      <text>
        <r>
          <rPr>
            <sz val="11"/>
            <color theme="1"/>
            <rFont val="Calibri"/>
            <family val="2"/>
            <scheme val="minor"/>
          </rPr>
          <t xml:space="preserve">Sam Bradshaw:
1H21 Pres
</t>
        </r>
      </text>
    </comment>
    <comment ref="F10" authorId="0" shapeId="0" xr:uid="{00000000-0006-0000-0E00-000005000000}">
      <text>
        <r>
          <rPr>
            <sz val="11"/>
            <color theme="1"/>
            <rFont val="Calibri"/>
            <family val="2"/>
            <scheme val="minor"/>
          </rPr>
          <t>Sam Bradshaw:
AR</t>
        </r>
      </text>
    </comment>
    <comment ref="H10" authorId="0" shapeId="0" xr:uid="{00000000-0006-0000-0E00-000006000000}">
      <text>
        <r>
          <rPr>
            <sz val="11"/>
            <color theme="1"/>
            <rFont val="Calibri"/>
            <family val="2"/>
            <scheme val="minor"/>
          </rPr>
          <t>Sam Bradshaw:
AR</t>
        </r>
      </text>
    </comment>
    <comment ref="J10" authorId="0" shapeId="0" xr:uid="{00000000-0006-0000-0E00-000007000000}">
      <text>
        <r>
          <rPr>
            <sz val="11"/>
            <color theme="1"/>
            <rFont val="Calibri"/>
            <family val="2"/>
            <scheme val="minor"/>
          </rPr>
          <t>Sam Bradshaw:
AR</t>
        </r>
      </text>
    </comment>
    <comment ref="L10" authorId="0" shapeId="0" xr:uid="{00000000-0006-0000-0E00-000008000000}">
      <text>
        <r>
          <rPr>
            <sz val="11"/>
            <color theme="1"/>
            <rFont val="Calibri"/>
            <family val="2"/>
            <scheme val="minor"/>
          </rPr>
          <t>Sam Bradshaw:
AR</t>
        </r>
      </text>
    </comment>
    <comment ref="N10" authorId="0" shapeId="0" xr:uid="{00000000-0006-0000-0E00-000009000000}">
      <text>
        <r>
          <rPr>
            <sz val="11"/>
            <color theme="1"/>
            <rFont val="Calibri"/>
            <family val="2"/>
            <scheme val="minor"/>
          </rPr>
          <t>Sam Bradshaw:
AR</t>
        </r>
      </text>
    </comment>
    <comment ref="P10" authorId="0" shapeId="0" xr:uid="{00000000-0006-0000-0E00-00000A000000}">
      <text>
        <r>
          <rPr>
            <sz val="11"/>
            <color theme="1"/>
            <rFont val="Calibri"/>
            <family val="2"/>
            <scheme val="minor"/>
          </rPr>
          <t>Sam Bradshaw:
AR</t>
        </r>
      </text>
    </comment>
    <comment ref="P13" authorId="0" shapeId="0" xr:uid="{00000000-0006-0000-0E00-00000B000000}">
      <text>
        <r>
          <rPr>
            <sz val="11"/>
            <color theme="1"/>
            <rFont val="Calibri"/>
            <family val="2"/>
            <scheme val="minor"/>
          </rPr>
          <t xml:space="preserve">Sam Bradshaw:
ID
</t>
        </r>
      </text>
    </comment>
    <comment ref="H16" authorId="0" shapeId="0" xr:uid="{00000000-0006-0000-0E00-00000C000000}">
      <text>
        <r>
          <rPr>
            <sz val="11"/>
            <color theme="1"/>
            <rFont val="Calibri"/>
            <family val="2"/>
            <scheme val="minor"/>
          </rPr>
          <t xml:space="preserve">Sam Bradshaw:
1H21 Pres
</t>
        </r>
      </text>
    </comment>
    <comment ref="N16" authorId="0" shapeId="0" xr:uid="{00000000-0006-0000-0E00-00000D000000}">
      <text>
        <r>
          <rPr>
            <sz val="11"/>
            <color theme="1"/>
            <rFont val="Calibri"/>
            <family val="2"/>
            <scheme val="minor"/>
          </rPr>
          <t xml:space="preserve">Sam Bradshaw:
1H21 Pres
</t>
        </r>
      </text>
    </comment>
    <comment ref="F17" authorId="0" shapeId="0" xr:uid="{00000000-0006-0000-0E00-00000E000000}">
      <text>
        <r>
          <rPr>
            <sz val="11"/>
            <color theme="1"/>
            <rFont val="Calibri"/>
            <family val="2"/>
            <scheme val="minor"/>
          </rPr>
          <t>Sam Bradshaw:
AR</t>
        </r>
      </text>
    </comment>
    <comment ref="H17" authorId="0" shapeId="0" xr:uid="{00000000-0006-0000-0E00-00000F000000}">
      <text>
        <r>
          <rPr>
            <sz val="11"/>
            <color theme="1"/>
            <rFont val="Calibri"/>
            <family val="2"/>
            <scheme val="minor"/>
          </rPr>
          <t>Sam Bradshaw:
AR</t>
        </r>
      </text>
    </comment>
    <comment ref="J17" authorId="0" shapeId="0" xr:uid="{00000000-0006-0000-0E00-000010000000}">
      <text>
        <r>
          <rPr>
            <sz val="11"/>
            <color theme="1"/>
            <rFont val="Calibri"/>
            <family val="2"/>
            <scheme val="minor"/>
          </rPr>
          <t>Sam Bradshaw:
AR</t>
        </r>
      </text>
    </comment>
    <comment ref="L17" authorId="0" shapeId="0" xr:uid="{00000000-0006-0000-0E00-000011000000}">
      <text>
        <r>
          <rPr>
            <sz val="11"/>
            <color theme="1"/>
            <rFont val="Calibri"/>
            <family val="2"/>
            <scheme val="minor"/>
          </rPr>
          <t>Sam Bradshaw:
AR</t>
        </r>
      </text>
    </comment>
    <comment ref="N17" authorId="0" shapeId="0" xr:uid="{00000000-0006-0000-0E00-000012000000}">
      <text>
        <r>
          <rPr>
            <sz val="11"/>
            <color theme="1"/>
            <rFont val="Calibri"/>
            <family val="2"/>
            <scheme val="minor"/>
          </rPr>
          <t>Sam Bradshaw:
AR</t>
        </r>
      </text>
    </comment>
    <comment ref="P17" authorId="0" shapeId="0" xr:uid="{00000000-0006-0000-0E00-000013000000}">
      <text>
        <r>
          <rPr>
            <sz val="11"/>
            <color theme="1"/>
            <rFont val="Calibri"/>
            <family val="2"/>
            <scheme val="minor"/>
          </rPr>
          <t>Sam Bradshaw:
AR
34 in ID</t>
        </r>
      </text>
    </comment>
    <comment ref="N30" authorId="0" shapeId="0" xr:uid="{00000000-0006-0000-0E00-000014000000}">
      <text>
        <r>
          <rPr>
            <sz val="11"/>
            <color theme="1"/>
            <rFont val="Calibri"/>
            <family val="2"/>
            <scheme val="minor"/>
          </rPr>
          <t>Sam Bradshaw:
1H21 pres
750 leased by SKC</t>
        </r>
      </text>
    </comment>
    <comment ref="H31" authorId="0" shapeId="0" xr:uid="{00000000-0006-0000-0E00-000015000000}">
      <text>
        <r>
          <rPr>
            <sz val="11"/>
            <color theme="1"/>
            <rFont val="Calibri"/>
            <family val="2"/>
            <scheme val="minor"/>
          </rPr>
          <t>Sam Bradshaw:
AR</t>
        </r>
      </text>
    </comment>
    <comment ref="P31" authorId="0" shapeId="0" xr:uid="{00000000-0006-0000-0E00-000016000000}">
      <text>
        <r>
          <rPr>
            <sz val="11"/>
            <color theme="1"/>
            <rFont val="Calibri"/>
            <family val="2"/>
            <scheme val="minor"/>
          </rPr>
          <t>Sam Bradshaw:
ID 
Includes developments</t>
        </r>
      </text>
    </comment>
    <comment ref="P34" authorId="0" shapeId="0" xr:uid="{00000000-0006-0000-0E00-000017000000}">
      <text>
        <r>
          <rPr>
            <sz val="11"/>
            <color theme="1"/>
            <rFont val="Calibri"/>
            <family val="2"/>
            <scheme val="minor"/>
          </rPr>
          <t>Sam Bradshaw:
Exclusive Casino Venue Licence</t>
        </r>
      </text>
    </comment>
    <comment ref="P35" authorId="0" shapeId="0" xr:uid="{00000000-0006-0000-0E00-000018000000}">
      <text>
        <r>
          <rPr>
            <sz val="11"/>
            <color theme="1"/>
            <rFont val="Calibri"/>
            <family val="2"/>
            <scheme val="minor"/>
          </rPr>
          <t>Sam Bradshaw:
Exclusive Casino Venue Licence</t>
        </r>
      </text>
    </comment>
    <comment ref="P36" authorId="0" shapeId="0" xr:uid="{00000000-0006-0000-0E00-000019000000}">
      <text>
        <r>
          <rPr>
            <sz val="11"/>
            <color theme="1"/>
            <rFont val="Calibri"/>
            <family val="2"/>
            <scheme val="minor"/>
          </rPr>
          <t>Sam Bradshaw:
Exclusive Casino Venue Licence</t>
        </r>
      </text>
    </comment>
    <comment ref="P37" authorId="0" shapeId="0" xr:uid="{00000000-0006-0000-0E00-00001A000000}">
      <text>
        <r>
          <rPr>
            <sz val="11"/>
            <color theme="1"/>
            <rFont val="Calibri"/>
            <family val="2"/>
            <scheme val="minor"/>
          </rPr>
          <t>Sam Bradshaw:
Casino licencing agreement to 2085, with exclusivity to 2035</t>
        </r>
      </text>
    </comment>
    <comment ref="P38" authorId="0" shapeId="0" xr:uid="{00000000-0006-0000-0E00-00001B000000}">
      <text>
        <r>
          <rPr>
            <sz val="11"/>
            <color theme="1"/>
            <rFont val="Calibri"/>
            <family val="2"/>
            <scheme val="minor"/>
          </rPr>
          <t>Sam Bradshaw:
B2C Gaming service licence</t>
        </r>
      </text>
    </comment>
    <comment ref="G87" authorId="0" shapeId="0" xr:uid="{00000000-0006-0000-0E00-00001C000000}">
      <text>
        <r>
          <rPr>
            <sz val="11"/>
            <color theme="1"/>
            <rFont val="Calibri"/>
            <family val="2"/>
            <scheme val="minor"/>
          </rPr>
          <t>Sam Bradshaw:
1H23</t>
        </r>
      </text>
    </comment>
    <comment ref="N123" authorId="0" shapeId="0" xr:uid="{00000000-0006-0000-0E00-00001D000000}">
      <text>
        <r>
          <rPr>
            <sz val="11"/>
            <color theme="1"/>
            <rFont val="Calibri"/>
            <family val="2"/>
            <scheme val="minor"/>
          </rPr>
          <t>Sam Bradshaw:
fy23 Id says 41?</t>
        </r>
      </text>
    </comment>
    <comment ref="O123" authorId="0" shapeId="0" xr:uid="{00000000-0006-0000-0E00-00001E000000}">
      <text>
        <r>
          <rPr>
            <sz val="11"/>
            <color theme="1"/>
            <rFont val="Calibri"/>
            <family val="2"/>
            <scheme val="minor"/>
          </rPr>
          <t>Sam Bradshaw:
FY23 ID</t>
        </r>
      </text>
    </comment>
  </commentList>
</comments>
</file>

<file path=xl/sharedStrings.xml><?xml version="1.0" encoding="utf-8"?>
<sst xmlns="http://schemas.openxmlformats.org/spreadsheetml/2006/main" count="5816" uniqueCount="1664">
  <si>
    <t>IB Reported Seperately &amp; Ex GST Calcs</t>
  </si>
  <si>
    <t>Restated</t>
  </si>
  <si>
    <t>FY25 EBITDA</t>
  </si>
  <si>
    <t>FY26 EBITDA</t>
  </si>
  <si>
    <t>FY27 EBITDA</t>
  </si>
  <si>
    <t>FY28 EBITDA</t>
  </si>
  <si>
    <t>Checks</t>
  </si>
  <si>
    <t>X</t>
  </si>
  <si>
    <t>Valuation</t>
  </si>
  <si>
    <t>VAL</t>
  </si>
  <si>
    <t>Period End</t>
  </si>
  <si>
    <t>Half</t>
  </si>
  <si>
    <t>FY</t>
  </si>
  <si>
    <t>FY Year</t>
  </si>
  <si>
    <t>Financial Year</t>
  </si>
  <si>
    <t>Actual/Estimate</t>
  </si>
  <si>
    <t>A</t>
  </si>
  <si>
    <t>FOREIGN EXCHANGE</t>
  </si>
  <si>
    <t>Days in period</t>
  </si>
  <si>
    <t>Foreign exchange (NZDAUD) - Average</t>
  </si>
  <si>
    <t>Reported Average</t>
  </si>
  <si>
    <t>NZD/AUD</t>
  </si>
  <si>
    <t>Consensus</t>
  </si>
  <si>
    <t>AUD/NZD</t>
  </si>
  <si>
    <t>GUIDANCE/COMMENTARY</t>
  </si>
  <si>
    <t>FY26 Result</t>
  </si>
  <si>
    <t>EBITDA</t>
  </si>
  <si>
    <t>FY27 EBITDA triangulates to ~$185–190m ex-online: 4Q26 run-rate of just under $40m/qtr continuing into 1Q27 → ~$156–160m annualised, plus $30m net cost-out — management didn't dispute this bridge [Directional]. Then subtract the online launch drag and part-year Grand removal to land the number. Skew 1H-soft (weak run-rate persists early).</t>
  </si>
  <si>
    <t>COST OUT</t>
  </si>
  <si>
    <t>$30m net realised FY27 → $70m annualised FY28. Both net [Guidance].</t>
  </si>
  <si>
    <t>FY27 is organisational/headcount-led; FY28 uplift skews to external spend, process improvement and revenue [Directional].</t>
  </si>
  <si>
    <t>Adelaide allocation included, but the majority is NZ [Directional].</t>
  </si>
  <si>
    <t>One-off restructuring costs hit reported (not underlying) FY27 — unquantified; you need a below-EBITDA charge (200–250 NZ roles)</t>
  </si>
  <si>
    <t>AUCKLAND</t>
  </si>
  <si>
    <t>Auckland gaming: rebased, not recovering — a full year of MCP is lapped; model growth off the new base, not a snap-back [Directional].</t>
  </si>
  <si>
    <t>Non-gaming grows faster than gaming, at lower margin → mix is a structural margin drag even as revenue grows [Directional].</t>
  </si>
  <si>
    <t>Auckland margin "improves demonstrably" FY27 on the NZICC full-year/conference ramp — but stated before any Grand sale [Directional].</t>
  </si>
  <si>
    <t>Hotels: growth is now rate-led (occupancy already &gt;80% peak); F&amp;B margin ~20% [Directional].</t>
  </si>
  <si>
    <t>Premium tables: modest/rebased, not a rebuild — model cautiously [Directional].</t>
  </si>
  <si>
    <t>CRL opens 13 Sep 2026 — precinct visitation catalyst into FY27 [Directional].</t>
  </si>
  <si>
    <t>NZICC modest EBITDA loss FY27, breakeven FY28 (breakeven slipped a year) [Guidance].</t>
  </si>
  <si>
    <t>FY27 carries a full year of NZICC operating cost but loses the non-repeating pre-opening drag [Directional].</t>
  </si>
  <si>
    <t>ADELAIDE</t>
  </si>
  <si>
    <t>Revenue ~flat A$ base; growth capped by weak premium play;</t>
  </si>
  <si>
    <t>MCP not in 1H27; timing unconfirmed — model no earlier than 2H27, likely FY28 [Guidance].</t>
  </si>
  <si>
    <t>When MCP lands: ~17.5% (midpoint) hit to uncarded revenue; uncarded is currently "the majority" of Adelaide revenue</t>
  </si>
  <si>
    <t>2H26 cost-out (A$10m) and ~A$9m AML/host labour are now in the run-rate [Directional].</t>
  </si>
  <si>
    <t>B3 completes early FY28 → B3 add-back continues through FY27 and into part-FY28 [Guidance].</t>
  </si>
  <si>
    <t>ONLINE</t>
  </si>
  <si>
    <t>Regulated market live by 1 June 2027; could open 2H FY27 [Guidance].</t>
  </si>
  <si>
    <t>First months are an EBITDA drag — model a widening/investment-led loss on launch [Directional].</t>
  </si>
  <si>
    <t>Licence cost: unquantified, a separate capital call, excluded from capex [Your call].</t>
  </si>
  <si>
    <t>D&amp;A</t>
  </si>
  <si>
    <t>Steps up FY27 on a full year of NZICC depreciation (~$750m asset base) [Directional].</t>
  </si>
  <si>
    <t>Adelaide D&amp;A eases — carrying value written down A$42.9m [Directional].</t>
  </si>
  <si>
    <t>Capex</t>
  </si>
  <si>
    <t>FY27 $80–100m, incl. $10m final NZICC retention + $8m Adelaide railway building + catch-up on Auckland gaming floors / F&amp;B; excludes online licence [Guidance].</t>
  </si>
  <si>
    <t>FY28–29: catch-up capex falls away (direction lower) [Directional].</t>
  </si>
  <si>
    <t>Watch a capex↔opex classification shift as tech/AI moves to leased vs in-house dev [Directional].</t>
  </si>
  <si>
    <t>Balance sheet / capital allocation</t>
  </si>
  <si>
    <t>Asset sales gross $275–300m, cash in FY27: 99 Albert/Victoria $74.5m unconditional, settles Sep-26; Grand non-binding, update end-Sep, settles "later this year" [Guidance].</t>
  </si>
  <si>
    <t>EBITDA to remove: Grand ~high-single-digit $m p.a. (part-year on settlement); commercial offices ~$1–2m (immaterial) [Guidance].</t>
  </si>
  <si>
    <t>Grand tax leakage: depreciation clawback (held at cost) "not a small number"; cash likely FY28 (via FY27 return) → net proceeds &lt; gross, and later</t>
  </si>
  <si>
    <t>Reported vs underlying (FY27+ bridge)</t>
  </si>
  <si>
    <t>Add-backs continuing: B3 (to early FY28), CBS-related, restructuring charge [Guidance/Your call].</t>
  </si>
  <si>
    <t>Cash items to model separately from P&amp;L: CBS fine A$21m in 3 instalments over 2yrs (NPV already provisioned; model the cash); Grand tax clawback (FY28 cash) [Guidance].</t>
  </si>
  <si>
    <t>New significant items to expect: Grand sale gain/loss + tax clawback on settlement; FY27 restructuring charge</t>
  </si>
  <si>
    <t>Adelaide ETR: ~A$180m unrecognised tax losses shelter Adelaide tax</t>
  </si>
  <si>
    <t>LAND BASED DOMESTIC SEGMENTS REVENUE</t>
  </si>
  <si>
    <t>add in other lines</t>
  </si>
  <si>
    <t>Auckland</t>
  </si>
  <si>
    <t>Slots</t>
  </si>
  <si>
    <t>NZ$m</t>
  </si>
  <si>
    <t>Tables</t>
  </si>
  <si>
    <t>Premium Tables</t>
  </si>
  <si>
    <t>Non Gaming</t>
  </si>
  <si>
    <t>Total Domestic</t>
  </si>
  <si>
    <t>Hamilton &amp; Queenstown</t>
  </si>
  <si>
    <t>Adelaide</t>
  </si>
  <si>
    <t>SLOTS REVENUE MODELLING</t>
  </si>
  <si>
    <t>CUT</t>
  </si>
  <si>
    <t>Number of Slots</t>
  </si>
  <si>
    <t>#</t>
  </si>
  <si>
    <t>Allowance</t>
  </si>
  <si>
    <t>Average Daily Revenue per Machine</t>
  </si>
  <si>
    <t>NZ$</t>
  </si>
  <si>
    <t>A$</t>
  </si>
  <si>
    <t>ADR Growth rates</t>
  </si>
  <si>
    <t>%</t>
  </si>
  <si>
    <t>Slots Revenue</t>
  </si>
  <si>
    <t>A$m</t>
  </si>
  <si>
    <t>Growth Rates</t>
  </si>
  <si>
    <t>TABLE GAMES REVENUE MODELLING</t>
  </si>
  <si>
    <t>Tables Combined</t>
  </si>
  <si>
    <t>Average Daily Revenue per Table</t>
  </si>
  <si>
    <t>ADR growth rates</t>
  </si>
  <si>
    <t>Table Revenue</t>
  </si>
  <si>
    <t>PREMIUM TABLES/EX VIP</t>
  </si>
  <si>
    <t>Premium Table Revenue</t>
  </si>
  <si>
    <t>NON GAMING REVENUE MODELLING</t>
  </si>
  <si>
    <t>Auckland Split</t>
  </si>
  <si>
    <t>Food &amp; Beverage</t>
  </si>
  <si>
    <t>Hotel</t>
  </si>
  <si>
    <t>Entertainment &amp; Other</t>
  </si>
  <si>
    <t>No Longer Drivers</t>
  </si>
  <si>
    <t>Sky Tower</t>
  </si>
  <si>
    <t>Car Park (model with 85% EBITDA margin)</t>
  </si>
  <si>
    <t>ICC (model with 0% EBITDA margin)</t>
  </si>
  <si>
    <t>Sub category Other</t>
  </si>
  <si>
    <t>Auckland Growth Rates</t>
  </si>
  <si>
    <t>Other</t>
  </si>
  <si>
    <t>Hamilton &amp; Queenstown Growth Rates</t>
  </si>
  <si>
    <t>Adelaide Split</t>
  </si>
  <si>
    <t>Adelaide Growth Rates</t>
  </si>
  <si>
    <t>Total Non-Gaming</t>
  </si>
  <si>
    <t>Total Non Gaming Growth Rates</t>
  </si>
  <si>
    <t>LAND BASED DOMESTIC SEGMENTS COSTS MODELLING</t>
  </si>
  <si>
    <t>REVENUE</t>
  </si>
  <si>
    <t>EXPENSES</t>
  </si>
  <si>
    <t>Rates</t>
  </si>
  <si>
    <t>NZ Casino duty</t>
  </si>
  <si>
    <t>NZ Problem Gambling Levy</t>
  </si>
  <si>
    <t>AUS Taxes</t>
  </si>
  <si>
    <t>Casino Taxes</t>
  </si>
  <si>
    <t>Underlying Opex</t>
  </si>
  <si>
    <t>Operating Cost Growth</t>
  </si>
  <si>
    <t>Total Opex</t>
  </si>
  <si>
    <t>Margin</t>
  </si>
  <si>
    <t>EBIT</t>
  </si>
  <si>
    <t>SKYCITY ONLINE</t>
  </si>
  <si>
    <t>Gaming Revenue - net of Jackpot &amp; Bonusing</t>
  </si>
  <si>
    <t>growth</t>
  </si>
  <si>
    <t>GiG costs</t>
  </si>
  <si>
    <t>as a proportion of revenue</t>
  </si>
  <si>
    <t>GST</t>
  </si>
  <si>
    <t>Gaming Revenue - Attributable to SkyCity</t>
  </si>
  <si>
    <t>Expenses</t>
  </si>
  <si>
    <t>margin</t>
  </si>
  <si>
    <t>GiG Equity Earnings</t>
  </si>
  <si>
    <t>EBITDA - incl. Equity Earnings</t>
  </si>
  <si>
    <t>SEGMENTS</t>
  </si>
  <si>
    <t>NORMALISED P&amp;L STATEMENT</t>
  </si>
  <si>
    <t>Segment Revenue - VIP IN LOCATIONS</t>
  </si>
  <si>
    <t xml:space="preserve">Adelaide </t>
  </si>
  <si>
    <t>Online (ex GiG)</t>
  </si>
  <si>
    <t>Other (balancing)</t>
  </si>
  <si>
    <t>Normalised  Revenue</t>
  </si>
  <si>
    <t>Corporate Costs</t>
  </si>
  <si>
    <t>Segment EBITDA - VIP IN LOCATIONS</t>
  </si>
  <si>
    <t>Online (from segments)</t>
  </si>
  <si>
    <t>Normalised  EBITDA</t>
  </si>
  <si>
    <t>Segment EBITDA Margins</t>
  </si>
  <si>
    <t>Total EBITDA Margin</t>
  </si>
  <si>
    <t>Normalised  EBIT</t>
  </si>
  <si>
    <t>Net Finance Costs</t>
  </si>
  <si>
    <t>NPBT</t>
  </si>
  <si>
    <t>Income Tax Expense</t>
  </si>
  <si>
    <t>Tax Rate</t>
  </si>
  <si>
    <t>Normalised NPAT</t>
  </si>
  <si>
    <t>Normlised EPS - diluted</t>
  </si>
  <si>
    <t>Normlised EPS - diluted - calced</t>
  </si>
  <si>
    <t>REPORTED P&amp;L STATEMENT</t>
  </si>
  <si>
    <t>Adjustments</t>
  </si>
  <si>
    <t>Reported Revenue</t>
  </si>
  <si>
    <t>Reported EBITDA</t>
  </si>
  <si>
    <t>Reported EBIT</t>
  </si>
  <si>
    <t>Noramlised NPAT</t>
  </si>
  <si>
    <t>Reported NPAT</t>
  </si>
  <si>
    <t>Reported EPS - diluted</t>
  </si>
  <si>
    <t>Reported EPS - diluted - calced</t>
  </si>
  <si>
    <t>PROPERTY PLANT &amp; EQUIPMENT</t>
  </si>
  <si>
    <t>PPE</t>
  </si>
  <si>
    <t>Opening Net PPE</t>
  </si>
  <si>
    <t>(+) Capex</t>
  </si>
  <si>
    <t>(-) Depreciation</t>
  </si>
  <si>
    <t>(+/-) Other</t>
  </si>
  <si>
    <t>-----</t>
  </si>
  <si>
    <t>----------</t>
  </si>
  <si>
    <t>Closing Net PPE</t>
  </si>
  <si>
    <t>Depreciation KPI's</t>
  </si>
  <si>
    <t>Depreciation Life</t>
  </si>
  <si>
    <t>periods</t>
  </si>
  <si>
    <t>Capex expense as a % of revenue</t>
  </si>
  <si>
    <t>Depreciation expense as a % of revenue</t>
  </si>
  <si>
    <t>Capex / Depreciation Ratio</t>
  </si>
  <si>
    <t>x</t>
  </si>
  <si>
    <t>INTANGIBLE ASSETS</t>
  </si>
  <si>
    <t>Intangible Assets</t>
  </si>
  <si>
    <t>Opening Net Intangible Assets</t>
  </si>
  <si>
    <t>(+) Purchased Intangibles</t>
  </si>
  <si>
    <t>(-) Amortisation</t>
  </si>
  <si>
    <t>Closing Net Intangible Assets</t>
  </si>
  <si>
    <t>Amortisation KPI's</t>
  </si>
  <si>
    <t>Amortisation Life</t>
  </si>
  <si>
    <t>Purchased Intangibles as a % of revenue</t>
  </si>
  <si>
    <t>Amortisation Expense as a % of revenue</t>
  </si>
  <si>
    <t>Purchased Intangibles / Amortisation Ratio</t>
  </si>
  <si>
    <t>INTEREST CALCULATIONS - ANNUAL</t>
  </si>
  <si>
    <t>Interest Bearing Liabilities</t>
  </si>
  <si>
    <t>Current Leases</t>
  </si>
  <si>
    <t>Non Currenct Leases</t>
  </si>
  <si>
    <t>Current Debt</t>
  </si>
  <si>
    <t>Non Current Debt</t>
  </si>
  <si>
    <t>Interest bearing liabilities</t>
  </si>
  <si>
    <t>Average Debt</t>
  </si>
  <si>
    <t>Opening Balance</t>
  </si>
  <si>
    <t>Drawdowns/Repayments</t>
  </si>
  <si>
    <t>Closing Balance</t>
  </si>
  <si>
    <t>Average Balance</t>
  </si>
  <si>
    <t>Interest Expense</t>
  </si>
  <si>
    <t>Lease Interest Expense</t>
  </si>
  <si>
    <t>Total Interest Expense</t>
  </si>
  <si>
    <t>Interest Rate</t>
  </si>
  <si>
    <t>Average Cash</t>
  </si>
  <si>
    <t>Interest Income</t>
  </si>
  <si>
    <t>Net Financing Costs</t>
  </si>
  <si>
    <t>Other Financing Costs</t>
  </si>
  <si>
    <t>Total Net Financing Costs</t>
  </si>
  <si>
    <t>Working Capital</t>
  </si>
  <si>
    <t>WORKING CAPITAL</t>
  </si>
  <si>
    <t>Accounts Receivable</t>
  </si>
  <si>
    <t>Normalised Revenue</t>
  </si>
  <si>
    <t>Accounts receivable</t>
  </si>
  <si>
    <t>Days sales outstanding (DSO)</t>
  </si>
  <si>
    <t>Days</t>
  </si>
  <si>
    <t>Inventory</t>
  </si>
  <si>
    <t>Normalised Expenses</t>
  </si>
  <si>
    <t>Inventory Turns</t>
  </si>
  <si>
    <t>No.</t>
  </si>
  <si>
    <t>Accounts payable</t>
  </si>
  <si>
    <t xml:space="preserve">Normalised Expenses </t>
  </si>
  <si>
    <t>Days payables outstanding (DPO)</t>
  </si>
  <si>
    <t>Cash Conversion Cycle</t>
  </si>
  <si>
    <t>Working capital</t>
  </si>
  <si>
    <t>Net working capital</t>
  </si>
  <si>
    <t>(Increase) / decrease in net working capital</t>
  </si>
  <si>
    <t>EQUITY, SHARES OUTSTANDING &amp; DIVIDENDS</t>
  </si>
  <si>
    <t>EQUITY</t>
  </si>
  <si>
    <t>Equity Raised</t>
  </si>
  <si>
    <t>Share Price for Equity Raise</t>
  </si>
  <si>
    <t>Shares Raised</t>
  </si>
  <si>
    <t>No. mlns</t>
  </si>
  <si>
    <t>Buybacks</t>
  </si>
  <si>
    <t>Buyback Amount</t>
  </si>
  <si>
    <t>Share Price for Buyback</t>
  </si>
  <si>
    <t>Shares Ceased</t>
  </si>
  <si>
    <t>Shares outstanding</t>
  </si>
  <si>
    <t>Ord shares - beg</t>
  </si>
  <si>
    <t>(+) New issues</t>
  </si>
  <si>
    <t>(-) Buybacks</t>
  </si>
  <si>
    <t>Ord shares - end</t>
  </si>
  <si>
    <t>Average Shares</t>
  </si>
  <si>
    <t>WANOS - reported</t>
  </si>
  <si>
    <t>Treasury Shares</t>
  </si>
  <si>
    <t>DIVIDENDS</t>
  </si>
  <si>
    <t>Dividends Paid</t>
  </si>
  <si>
    <t>Dividends per Share - Reported</t>
  </si>
  <si>
    <t>cps</t>
  </si>
  <si>
    <t>Dividend Amount</t>
  </si>
  <si>
    <t>As a % of NPAT (reported)</t>
  </si>
  <si>
    <t>Yield (annualised)</t>
  </si>
  <si>
    <t>NET DEBT</t>
  </si>
  <si>
    <t>Net Debt</t>
  </si>
  <si>
    <t>Cash</t>
  </si>
  <si>
    <t>Debt</t>
  </si>
  <si>
    <t>Leases</t>
  </si>
  <si>
    <t>Net debt / (cash) (incl. leases)</t>
  </si>
  <si>
    <t>Levearage</t>
  </si>
  <si>
    <t>Trailing 12m EBITDA (normalised)</t>
  </si>
  <si>
    <t>Net Debt to EBITDA</t>
  </si>
  <si>
    <t>Reported</t>
  </si>
  <si>
    <t>3-STATEMENT MODEL</t>
  </si>
  <si>
    <t>P&amp;L - Underlying</t>
  </si>
  <si>
    <t>Revenue</t>
  </si>
  <si>
    <t>Other Income</t>
  </si>
  <si>
    <t>COGS</t>
  </si>
  <si>
    <t>Gross Profit</t>
  </si>
  <si>
    <t>Opex</t>
  </si>
  <si>
    <t>Depreciation</t>
  </si>
  <si>
    <t>Amortisation</t>
  </si>
  <si>
    <t>Other Financing</t>
  </si>
  <si>
    <t>Tax</t>
  </si>
  <si>
    <t>Discontinued Ops/Non Recurring</t>
  </si>
  <si>
    <t>NPAT</t>
  </si>
  <si>
    <t>Redo</t>
  </si>
  <si>
    <t>CASH FLOW STATEMENT</t>
  </si>
  <si>
    <t>Tax Paid</t>
  </si>
  <si>
    <t>FFO</t>
  </si>
  <si>
    <t>Working Capital Moves</t>
  </si>
  <si>
    <t>Operating Cash flow</t>
  </si>
  <si>
    <t>Intangibles Capex</t>
  </si>
  <si>
    <t>Dividends received</t>
  </si>
  <si>
    <t>Divestments</t>
  </si>
  <si>
    <t>Investing Cash Flow</t>
  </si>
  <si>
    <t>Interest received</t>
  </si>
  <si>
    <t>Interest paid</t>
  </si>
  <si>
    <t>Minority Dividends Paid</t>
  </si>
  <si>
    <t>Debt Drawn/(Repaid)</t>
  </si>
  <si>
    <t>Financing Cash Flow</t>
  </si>
  <si>
    <t>Opening Cash</t>
  </si>
  <si>
    <t>Net Cash Flow</t>
  </si>
  <si>
    <t>FX</t>
  </si>
  <si>
    <t>Closing Cash</t>
  </si>
  <si>
    <t>Check</t>
  </si>
  <si>
    <t>BALANCE SHEET</t>
  </si>
  <si>
    <t>Receivables</t>
  </si>
  <si>
    <t>Tax Assets</t>
  </si>
  <si>
    <t>Assets Held for Sale</t>
  </si>
  <si>
    <t>Current Assets</t>
  </si>
  <si>
    <t>PP&amp;E</t>
  </si>
  <si>
    <t>Intangibles</t>
  </si>
  <si>
    <t>Assosciate Invesments</t>
  </si>
  <si>
    <t>Investment Properties</t>
  </si>
  <si>
    <t>Right of Use Assets</t>
  </si>
  <si>
    <t>Non-Current Assets</t>
  </si>
  <si>
    <t>TOTAL ASSETS</t>
  </si>
  <si>
    <t>Overdraft</t>
  </si>
  <si>
    <t>Payables</t>
  </si>
  <si>
    <t>Tax Liabilities</t>
  </si>
  <si>
    <t>Short Term Debt</t>
  </si>
  <si>
    <t>Current Liabilities</t>
  </si>
  <si>
    <t>Deferred Tax Liabilities</t>
  </si>
  <si>
    <t>Non-Current Leases</t>
  </si>
  <si>
    <t>Long Term Debt</t>
  </si>
  <si>
    <t>Non-Current Liabilities</t>
  </si>
  <si>
    <t>TOTAL LIABILITIES</t>
  </si>
  <si>
    <t>Share Capital</t>
  </si>
  <si>
    <t>Reserves</t>
  </si>
  <si>
    <t>Retained Earnings</t>
  </si>
  <si>
    <t>Minority Interests</t>
  </si>
  <si>
    <t>TOTAL EQUITY</t>
  </si>
  <si>
    <t>VALUATION</t>
  </si>
  <si>
    <t>Valuation Date</t>
  </si>
  <si>
    <t>Date</t>
  </si>
  <si>
    <t>Shares oustanding</t>
  </si>
  <si>
    <t>DISCOUNT RATE</t>
  </si>
  <si>
    <t>Cost of Debt</t>
  </si>
  <si>
    <t>Pre Tax Kd</t>
  </si>
  <si>
    <t>Post Tax Kd</t>
  </si>
  <si>
    <t>Cost of equity</t>
  </si>
  <si>
    <t>Risk Free Rate</t>
  </si>
  <si>
    <t>Beta</t>
  </si>
  <si>
    <t>Market Risk Premium</t>
  </si>
  <si>
    <t>Cost of Equity</t>
  </si>
  <si>
    <t>Discount Rate</t>
  </si>
  <si>
    <t>Debt/Enterprise Value</t>
  </si>
  <si>
    <t>WACC</t>
  </si>
  <si>
    <t>DCF</t>
  </si>
  <si>
    <t>Discount Factors</t>
  </si>
  <si>
    <t>Free Cash Flow ($/sh)</t>
  </si>
  <si>
    <t>Discounted Free Cash Flow ($/sh)</t>
  </si>
  <si>
    <t>Terminal P/E</t>
  </si>
  <si>
    <t>Terminal Value ($/sh)</t>
  </si>
  <si>
    <t>Valuation ($/sh)</t>
  </si>
  <si>
    <t>Current Exchange Rate</t>
  </si>
  <si>
    <t>Current Share Price ($/sh)</t>
  </si>
  <si>
    <t>Upside</t>
  </si>
  <si>
    <t>Industrial ResearchWise Sheet</t>
  </si>
  <si>
    <t>Company static items</t>
  </si>
  <si>
    <t>BlueMatrix formulas</t>
  </si>
  <si>
    <t>@BEGINSTATIC</t>
  </si>
  <si>
    <t>@ENDSTATIC</t>
  </si>
  <si>
    <t>@INSTTYPE</t>
  </si>
  <si>
    <t>Instrument type</t>
  </si>
  <si>
    <t>EQ</t>
  </si>
  <si>
    <t>@CTYPE</t>
  </si>
  <si>
    <t>Instrument code type</t>
  </si>
  <si>
    <t>@BB</t>
  </si>
  <si>
    <t>@VERSION</t>
  </si>
  <si>
    <t>Version information (Do not change)</t>
  </si>
  <si>
    <t>@CODE</t>
  </si>
  <si>
    <t>Ticker</t>
  </si>
  <si>
    <t>SKC-ASX</t>
  </si>
  <si>
    <t>@MULT</t>
  </si>
  <si>
    <t>Multiplier</t>
  </si>
  <si>
    <t>Please choose from the options available in the dropdown</t>
  </si>
  <si>
    <t>@RCURR</t>
  </si>
  <si>
    <t>Reporting Currency</t>
  </si>
  <si>
    <t>NZD</t>
  </si>
  <si>
    <t>@ANALYST</t>
  </si>
  <si>
    <t>Lead analyst</t>
  </si>
  <si>
    <t>Sam Bradshaw</t>
  </si>
  <si>
    <t>@TARGET</t>
  </si>
  <si>
    <t>PRICE_TARGET</t>
  </si>
  <si>
    <t>@REC</t>
  </si>
  <si>
    <t>REC</t>
  </si>
  <si>
    <t>Recommendation</t>
  </si>
  <si>
    <t>Neutral</t>
  </si>
  <si>
    <t>@SHARE_OUT</t>
  </si>
  <si>
    <t>SHARE_OUT</t>
  </si>
  <si>
    <t>@FLOATPER</t>
  </si>
  <si>
    <t>free_float</t>
  </si>
  <si>
    <t>Free Float %</t>
  </si>
  <si>
    <t>PRICE</t>
  </si>
  <si>
    <t>Current Share Price</t>
  </si>
  <si>
    <t>Historic Share Price (Closing)</t>
  </si>
  <si>
    <t>TSR</t>
  </si>
  <si>
    <t>upside_valuation</t>
  </si>
  <si>
    <t>Upside to valuation</t>
  </si>
  <si>
    <t>div_yield</t>
  </si>
  <si>
    <t>Dividend yield</t>
  </si>
  <si>
    <t>exp_total_return</t>
  </si>
  <si>
    <t>Expected total SH return</t>
  </si>
  <si>
    <t>Trading Data test</t>
  </si>
  <si>
    <t>12_month_high</t>
  </si>
  <si>
    <t>12 month high</t>
  </si>
  <si>
    <t>12_month_low</t>
  </si>
  <si>
    <t>12 month low</t>
  </si>
  <si>
    <t>MARKET_CAP</t>
  </si>
  <si>
    <t>Market cap</t>
  </si>
  <si>
    <t>Free Float</t>
  </si>
  <si>
    <t>12_month_return</t>
  </si>
  <si>
    <t>12 month return (historical)</t>
  </si>
  <si>
    <t>@pricing_date</t>
  </si>
  <si>
    <t>Blended Valuation</t>
  </si>
  <si>
    <t>@DCF_VAL</t>
  </si>
  <si>
    <t>DCF_VAL</t>
  </si>
  <si>
    <t>Valuation - DCF</t>
  </si>
  <si>
    <t>@CAPPER_VAL</t>
  </si>
  <si>
    <t>CAPPER_VAL</t>
  </si>
  <si>
    <t>Valuation - Capitalisation of Earnings</t>
  </si>
  <si>
    <t>@PER_VAL</t>
  </si>
  <si>
    <t>PER_VAL</t>
  </si>
  <si>
    <t>Valuation - PER</t>
  </si>
  <si>
    <t>@SOTP_VAL</t>
  </si>
  <si>
    <t>SOTP_VAL</t>
  </si>
  <si>
    <t>Valuation - SOTP</t>
  </si>
  <si>
    <t>@BLEND_VAL</t>
  </si>
  <si>
    <t>Valuation - Blended</t>
  </si>
  <si>
    <t>@DCF_WT</t>
  </si>
  <si>
    <t>DCF_WT</t>
  </si>
  <si>
    <t>DCF Weightage</t>
  </si>
  <si>
    <t>@CAPPER_WT</t>
  </si>
  <si>
    <t>CAPPER_WT</t>
  </si>
  <si>
    <t>Capitalisation of Earnings Weightage</t>
  </si>
  <si>
    <t>@PER_WT</t>
  </si>
  <si>
    <t>PER_WT</t>
  </si>
  <si>
    <t>PER Weightage</t>
  </si>
  <si>
    <t>@SOTP_WT</t>
  </si>
  <si>
    <t>SOTP_WT</t>
  </si>
  <si>
    <t>SOTP Weightage</t>
  </si>
  <si>
    <t>Divisional Summary</t>
  </si>
  <si>
    <t>@SEG1_NAME</t>
  </si>
  <si>
    <t>Name of Segment 1</t>
  </si>
  <si>
    <t>@SEG2_NAME</t>
  </si>
  <si>
    <t>Name of Segment 2</t>
  </si>
  <si>
    <t>@SEG3_NAME</t>
  </si>
  <si>
    <t>Name of Segment 3</t>
  </si>
  <si>
    <t>@SEG4_NAME</t>
  </si>
  <si>
    <t>Name of Segment 4</t>
  </si>
  <si>
    <t>@SEG5_NAME</t>
  </si>
  <si>
    <t>Name of Segment 5</t>
  </si>
  <si>
    <t>@SEG6_NAME</t>
  </si>
  <si>
    <t>Name of Segment 6</t>
  </si>
  <si>
    <t>@SEG7_NAME</t>
  </si>
  <si>
    <t>Name of Segment 7</t>
  </si>
  <si>
    <t>Segment</t>
  </si>
  <si>
    <t>@SEG8_NAME</t>
  </si>
  <si>
    <t>Name of Segment 8</t>
  </si>
  <si>
    <t>@SEG9_NAME</t>
  </si>
  <si>
    <t>Name of Segment 9</t>
  </si>
  <si>
    <t>@SEG10_NAME</t>
  </si>
  <si>
    <t>Name of Segment 10</t>
  </si>
  <si>
    <t>@SEG_PROFIT1</t>
  </si>
  <si>
    <t>Type of Segmental Results</t>
  </si>
  <si>
    <t>@SEG_PROFIT2</t>
  </si>
  <si>
    <t>EBITDA Margin</t>
  </si>
  <si>
    <t>Core Drivers, Investment Thesis, Near Term Catalysts</t>
  </si>
  <si>
    <t>@COREDRIVER1</t>
  </si>
  <si>
    <t>Core Driver 1</t>
  </si>
  <si>
    <t>Mass market revenues (household spend, wealth effect, tourism) and VIP revenues (Chinese macro, ANZ share of regional market).</t>
  </si>
  <si>
    <t>Core Driver 2</t>
  </si>
  <si>
    <t>Margins (earnings mix, gambling taxes and operating expenses).</t>
  </si>
  <si>
    <t>Core Driver 3</t>
  </si>
  <si>
    <t>Expansion projects (NZICC, Adelaide expansion).</t>
  </si>
  <si>
    <t>Core Driver 4</t>
  </si>
  <si>
    <t>Competition (new casino openings, local pubs/clubs).</t>
  </si>
  <si>
    <t>Core Driver 5</t>
  </si>
  <si>
    <t>Regulatory risks in NZ, Australia and China.</t>
  </si>
  <si>
    <t>@THESIS1</t>
  </si>
  <si>
    <t>Investment Thesis 1</t>
  </si>
  <si>
    <t>Near-term earnings risk as revenues slow and cost pressures build</t>
  </si>
  <si>
    <t>Investment Thesis 2</t>
  </si>
  <si>
    <t>Reasonable medium-term growth as following the completion of the NZICC and Adelaide expansion</t>
  </si>
  <si>
    <t>Investment Thesis 3</t>
  </si>
  <si>
    <t>Exclusive licences with minimal competition risk in foreseeable future.</t>
  </si>
  <si>
    <t>Investment Thesis 4</t>
  </si>
  <si>
    <t>Investment Thesis 5</t>
  </si>
  <si>
    <t>@CATALYST1</t>
  </si>
  <si>
    <t>Near Term Catalyst 1</t>
  </si>
  <si>
    <t>@NOTES</t>
  </si>
  <si>
    <t>Notes</t>
  </si>
  <si>
    <t>Key Macro Assumptions</t>
  </si>
  <si>
    <t>@KEYMAC1</t>
  </si>
  <si>
    <t>Name of Key Macro Assumption 1</t>
  </si>
  <si>
    <t>@KEYMAC2</t>
  </si>
  <si>
    <t>Name of Key Macro Assumption 2</t>
  </si>
  <si>
    <t>@KEYMAC3</t>
  </si>
  <si>
    <t>Name of Key Macro Assumption 3</t>
  </si>
  <si>
    <t>@KEYMAC4</t>
  </si>
  <si>
    <t>Name of Key Macro Assumption 4</t>
  </si>
  <si>
    <t>@KEYMAC5</t>
  </si>
  <si>
    <t>Name of Key Macro Assumption 5</t>
  </si>
  <si>
    <t>@KEYMAC6</t>
  </si>
  <si>
    <t>Name of Key Macro Assumption 6</t>
  </si>
  <si>
    <t>@KEYMAC7</t>
  </si>
  <si>
    <t>Name of Key Macro Assumption 7</t>
  </si>
  <si>
    <t>@KEYMAC8</t>
  </si>
  <si>
    <t>Name of Key Macro Assumption 8</t>
  </si>
  <si>
    <t>@KEYMAC9</t>
  </si>
  <si>
    <t>Name of Key Macro Assumption 9</t>
  </si>
  <si>
    <t>@KEYMAC10</t>
  </si>
  <si>
    <t>Name of Key Macro Assumption 10</t>
  </si>
  <si>
    <t>Type of Key Macro Assumption</t>
  </si>
  <si>
    <t>@KEYMACTYPE1</t>
  </si>
  <si>
    <t>Type of Key Macro Assumption 1</t>
  </si>
  <si>
    <t>@KEYMACTYPE2</t>
  </si>
  <si>
    <t>Type of Key Macro Assumption 2</t>
  </si>
  <si>
    <t>@KEYMACTYPE3</t>
  </si>
  <si>
    <t>Type of Key Macro Assumption 3</t>
  </si>
  <si>
    <t>@KEYMACTYPE4</t>
  </si>
  <si>
    <t>Type of Key Macro Assumption 4</t>
  </si>
  <si>
    <t>@KEYMACTYPE5</t>
  </si>
  <si>
    <t>Type of Key Macro Assumption 5</t>
  </si>
  <si>
    <t>@KEYMACTYPE6</t>
  </si>
  <si>
    <t>Type of Key Macro Assumption 6</t>
  </si>
  <si>
    <t>@KEYMACTYPE7</t>
  </si>
  <si>
    <t>Type of Key Macro Assumption 7</t>
  </si>
  <si>
    <t>@KEYMACTYPE8</t>
  </si>
  <si>
    <t>Type of Key Macro Assumption 8</t>
  </si>
  <si>
    <t>@KEYMACTYPE9</t>
  </si>
  <si>
    <t>Type of Key Macro Assumption 9</t>
  </si>
  <si>
    <t>@KEYMACTYPE10</t>
  </si>
  <si>
    <t>Type of Key Macro Assumption 10</t>
  </si>
  <si>
    <t>Companies for Relative Chart</t>
  </si>
  <si>
    <t>@COM1</t>
  </si>
  <si>
    <t>Company 1</t>
  </si>
  <si>
    <t>@COM2</t>
  </si>
  <si>
    <t>Company 2</t>
  </si>
  <si>
    <t>@COM3</t>
  </si>
  <si>
    <t>Company 3</t>
  </si>
  <si>
    <t>@COM4</t>
  </si>
  <si>
    <t>Company 4</t>
  </si>
  <si>
    <t>@COM5</t>
  </si>
  <si>
    <t>Company 5</t>
  </si>
  <si>
    <t>@COM6</t>
  </si>
  <si>
    <t>Company 6</t>
  </si>
  <si>
    <t>@INDEX</t>
  </si>
  <si>
    <t>Index</t>
  </si>
  <si>
    <t>Financials &amp; other data</t>
  </si>
  <si>
    <t>@BEGIN</t>
  </si>
  <si>
    <t>Year</t>
  </si>
  <si>
    <t>AN</t>
  </si>
  <si>
    <t>@DATE</t>
  </si>
  <si>
    <t>Reporting Financial Year</t>
  </si>
  <si>
    <t>2018</t>
  </si>
  <si>
    <t>2019</t>
  </si>
  <si>
    <t>2020</t>
  </si>
  <si>
    <t>2021</t>
  </si>
  <si>
    <t>2022</t>
  </si>
  <si>
    <t>2023</t>
  </si>
  <si>
    <t>2024</t>
  </si>
  <si>
    <t>2025</t>
  </si>
  <si>
    <t>2026</t>
  </si>
  <si>
    <t>2027</t>
  </si>
  <si>
    <t>2028</t>
  </si>
  <si>
    <t>2029</t>
  </si>
  <si>
    <t>2030</t>
  </si>
  <si>
    <t>@FSTATUS</t>
  </si>
  <si>
    <t xml:space="preserve">Accounts Status </t>
  </si>
  <si>
    <t>F</t>
  </si>
  <si>
    <t>@FPERIOD</t>
  </si>
  <si>
    <t>Reporting Period</t>
  </si>
  <si>
    <t>@YEAREND</t>
  </si>
  <si>
    <t>Financial Year End (month)</t>
  </si>
  <si>
    <t>Jun</t>
  </si>
  <si>
    <t>Earnings Revision</t>
  </si>
  <si>
    <t>LIVE</t>
  </si>
  <si>
    <t>DIVISION_21</t>
  </si>
  <si>
    <t>DIVISION_22</t>
  </si>
  <si>
    <t>DIVISION_23</t>
  </si>
  <si>
    <t>Adj. EPS</t>
  </si>
  <si>
    <t>DIVISION_24</t>
  </si>
  <si>
    <t>DPS</t>
  </si>
  <si>
    <t>PASTE</t>
  </si>
  <si>
    <t>Old Revenue</t>
  </si>
  <si>
    <t>Old EBITDA</t>
  </si>
  <si>
    <t>Old EPS</t>
  </si>
  <si>
    <t>Old DPS</t>
  </si>
  <si>
    <t>CHANGE</t>
  </si>
  <si>
    <t>DIVISION_25</t>
  </si>
  <si>
    <t>% change Revenue</t>
  </si>
  <si>
    <t>DIVISION_26</t>
  </si>
  <si>
    <t>% change EBITDA</t>
  </si>
  <si>
    <t>DIVISION_27</t>
  </si>
  <si>
    <t>% change EPS</t>
  </si>
  <si>
    <t>DIVISION_28</t>
  </si>
  <si>
    <t>% change DPS</t>
  </si>
  <si>
    <t>Section I - Income Statement</t>
  </si>
  <si>
    <t>@SALES_REV</t>
  </si>
  <si>
    <t>SALES_REV</t>
  </si>
  <si>
    <t>Sales Revenue</t>
  </si>
  <si>
    <t>@OTH_REV</t>
  </si>
  <si>
    <t>OTH_REV</t>
  </si>
  <si>
    <t>Other Revenue</t>
  </si>
  <si>
    <t>@TOT_REV</t>
  </si>
  <si>
    <t>TOT_REV</t>
  </si>
  <si>
    <t>Total Operating Income/Revenue</t>
  </si>
  <si>
    <t>@COGS</t>
  </si>
  <si>
    <t>Cost of goods sold</t>
  </si>
  <si>
    <t>@SGA</t>
  </si>
  <si>
    <t>SGA</t>
  </si>
  <si>
    <t>Sales, General &amp; Admin Expenses</t>
  </si>
  <si>
    <t>@RD</t>
  </si>
  <si>
    <t>RD</t>
  </si>
  <si>
    <t>Research &amp; Development Expense</t>
  </si>
  <si>
    <t>@PERS_EXP</t>
  </si>
  <si>
    <t>PERS_EXP</t>
  </si>
  <si>
    <t>Personnel Expenses+C30</t>
  </si>
  <si>
    <t>@OTH_OP_EXP</t>
  </si>
  <si>
    <t>OTH_OP_EXP</t>
  </si>
  <si>
    <t>Other Operating expenses</t>
  </si>
  <si>
    <t>@TOT_OP_EXP</t>
  </si>
  <si>
    <t>TOT_OP_EXP</t>
  </si>
  <si>
    <t>Total Operating Expenses</t>
  </si>
  <si>
    <t>@EBITDA</t>
  </si>
  <si>
    <t>@DEPN</t>
  </si>
  <si>
    <t>@IMP_GW</t>
  </si>
  <si>
    <t>IMP_GW</t>
  </si>
  <si>
    <t>Impairment of goodwill</t>
  </si>
  <si>
    <t>@AMORT_GW</t>
  </si>
  <si>
    <t>AMORT_GW</t>
  </si>
  <si>
    <t>Amortisation of goodwill</t>
  </si>
  <si>
    <t>@AMORT_OTH</t>
  </si>
  <si>
    <t>AMORT_OTH</t>
  </si>
  <si>
    <t>Other amortisation</t>
  </si>
  <si>
    <t>@DEPN_AMORT</t>
  </si>
  <si>
    <t>DEPN_AMORT</t>
  </si>
  <si>
    <t>@EBITA</t>
  </si>
  <si>
    <t>EBITA</t>
  </si>
  <si>
    <t>@EBIT</t>
  </si>
  <si>
    <t>@INT_INC</t>
  </si>
  <si>
    <t>INT_INC</t>
  </si>
  <si>
    <t>@INT_EXP</t>
  </si>
  <si>
    <t>INT_EXP</t>
  </si>
  <si>
    <t>Interest expenses</t>
  </si>
  <si>
    <t>@NET_INTEXP</t>
  </si>
  <si>
    <t>NET_INTEXP</t>
  </si>
  <si>
    <t>Net Interest Expense</t>
  </si>
  <si>
    <t>@FX_GAIN_LOSS</t>
  </si>
  <si>
    <t>FX_GAIN_LOSS</t>
  </si>
  <si>
    <t>Forex gains/(losses)</t>
  </si>
  <si>
    <t>@OTH_NONOP_INC</t>
  </si>
  <si>
    <t>OTH_NONOP_INC</t>
  </si>
  <si>
    <t>Other Non-Operating income/(expenses)</t>
  </si>
  <si>
    <t>@PBT</t>
  </si>
  <si>
    <t>PBT</t>
  </si>
  <si>
    <t>@TAX_EXP</t>
  </si>
  <si>
    <t>Tax_expense</t>
  </si>
  <si>
    <t>Tax Expense</t>
  </si>
  <si>
    <t>@PREF_DIV</t>
  </si>
  <si>
    <t>PREF_DIV</t>
  </si>
  <si>
    <t>Preference Dividends Paid</t>
  </si>
  <si>
    <t>@NOPAT</t>
  </si>
  <si>
    <t>NOPAT</t>
  </si>
  <si>
    <t>Net Profit From Operations</t>
  </si>
  <si>
    <t>@PROFI_ASSO</t>
  </si>
  <si>
    <t>PROFI_ASSO</t>
  </si>
  <si>
    <t>Share of profits from associates</t>
  </si>
  <si>
    <t>@NOPAT_ASSO</t>
  </si>
  <si>
    <t>NOPAT_ASSO</t>
  </si>
  <si>
    <t>NPAT+ Associates</t>
  </si>
  <si>
    <t>@MINORITY_INT</t>
  </si>
  <si>
    <t>Minority_Interests</t>
  </si>
  <si>
    <t xml:space="preserve">Minority interest </t>
  </si>
  <si>
    <t>@NPAT_ATTR</t>
  </si>
  <si>
    <t>NPAT_ATTR</t>
  </si>
  <si>
    <t>NPAT attributable to shareholders</t>
  </si>
  <si>
    <t>@ABNORMALS</t>
  </si>
  <si>
    <t>ABNORMALS</t>
  </si>
  <si>
    <t>Non-Recurring Items</t>
  </si>
  <si>
    <t>@OTH_ADJ</t>
  </si>
  <si>
    <t>OTH_ADJ</t>
  </si>
  <si>
    <t>Reporting Adjustments</t>
  </si>
  <si>
    <t>@NPAT</t>
  </si>
  <si>
    <t>Reported Net Profit</t>
  </si>
  <si>
    <t>@OTH_NORMADJ</t>
  </si>
  <si>
    <t>OTH_NORMADJ</t>
  </si>
  <si>
    <t>Normalisation Adjustments</t>
  </si>
  <si>
    <t>@NOT_INT</t>
  </si>
  <si>
    <t>NOT_INT</t>
  </si>
  <si>
    <t>Notional Interest</t>
  </si>
  <si>
    <t>@CONV_PREVDIV</t>
  </si>
  <si>
    <t>CONV_PREDIV</t>
  </si>
  <si>
    <t>Convertible Pref. Dividends</t>
  </si>
  <si>
    <t>@NPAT_NORM</t>
  </si>
  <si>
    <t>NPAT_NORM</t>
  </si>
  <si>
    <t>Adjusted Net Profit</t>
  </si>
  <si>
    <t>Check - NPAT</t>
  </si>
  <si>
    <t>Section II - Balance sheet</t>
  </si>
  <si>
    <t>Assets</t>
  </si>
  <si>
    <t>@CASH</t>
  </si>
  <si>
    <t>@CA_REC</t>
  </si>
  <si>
    <t>CA_REC</t>
  </si>
  <si>
    <t>Current Receivables</t>
  </si>
  <si>
    <t>@CA_INVENT</t>
  </si>
  <si>
    <t>CA_INVENT</t>
  </si>
  <si>
    <t>Inventories</t>
  </si>
  <si>
    <t>@CA_INVEST</t>
  </si>
  <si>
    <t>CA_INVEST</t>
  </si>
  <si>
    <t>Current Investments</t>
  </si>
  <si>
    <t>@CA_OTH</t>
  </si>
  <si>
    <t>CA_OTH</t>
  </si>
  <si>
    <t>Other Current Assets</t>
  </si>
  <si>
    <t>@CA_TOTAL</t>
  </si>
  <si>
    <t>CA_TOTAL</t>
  </si>
  <si>
    <t>Total Current Assets</t>
  </si>
  <si>
    <t>@NCA_REC</t>
  </si>
  <si>
    <t>NCA_REC</t>
  </si>
  <si>
    <t>Non-Current Receivables</t>
  </si>
  <si>
    <t>@NCA_INVEST</t>
  </si>
  <si>
    <t>NCA_INVEST</t>
  </si>
  <si>
    <t>Non-Current Investments</t>
  </si>
  <si>
    <t>@NCA_PPE</t>
  </si>
  <si>
    <t>NCA_PPE</t>
  </si>
  <si>
    <t>Property Plant &amp; Equipment</t>
  </si>
  <si>
    <t>@NCA_TAX</t>
  </si>
  <si>
    <t>NCA_TAX</t>
  </si>
  <si>
    <t>@NCA_GW</t>
  </si>
  <si>
    <t>NCA_GW</t>
  </si>
  <si>
    <t>Goodwill</t>
  </si>
  <si>
    <t>@NCA_INTANG</t>
  </si>
  <si>
    <t>NCA_INTANG</t>
  </si>
  <si>
    <t>@NCA_OTH</t>
  </si>
  <si>
    <t>NCA_OTH</t>
  </si>
  <si>
    <t>Other Non-Current Assets</t>
  </si>
  <si>
    <t>@NCA_TOTAL</t>
  </si>
  <si>
    <t>NCA_TOTAL</t>
  </si>
  <si>
    <t>Total Non-Current Assets</t>
  </si>
  <si>
    <t>@CA_WKCAP</t>
  </si>
  <si>
    <t>CA_WKCAP</t>
  </si>
  <si>
    <t>Total Working Capital - Assets</t>
  </si>
  <si>
    <t>@ASSETS_TOTAL</t>
  </si>
  <si>
    <t>ASSETS_TOTAL</t>
  </si>
  <si>
    <t>Total Assets</t>
  </si>
  <si>
    <t>Check - Assets</t>
  </si>
  <si>
    <t>Liabilities</t>
  </si>
  <si>
    <t>@CL_BOD</t>
  </si>
  <si>
    <t>CL_BOD</t>
  </si>
  <si>
    <t>Bank Overdraft</t>
  </si>
  <si>
    <t>@CL_ACCTSPAY</t>
  </si>
  <si>
    <t>CL_ACCTSPAY</t>
  </si>
  <si>
    <t>Current Accounts Payable</t>
  </si>
  <si>
    <t>@STDEBT</t>
  </si>
  <si>
    <t>STDEBT</t>
  </si>
  <si>
    <t>@CL_PROV</t>
  </si>
  <si>
    <t>CL_PROV</t>
  </si>
  <si>
    <t>Current Provisions</t>
  </si>
  <si>
    <t>@CL_TAX</t>
  </si>
  <si>
    <t>CL_TAX</t>
  </si>
  <si>
    <t>Taxation</t>
  </si>
  <si>
    <t>@CL_OTH</t>
  </si>
  <si>
    <t>CL_OTH</t>
  </si>
  <si>
    <t>Other Current Liabilities</t>
  </si>
  <si>
    <t>@CL_TOTAL</t>
  </si>
  <si>
    <t>CL_TOTAL</t>
  </si>
  <si>
    <t>Total Current liabilities</t>
  </si>
  <si>
    <t>@LTDEBT</t>
  </si>
  <si>
    <t>LTDEBT</t>
  </si>
  <si>
    <t>@NCL_PREF</t>
  </si>
  <si>
    <t>NCL_PREF</t>
  </si>
  <si>
    <t>Preference shares treated as debt</t>
  </si>
  <si>
    <t>@NCL_CONV</t>
  </si>
  <si>
    <t>NCL_CONV</t>
  </si>
  <si>
    <t>Convertibles treated as debt</t>
  </si>
  <si>
    <t>@NCL_ACCTSPAY</t>
  </si>
  <si>
    <t>NCL_ACCTSPAY</t>
  </si>
  <si>
    <t>Non-Current Accounts Payable</t>
  </si>
  <si>
    <t>@NCL_DEFTAX</t>
  </si>
  <si>
    <t>NCL_DEFTAX</t>
  </si>
  <si>
    <t>Deferred Tax Payable</t>
  </si>
  <si>
    <t>@NCL_PROV</t>
  </si>
  <si>
    <t>NCL_PROV</t>
  </si>
  <si>
    <t>Non-Current Provisions</t>
  </si>
  <si>
    <t>@NCL_OTH</t>
  </si>
  <si>
    <t>NCL_OTH</t>
  </si>
  <si>
    <t>Other Non-Current Liabilities</t>
  </si>
  <si>
    <t>@NCL_TOTAL</t>
  </si>
  <si>
    <t>NCL_TOTAL</t>
  </si>
  <si>
    <t>Total Non-Current Liabilities</t>
  </si>
  <si>
    <t>@CL_WKCAP</t>
  </si>
  <si>
    <t>CL_WKCAP</t>
  </si>
  <si>
    <t>Total Working Capital - Liabilities</t>
  </si>
  <si>
    <t>@LIAB_TOTAL</t>
  </si>
  <si>
    <t>LIAB_TOTAL</t>
  </si>
  <si>
    <t>Total Liabilities</t>
  </si>
  <si>
    <t>Check - Liabilities</t>
  </si>
  <si>
    <t>Equity:</t>
  </si>
  <si>
    <t>@SE_CAP</t>
  </si>
  <si>
    <t>SE_CAP</t>
  </si>
  <si>
    <t>Ordinary share capital</t>
  </si>
  <si>
    <t>@SE_RES</t>
  </si>
  <si>
    <t>SE_RES</t>
  </si>
  <si>
    <t>@SE_RETEARG</t>
  </si>
  <si>
    <t>SE_RETEARG</t>
  </si>
  <si>
    <t>Retained profits</t>
  </si>
  <si>
    <t>@SE_OTHEREQ</t>
  </si>
  <si>
    <t>SE_OTHEREQ</t>
  </si>
  <si>
    <t>Other equity</t>
  </si>
  <si>
    <t>@SE_PREOE_M</t>
  </si>
  <si>
    <t>SE_PREOE_M</t>
  </si>
  <si>
    <t>Parent Equity</t>
  </si>
  <si>
    <t>@SE_OEMINEQ</t>
  </si>
  <si>
    <t>SE_OEMINEQ</t>
  </si>
  <si>
    <t>Minority Equity/Outside Equity Interests</t>
  </si>
  <si>
    <t>@SE_TOTAL</t>
  </si>
  <si>
    <t>SE_TOTAL</t>
  </si>
  <si>
    <t>Total Shareholders' Equity</t>
  </si>
  <si>
    <t>Balance Sheet Check</t>
  </si>
  <si>
    <t>@NETASSETS</t>
  </si>
  <si>
    <t>NETASSETS</t>
  </si>
  <si>
    <t>Net Assets</t>
  </si>
  <si>
    <t>@NETDEBT</t>
  </si>
  <si>
    <t>NETDEBT</t>
  </si>
  <si>
    <t>@NTA</t>
  </si>
  <si>
    <t>NTA</t>
  </si>
  <si>
    <t>Net Tangible Assets</t>
  </si>
  <si>
    <t>@BV</t>
  </si>
  <si>
    <t>BV</t>
  </si>
  <si>
    <t>Book Value</t>
  </si>
  <si>
    <t>@AVGASSETS</t>
  </si>
  <si>
    <t>AVGASSETS</t>
  </si>
  <si>
    <t>Average Total Assets</t>
  </si>
  <si>
    <t>@AVGEQ</t>
  </si>
  <si>
    <t>AVGEQ</t>
  </si>
  <si>
    <t>Average Total Equity</t>
  </si>
  <si>
    <t>Section III - Cash Flow</t>
  </si>
  <si>
    <t>Operating Cash Flows:</t>
  </si>
  <si>
    <t>@CF_EBITDA</t>
  </si>
  <si>
    <t>CF_EBITDA</t>
  </si>
  <si>
    <t>@CF_DEPAMORT</t>
  </si>
  <si>
    <t>CF_DEPAMORT</t>
  </si>
  <si>
    <t>Depreciation &amp; Amortisation</t>
  </si>
  <si>
    <t>@CF_WCC</t>
  </si>
  <si>
    <t>CF_WCC</t>
  </si>
  <si>
    <t>Change in Working Capital</t>
  </si>
  <si>
    <t>@CF_OTHOPCF</t>
  </si>
  <si>
    <t>CF_OTHOPCF</t>
  </si>
  <si>
    <t>Other Operating Cashflows</t>
  </si>
  <si>
    <t>@CF_GROSSOPCF</t>
  </si>
  <si>
    <t>CF_GROSSOPCF</t>
  </si>
  <si>
    <t>Gross Operating Cash Flow</t>
  </si>
  <si>
    <t>@CF_NETINT</t>
  </si>
  <si>
    <t>CF_NETINT</t>
  </si>
  <si>
    <t>Net Interest Paid</t>
  </si>
  <si>
    <t>@CF_TAXPAID</t>
  </si>
  <si>
    <t>CF_TAXPAID</t>
  </si>
  <si>
    <t xml:space="preserve">Tax Paid </t>
  </si>
  <si>
    <t>@CF_OPCF</t>
  </si>
  <si>
    <t>CF_OPCF</t>
  </si>
  <si>
    <t>Net Operating Cash Flows</t>
  </si>
  <si>
    <t>Net Operating Cash Flows Check</t>
  </si>
  <si>
    <t>Investing Cash Flows:</t>
  </si>
  <si>
    <t>@CF_CAPEXMAINT</t>
  </si>
  <si>
    <t>CF_CAPEXMAINT</t>
  </si>
  <si>
    <t>Maintenance Capex</t>
  </si>
  <si>
    <t>@CF_CAPEXEXPAN</t>
  </si>
  <si>
    <t>CF_CAPEXEXPAN</t>
  </si>
  <si>
    <t>Expansionary Capex</t>
  </si>
  <si>
    <t>@CF_PPE</t>
  </si>
  <si>
    <t>CF_PPE</t>
  </si>
  <si>
    <t>Purchase of PP&amp;E</t>
  </si>
  <si>
    <t>@CF_INVEST</t>
  </si>
  <si>
    <t>CF_INVEST</t>
  </si>
  <si>
    <t>Purchase of Investments</t>
  </si>
  <si>
    <t>@CF_ACQ</t>
  </si>
  <si>
    <t>CF_ACQ</t>
  </si>
  <si>
    <t>Purchase of Subsidiaries</t>
  </si>
  <si>
    <t>@CF_DIVEST</t>
  </si>
  <si>
    <t>CF_DIVEST</t>
  </si>
  <si>
    <t>Proceeds from Asset Sales</t>
  </si>
  <si>
    <t>@CF_LOANS</t>
  </si>
  <si>
    <t>CF_LOANS</t>
  </si>
  <si>
    <t>Movement in Loans (net)</t>
  </si>
  <si>
    <t>@CF_OTHINVCF</t>
  </si>
  <si>
    <t>CF_OTHINVCF</t>
  </si>
  <si>
    <t>Other Investing Cashflows</t>
  </si>
  <si>
    <t>@CF_INVCF</t>
  </si>
  <si>
    <t>CF_INVCF</t>
  </si>
  <si>
    <t>Total Investing CashFlow</t>
  </si>
  <si>
    <t>Investing Cash Flows Check</t>
  </si>
  <si>
    <t>Financing Cash Flows:</t>
  </si>
  <si>
    <t>@CF_EQRAISE</t>
  </si>
  <si>
    <t>CF_EQRAISE</t>
  </si>
  <si>
    <t>Net Proceeds from the Issue/Buyback of Securities</t>
  </si>
  <si>
    <t>@CF_BORR</t>
  </si>
  <si>
    <t>CF_BORR</t>
  </si>
  <si>
    <t>Proceeds from Borrowings</t>
  </si>
  <si>
    <t>@CF_BORRREPAY</t>
  </si>
  <si>
    <t>CF_BORRREPAY</t>
  </si>
  <si>
    <t>Repayment of Borrowings</t>
  </si>
  <si>
    <t>@CF_DIVPAID</t>
  </si>
  <si>
    <t>CF_DIVPAID</t>
  </si>
  <si>
    <t>Distributions</t>
  </si>
  <si>
    <t>@CF_DIVREC</t>
  </si>
  <si>
    <t>CF_DIVREC</t>
  </si>
  <si>
    <t>Dividends Received</t>
  </si>
  <si>
    <t>@CF_OTHFINCF</t>
  </si>
  <si>
    <t>CF_OTHFINCF</t>
  </si>
  <si>
    <t>Other Financing Cashflows</t>
  </si>
  <si>
    <t>@CF_FINCF</t>
  </si>
  <si>
    <t>CF_FINCF</t>
  </si>
  <si>
    <t>Total Financing Cash Flow</t>
  </si>
  <si>
    <t>Financing Cash Flows</t>
  </si>
  <si>
    <t>@CF_FXADJ</t>
  </si>
  <si>
    <t>CF_FXADJ</t>
  </si>
  <si>
    <t>Exchange Rate Adjustments</t>
  </si>
  <si>
    <t>@CF_CASHCHG</t>
  </si>
  <si>
    <t>CF_CASHCHG</t>
  </si>
  <si>
    <t>Net Change in Cash</t>
  </si>
  <si>
    <t>@CF_FCF</t>
  </si>
  <si>
    <t>CF_FCF</t>
  </si>
  <si>
    <t>Free Cashflow</t>
  </si>
  <si>
    <t>@CF_CASHSTART</t>
  </si>
  <si>
    <t>CF_CASHSTART</t>
  </si>
  <si>
    <t>Cash at start of period</t>
  </si>
  <si>
    <t>@CF_CASHEND</t>
  </si>
  <si>
    <t>CF_CASHEND</t>
  </si>
  <si>
    <t>Cash at end of period</t>
  </si>
  <si>
    <t>Cash Flow Statement Check</t>
  </si>
  <si>
    <t>Section IV - Share Data</t>
  </si>
  <si>
    <t>@CLOSE_SHRS</t>
  </si>
  <si>
    <t>CLOSE_SHRS</t>
  </si>
  <si>
    <t>Shares Outstanding - closing</t>
  </si>
  <si>
    <t>@FUL_DIL_SHRS</t>
  </si>
  <si>
    <t>FUL_DIL_SHRS</t>
  </si>
  <si>
    <t>Shares Outstanding - diluted</t>
  </si>
  <si>
    <t>@WT_AVG_SHRS</t>
  </si>
  <si>
    <t>WT_AVG_SHRS</t>
  </si>
  <si>
    <t>Shares Outstanding - weighted average</t>
  </si>
  <si>
    <t>@CONV_SHRS</t>
  </si>
  <si>
    <t>CONV_SHRS</t>
  </si>
  <si>
    <t>Convertibles</t>
  </si>
  <si>
    <t>@PREF_SHRS</t>
  </si>
  <si>
    <t>PREF_SHRS</t>
  </si>
  <si>
    <t>Preference shares</t>
  </si>
  <si>
    <t>@OPTIONS</t>
  </si>
  <si>
    <t>OPTIONS</t>
  </si>
  <si>
    <t>Options</t>
  </si>
  <si>
    <t>@PP_SHRS</t>
  </si>
  <si>
    <t>PP_SHRS</t>
  </si>
  <si>
    <t>Partly paids</t>
  </si>
  <si>
    <t>@CAF</t>
  </si>
  <si>
    <t>CAF</t>
  </si>
  <si>
    <t>Capital Adjustment Factor</t>
  </si>
  <si>
    <t>Section V - Per Share Data</t>
  </si>
  <si>
    <t>@EPS_PREAB</t>
  </si>
  <si>
    <t>EPS_PREAB</t>
  </si>
  <si>
    <t>EPS - Pre-abnormals</t>
  </si>
  <si>
    <t>@EPS</t>
  </si>
  <si>
    <t>EPS</t>
  </si>
  <si>
    <t>EPS - Reported</t>
  </si>
  <si>
    <t>@EPS_NORM</t>
  </si>
  <si>
    <t>EPS_NORM</t>
  </si>
  <si>
    <t>EPS - Adjusted</t>
  </si>
  <si>
    <t>Adj_EPS_Growth</t>
  </si>
  <si>
    <t>EPS Growth</t>
  </si>
  <si>
    <t>-</t>
  </si>
  <si>
    <t>PER</t>
  </si>
  <si>
    <t>PE Ratio</t>
  </si>
  <si>
    <t>PEG_Ratio</t>
  </si>
  <si>
    <t>PEG Ratio</t>
  </si>
  <si>
    <t>@DPS</t>
  </si>
  <si>
    <t>DPS AUDc</t>
  </si>
  <si>
    <t>Dividend_Yield</t>
  </si>
  <si>
    <t>Dividend Yield</t>
  </si>
  <si>
    <t>@FRK_PCT</t>
  </si>
  <si>
    <t>FRK_PCT</t>
  </si>
  <si>
    <t>Franking</t>
  </si>
  <si>
    <t>@FRK_TAXRATE</t>
  </si>
  <si>
    <t>FRK_TAXRATE</t>
  </si>
  <si>
    <t>Franking Tax Rate (%)</t>
  </si>
  <si>
    <t>@EFF_TAX_RATE</t>
  </si>
  <si>
    <t>EFF_TAX_RATE</t>
  </si>
  <si>
    <t>Effective tax rate (%)</t>
  </si>
  <si>
    <t>@CFPS</t>
  </si>
  <si>
    <t>CFPS</t>
  </si>
  <si>
    <t>Cash Flow Per Share</t>
  </si>
  <si>
    <t>@BVPS</t>
  </si>
  <si>
    <t>BVPS</t>
  </si>
  <si>
    <t>Book Value Per Share</t>
  </si>
  <si>
    <t>@NTAPS</t>
  </si>
  <si>
    <t>NTAPS</t>
  </si>
  <si>
    <t>NTA Per Share</t>
  </si>
  <si>
    <t>Section VI - Analysis</t>
  </si>
  <si>
    <t>Margins</t>
  </si>
  <si>
    <t>@EBITDA_MARGIN</t>
  </si>
  <si>
    <t>EBITDA_MARGIN</t>
  </si>
  <si>
    <t>EBITDA Margin (%)</t>
  </si>
  <si>
    <t>@EBIT_MARGIN</t>
  </si>
  <si>
    <t>EBIT_MARGIN</t>
  </si>
  <si>
    <t>EBIT Margin (%)</t>
  </si>
  <si>
    <t>@NPAT_MARGIN</t>
  </si>
  <si>
    <t>NPAT_MARGIN</t>
  </si>
  <si>
    <t>Net Profit Margin (%)</t>
  </si>
  <si>
    <t>Returns</t>
  </si>
  <si>
    <t>@CE</t>
  </si>
  <si>
    <t>CE</t>
  </si>
  <si>
    <t>Capital Employed</t>
  </si>
  <si>
    <t>@ROCE</t>
  </si>
  <si>
    <t>ROCE</t>
  </si>
  <si>
    <t>Return on Capital Employed (%)</t>
  </si>
  <si>
    <t>@EBITDA_CE</t>
  </si>
  <si>
    <t>EBITDA_CE</t>
  </si>
  <si>
    <t>EBITDA/Capital Employed (%)</t>
  </si>
  <si>
    <t>@ROE</t>
  </si>
  <si>
    <t>ROE</t>
  </si>
  <si>
    <t>Return on Equity (%)</t>
  </si>
  <si>
    <t>@ROA</t>
  </si>
  <si>
    <t>ROA</t>
  </si>
  <si>
    <t>Return on Assets (%)</t>
  </si>
  <si>
    <t>@NETDEBT_EQ</t>
  </si>
  <si>
    <t>NETDEBT_EQ</t>
  </si>
  <si>
    <t>Net Debt/Equity (%)</t>
  </si>
  <si>
    <t>@NETDEBT_NETDEBTEQ</t>
  </si>
  <si>
    <t>NETDEBT_NETDEBTEQ</t>
  </si>
  <si>
    <t>Net Debt/Net Debt &amp; Equity (%)</t>
  </si>
  <si>
    <t>@NETDEBT_EBITDA</t>
  </si>
  <si>
    <t>NETDEBT_EBITDA</t>
  </si>
  <si>
    <t>Net Debt/EBITDA (x)</t>
  </si>
  <si>
    <t>@NETINTCOV</t>
  </si>
  <si>
    <t>NETINTCOV</t>
  </si>
  <si>
    <t>Net Interest Cover (x)</t>
  </si>
  <si>
    <t>@FIXCHGCOST</t>
  </si>
  <si>
    <t>FIXCHGCOST</t>
  </si>
  <si>
    <t>Fixed Charges Cost</t>
  </si>
  <si>
    <t>@FIXCHGCOV</t>
  </si>
  <si>
    <t>FIXCHGCOV</t>
  </si>
  <si>
    <t>Fixed Charges Cover (x)</t>
  </si>
  <si>
    <t>@GOCF_EBITDA</t>
  </si>
  <si>
    <t>GOCF_EBITDA</t>
  </si>
  <si>
    <t>GOCF/EBITDA (%)</t>
  </si>
  <si>
    <t>@CAPEX_SALES</t>
  </si>
  <si>
    <t>CAPEX_SALES</t>
  </si>
  <si>
    <t>Total Capex/Sales (%)</t>
  </si>
  <si>
    <t>@CAPEX_DEP</t>
  </si>
  <si>
    <t>CAPEX_DEP</t>
  </si>
  <si>
    <t>Total Capex/Depreciation (x)</t>
  </si>
  <si>
    <t>@WKGCAP_SALES</t>
  </si>
  <si>
    <t>WKGCAP_SALES</t>
  </si>
  <si>
    <t>Working Capital/Sales (%)</t>
  </si>
  <si>
    <t>@DEP_PPE</t>
  </si>
  <si>
    <t>DEP_PPE</t>
  </si>
  <si>
    <t>D&amp;A/PP&amp;E (%)</t>
  </si>
  <si>
    <t>EV_EBITDA</t>
  </si>
  <si>
    <t>EV/EBITDA (x)</t>
  </si>
  <si>
    <t>Section VII - Segmentals</t>
  </si>
  <si>
    <t>@SEG1_REV</t>
  </si>
  <si>
    <t>DIVISION_1</t>
  </si>
  <si>
    <t>@SEG2_REV</t>
  </si>
  <si>
    <t>DIVISION_2</t>
  </si>
  <si>
    <t>@SEG3_REV</t>
  </si>
  <si>
    <t>DIVISION_3</t>
  </si>
  <si>
    <t>@SEG4_REV</t>
  </si>
  <si>
    <t>DIVISION_4</t>
  </si>
  <si>
    <t>@SEG5_REV</t>
  </si>
  <si>
    <t>DIVISION_5</t>
  </si>
  <si>
    <t>@SEG6_REV</t>
  </si>
  <si>
    <t>DIVISION_6</t>
  </si>
  <si>
    <t>@SEG7_REV</t>
  </si>
  <si>
    <t>DIVISION_7</t>
  </si>
  <si>
    <t>@SEG8_REV</t>
  </si>
  <si>
    <t>DIVISION_8</t>
  </si>
  <si>
    <t>@SEG9_REV</t>
  </si>
  <si>
    <t>DIVISION_9</t>
  </si>
  <si>
    <t>@SEG10_REV</t>
  </si>
  <si>
    <t>DIVISION_10</t>
  </si>
  <si>
    <t>@SEG1_PROF1</t>
  </si>
  <si>
    <t>DIVISION_11</t>
  </si>
  <si>
    <t>@SEG2_PROF1</t>
  </si>
  <si>
    <t>DIVISION_12</t>
  </si>
  <si>
    <t>@SEG3_PROF1</t>
  </si>
  <si>
    <t>DIVISION_13</t>
  </si>
  <si>
    <t>@SEG4_PROF1</t>
  </si>
  <si>
    <t>DIVISION_14</t>
  </si>
  <si>
    <t>@SEG5_PROF1</t>
  </si>
  <si>
    <t>DIVISION_15</t>
  </si>
  <si>
    <t>@SEG6_PROF1</t>
  </si>
  <si>
    <t>DIVISION_16</t>
  </si>
  <si>
    <t>@SEG7_PROF1</t>
  </si>
  <si>
    <t>DIVISION_17</t>
  </si>
  <si>
    <t>@SEG8_PROF1</t>
  </si>
  <si>
    <t>DIVISION_18</t>
  </si>
  <si>
    <t>@SEG9_PROF1</t>
  </si>
  <si>
    <t>DIVISION_19</t>
  </si>
  <si>
    <t>@SEG10_PROF1</t>
  </si>
  <si>
    <t>DIVISION_20</t>
  </si>
  <si>
    <t>Section VIII - Key Macro Assumptions</t>
  </si>
  <si>
    <t>@KEYMACASS1</t>
  </si>
  <si>
    <t>KEYMACASS1</t>
  </si>
  <si>
    <t>@KEYMACASS2</t>
  </si>
  <si>
    <t>KEYMACASS2</t>
  </si>
  <si>
    <t>@KEYMACASS3</t>
  </si>
  <si>
    <t>KEYMACASS3</t>
  </si>
  <si>
    <t>@KEYMACASS4</t>
  </si>
  <si>
    <t>KEYMACASS4</t>
  </si>
  <si>
    <t>@KEYMACASS5</t>
  </si>
  <si>
    <t>KEYMACASS5</t>
  </si>
  <si>
    <t>@KEYMACASS6</t>
  </si>
  <si>
    <t>KEYMACASS6</t>
  </si>
  <si>
    <t>@KEYMACASS7</t>
  </si>
  <si>
    <t>KEYMACASS7</t>
  </si>
  <si>
    <t>@KEYMACASS8</t>
  </si>
  <si>
    <t>KEYMACASS8</t>
  </si>
  <si>
    <t>@KEYMACASS9</t>
  </si>
  <si>
    <t>KEYMACASS9</t>
  </si>
  <si>
    <t>@KEYMACASS10</t>
  </si>
  <si>
    <t>KEYMACASS10</t>
  </si>
  <si>
    <t>Section IX - Aggregated Items</t>
  </si>
  <si>
    <t>@EBIT_ASSO</t>
  </si>
  <si>
    <t>EBIT_ASSO</t>
  </si>
  <si>
    <t>EBIT (incl associates)</t>
  </si>
  <si>
    <t>@MIN_ASSO</t>
  </si>
  <si>
    <t>MIN_ASSO</t>
  </si>
  <si>
    <t>Other/Outside equity interests</t>
  </si>
  <si>
    <t>@NET_ABNORMALS</t>
  </si>
  <si>
    <t>NET_ABNORMALS</t>
  </si>
  <si>
    <t>Net abnormal items</t>
  </si>
  <si>
    <t>@OTH_ASSETS</t>
  </si>
  <si>
    <t>OTH_ASSETS</t>
  </si>
  <si>
    <t>Other Assets</t>
  </si>
  <si>
    <t>@OTH_LIAB</t>
  </si>
  <si>
    <t>OTH_LIAB</t>
  </si>
  <si>
    <t>Other Liabilities</t>
  </si>
  <si>
    <t>@TOT_DEBT</t>
  </si>
  <si>
    <t>TOT_DEBT</t>
  </si>
  <si>
    <t>Total Debt</t>
  </si>
  <si>
    <t>@CF_OTHCF</t>
  </si>
  <si>
    <t>CF_OTHCF</t>
  </si>
  <si>
    <t>Other Operating Cashflow</t>
  </si>
  <si>
    <t>@CF_NETACQ</t>
  </si>
  <si>
    <t>CF_NETACQ</t>
  </si>
  <si>
    <t>Net acquisitions / Growth capex</t>
  </si>
  <si>
    <t>@CF_NETBORR</t>
  </si>
  <si>
    <t>CF_NETBORR</t>
  </si>
  <si>
    <t>Net borrowings</t>
  </si>
  <si>
    <t>@CF_OTH</t>
  </si>
  <si>
    <t>CF_OTH</t>
  </si>
  <si>
    <t>@END</t>
  </si>
  <si>
    <t>SKC</t>
  </si>
  <si>
    <t>COMMENTS</t>
  </si>
  <si>
    <t>SEGMENTS - NORMALISED</t>
  </si>
  <si>
    <t>2018A</t>
  </si>
  <si>
    <t>2019A</t>
  </si>
  <si>
    <t>2020A</t>
  </si>
  <si>
    <t>&lt;&lt;&lt; POST RESTATEMENT</t>
  </si>
  <si>
    <t>Underlying EBITDA (ex Adelaide Transformation Costs, Regulatory Fines)</t>
  </si>
  <si>
    <t>Based on current NZ trading price (71cps)</t>
  </si>
  <si>
    <t>Adelaide (A$)</t>
  </si>
  <si>
    <t>P&amp;L - NORMALISED</t>
  </si>
  <si>
    <t>Total revenue</t>
  </si>
  <si>
    <t>OPEX</t>
  </si>
  <si>
    <t>Net interest expense</t>
  </si>
  <si>
    <t>Effective Tax Rate (%)</t>
  </si>
  <si>
    <t>NPAT Growth</t>
  </si>
  <si>
    <t>Share of associates</t>
  </si>
  <si>
    <t>Discontinued Ops</t>
  </si>
  <si>
    <t>Tax paid</t>
  </si>
  <si>
    <t>FFO Growth (%)</t>
  </si>
  <si>
    <t>Change in working capital</t>
  </si>
  <si>
    <t>Operating cash flow</t>
  </si>
  <si>
    <t>OCF Growth (%)</t>
  </si>
  <si>
    <t>CAPEX</t>
  </si>
  <si>
    <t>Other Investments</t>
  </si>
  <si>
    <t>Investing cash flow</t>
  </si>
  <si>
    <t>ICF Growth (%)</t>
  </si>
  <si>
    <t>Movement in borrowing</t>
  </si>
  <si>
    <t>Distributions paid</t>
  </si>
  <si>
    <t>Minority Distributions paid</t>
  </si>
  <si>
    <t>Financing cash flow</t>
  </si>
  <si>
    <t>Change in cash and cash equivalents</t>
  </si>
  <si>
    <t>FX adjustments</t>
  </si>
  <si>
    <t>Net cash flow</t>
  </si>
  <si>
    <t xml:space="preserve">Opening cash </t>
  </si>
  <si>
    <t>Closing cash</t>
  </si>
  <si>
    <t>MEMO — Adelaide ~A$180m UNRECOGNISED tax losses (off-B/S). Tax value ~A$54m @30% (approx NZ$63m). Optionality for NAV/SOTP; NOT in DTA or ETR (ETR correctly kept at 30%). Recognise as a one-off tax credit only if Adelaide profits become probable.</t>
  </si>
  <si>
    <t>TOTAL Assets</t>
  </si>
  <si>
    <t>Total Current Liabilities</t>
  </si>
  <si>
    <t>TOTAL Liabilities</t>
  </si>
  <si>
    <t>Total Equity</t>
  </si>
  <si>
    <t>Net Debt to EBITDA (T-12m)</t>
  </si>
  <si>
    <t>Net Debt/Capital</t>
  </si>
  <si>
    <t>KEY METRICS</t>
  </si>
  <si>
    <t>Shares on issue (m) - Opening</t>
  </si>
  <si>
    <t>Shares on issue (m) - Close</t>
  </si>
  <si>
    <t>Shares on issue (m) - Average</t>
  </si>
  <si>
    <t>EPS (cps) - normalised</t>
  </si>
  <si>
    <t>EPS (cps) - reported</t>
  </si>
  <si>
    <t>DPS (cps)</t>
  </si>
  <si>
    <t>FCF ($m)</t>
  </si>
  <si>
    <t>FCF (cps)</t>
  </si>
  <si>
    <t>Share Price</t>
  </si>
  <si>
    <t>P/E</t>
  </si>
  <si>
    <t>EV/EBITDA</t>
  </si>
  <si>
    <t>EV/EBIT</t>
  </si>
  <si>
    <t>SUMMARY</t>
  </si>
  <si>
    <t>Normalised</t>
  </si>
  <si>
    <t>EPS (cps)</t>
  </si>
  <si>
    <t>Cash Flow Statement</t>
  </si>
  <si>
    <t>FCF (OCF less capex)</t>
  </si>
  <si>
    <t>Balance Sheet</t>
  </si>
  <si>
    <t>Local Tables</t>
  </si>
  <si>
    <t>SkyCity 1H26 Result - Headline (NZ$m)</t>
  </si>
  <si>
    <t>SkyCity FY26 Result - Headline (NZ$m)</t>
  </si>
  <si>
    <t>1H22A</t>
  </si>
  <si>
    <t>2H22A</t>
  </si>
  <si>
    <t>1H23A</t>
  </si>
  <si>
    <t>2H23A</t>
  </si>
  <si>
    <t>1H24A</t>
  </si>
  <si>
    <t>2H24E</t>
  </si>
  <si>
    <t>1H25E</t>
  </si>
  <si>
    <t>2H25E</t>
  </si>
  <si>
    <t>1H26E</t>
  </si>
  <si>
    <t>2H26E</t>
  </si>
  <si>
    <t>1H27E</t>
  </si>
  <si>
    <t>2H27E</t>
  </si>
  <si>
    <t>1H25A</t>
  </si>
  <si>
    <t>% change</t>
  </si>
  <si>
    <t>E&amp;Pe 1H26E</t>
  </si>
  <si>
    <t>% diff</t>
  </si>
  <si>
    <t>VA Cons. 1H26E</t>
  </si>
  <si>
    <t>1H25</t>
  </si>
  <si>
    <t>1H22</t>
  </si>
  <si>
    <t>2H22</t>
  </si>
  <si>
    <t>1H23</t>
  </si>
  <si>
    <t>2H23</t>
  </si>
  <si>
    <t>1H24</t>
  </si>
  <si>
    <t>2H24</t>
  </si>
  <si>
    <t>2H25</t>
  </si>
  <si>
    <t>1H26</t>
  </si>
  <si>
    <t>2H26</t>
  </si>
  <si>
    <t>1H27</t>
  </si>
  <si>
    <t>2H27</t>
  </si>
  <si>
    <t>FY22A</t>
  </si>
  <si>
    <t>FY23A</t>
  </si>
  <si>
    <t>FY24E</t>
  </si>
  <si>
    <t>FY25E</t>
  </si>
  <si>
    <t>FY26E</t>
  </si>
  <si>
    <t>FY27E</t>
  </si>
  <si>
    <t>FY25A</t>
  </si>
  <si>
    <t>E&amp;Pe FY26E</t>
  </si>
  <si>
    <t>VA Cons. FY26E</t>
  </si>
  <si>
    <t>FY24</t>
  </si>
  <si>
    <t>FY22</t>
  </si>
  <si>
    <t>FY23</t>
  </si>
  <si>
    <t>FY25</t>
  </si>
  <si>
    <t>FY26</t>
  </si>
  <si>
    <t>FY27</t>
  </si>
  <si>
    <t>P&amp;L - Normalised</t>
  </si>
  <si>
    <t>SKC_NZ</t>
  </si>
  <si>
    <t>Total revenue - Operating</t>
  </si>
  <si>
    <t>consensus.vaactuals</t>
  </si>
  <si>
    <t>EBITDA - Operating</t>
  </si>
  <si>
    <t>Operating income/(loss) - Operating</t>
  </si>
  <si>
    <t>Net income/(loss) - Operating</t>
  </si>
  <si>
    <t>EPS - Basic - Operating</t>
  </si>
  <si>
    <t>na</t>
  </si>
  <si>
    <t>na'd</t>
  </si>
  <si>
    <t>Dividend per share</t>
  </si>
  <si>
    <t>P&amp;L - Reported</t>
  </si>
  <si>
    <t>Operating income/(loss)</t>
  </si>
  <si>
    <t>Net income/(loss)</t>
  </si>
  <si>
    <t>EPS - Basic</t>
  </si>
  <si>
    <t>SkyCity 1H26 Result - Locations (NZ$m)</t>
  </si>
  <si>
    <t>SkyCity FY26 Result - Locations (NZ$m)</t>
  </si>
  <si>
    <t>Location Revenue</t>
  </si>
  <si>
    <t>Total revenue - Domestic - Auckland</t>
  </si>
  <si>
    <t>Total revenue - Domestic - Hamilton and Queenstown</t>
  </si>
  <si>
    <t>Total revenue - Domestic - Adelaide</t>
  </si>
  <si>
    <t>Online</t>
  </si>
  <si>
    <t>Total revenue - Online &amp; e-sports</t>
  </si>
  <si>
    <t>Segment Revenue</t>
  </si>
  <si>
    <t>Location EBITDA</t>
  </si>
  <si>
    <t>EBITDA - Domestic - Auckland</t>
  </si>
  <si>
    <t>Hamilton</t>
  </si>
  <si>
    <t>EBITDA - Domestic - Hamilton and Queenstown</t>
  </si>
  <si>
    <t>EBITDA - Domestic - Adelaide</t>
  </si>
  <si>
    <t>Online (ex GiG equity)</t>
  </si>
  <si>
    <t>EBITDA - Online &amp; e-sports</t>
  </si>
  <si>
    <t>EBITDA - Corporate costs</t>
  </si>
  <si>
    <t>Segment EBITDA</t>
  </si>
  <si>
    <t>SkyCity 1H26 Result - Segments (NZ$m)</t>
  </si>
  <si>
    <t>SkyCity FY26 Result - Segments (NZ$m)</t>
  </si>
  <si>
    <t>Total revenue - Slot - Auckland</t>
  </si>
  <si>
    <t>Total revenue - Slot - Hamilton</t>
  </si>
  <si>
    <t>Total revenue - Slot - Hamilton and Queenstown</t>
  </si>
  <si>
    <t>Total revenue - Slot - Adelaide</t>
  </si>
  <si>
    <t>Total revenue - Local table - Auckland</t>
  </si>
  <si>
    <t>Total revenue - Local table - Hamilton and Queenstown</t>
  </si>
  <si>
    <t>Total revenue - Local table - Adelaide</t>
  </si>
  <si>
    <t>Total revenue - Non-Gaming - Auckland</t>
  </si>
  <si>
    <t>Total revenue - Non-Gaming - Hamilton and Queenstown</t>
  </si>
  <si>
    <t>Total revenue - Non-Gaming - Adelaide</t>
  </si>
  <si>
    <t>FY24A</t>
  </si>
  <si>
    <t>FY28E</t>
  </si>
  <si>
    <t>New</t>
  </si>
  <si>
    <t>Old</t>
  </si>
  <si>
    <t>ClosePrice</t>
  </si>
  <si>
    <t>AUDUSD.FX</t>
  </si>
  <si>
    <t>2H24A</t>
  </si>
  <si>
    <t>2H25A</t>
  </si>
  <si>
    <t>1H26A</t>
  </si>
  <si>
    <t>3Q</t>
  </si>
  <si>
    <t>4Q</t>
  </si>
  <si>
    <t>4Q FY run rate (FY27)</t>
  </si>
  <si>
    <t>Consenus</t>
  </si>
  <si>
    <t>BM Input/Calc</t>
  </si>
  <si>
    <t>1H18</t>
  </si>
  <si>
    <t>2H18</t>
  </si>
  <si>
    <t>1H19</t>
  </si>
  <si>
    <t>2H19</t>
  </si>
  <si>
    <t>1H20</t>
  </si>
  <si>
    <t>2H20</t>
  </si>
  <si>
    <t>1H21</t>
  </si>
  <si>
    <t>2H21</t>
  </si>
  <si>
    <t>1H28</t>
  </si>
  <si>
    <t>2H28</t>
  </si>
  <si>
    <t>Aristo Period</t>
  </si>
  <si>
    <t>Period</t>
  </si>
  <si>
    <t>Units</t>
  </si>
  <si>
    <t>1H18A</t>
  </si>
  <si>
    <t>2H18A</t>
  </si>
  <si>
    <t>1H19A</t>
  </si>
  <si>
    <t>2H19A</t>
  </si>
  <si>
    <t>1H20A</t>
  </si>
  <si>
    <t>2H20A</t>
  </si>
  <si>
    <t>1H21A</t>
  </si>
  <si>
    <t>2H21A</t>
  </si>
  <si>
    <t>1H24E</t>
  </si>
  <si>
    <t>1H28E</t>
  </si>
  <si>
    <t>2H28E</t>
  </si>
  <si>
    <t>Date Ended</t>
  </si>
  <si>
    <t>VA</t>
  </si>
  <si>
    <t>E&amp;P</t>
  </si>
  <si>
    <t>E&amp;P vs. Cons</t>
  </si>
  <si>
    <t>Total revenue - Hamilton</t>
  </si>
  <si>
    <t>Total revenue - Queenstown</t>
  </si>
  <si>
    <t>currency</t>
  </si>
  <si>
    <t>Total revenue - International - Operating</t>
  </si>
  <si>
    <t>EBITDA - Hamilton</t>
  </si>
  <si>
    <t>EBITDA - Queenstown</t>
  </si>
  <si>
    <t>EBITDA - International - Operating</t>
  </si>
  <si>
    <t>GiG Equity</t>
  </si>
  <si>
    <t>SLOTS</t>
  </si>
  <si>
    <t>Number of slot machines - Auckland</t>
  </si>
  <si>
    <t>Slot machine win per unit per day - Auckland</t>
  </si>
  <si>
    <t>TABLES</t>
  </si>
  <si>
    <t>Total revenue - Table - Auckland</t>
  </si>
  <si>
    <t>Number of tables - Auckland</t>
  </si>
  <si>
    <t>ATG's or just tables?</t>
  </si>
  <si>
    <t>Table games win per unit per day - Auckland</t>
  </si>
  <si>
    <t>NON GAMING</t>
  </si>
  <si>
    <t>P&amp;L</t>
  </si>
  <si>
    <t>HAMILTON</t>
  </si>
  <si>
    <t>Number of slot machines - Hamilton</t>
  </si>
  <si>
    <t>Slot machine win per unit per day - Hamilton</t>
  </si>
  <si>
    <t>Total revenue - Table - Hamilton</t>
  </si>
  <si>
    <t>Number of tables - Hamilton</t>
  </si>
  <si>
    <t>Table games win per unit per day - Hamilton</t>
  </si>
  <si>
    <t>Total revenue - Non-Gaming - Hamilton</t>
  </si>
  <si>
    <t>QUEENSTOWN</t>
  </si>
  <si>
    <t>Total revenue - Slot - Queenstown</t>
  </si>
  <si>
    <t>Number of slot machines - Queenstown</t>
  </si>
  <si>
    <t>Slot machine win per unit per day - Queenstown</t>
  </si>
  <si>
    <t>Total revenue - Table - Queenstown</t>
  </si>
  <si>
    <t>Number of tables - Queenstown</t>
  </si>
  <si>
    <t>Table games win per unit per day - Queenstown</t>
  </si>
  <si>
    <t>Total revenue - Non-Gaming - Queenstown</t>
  </si>
  <si>
    <t>EXCHANGE RATE</t>
  </si>
  <si>
    <t>Exchange Rate- AUD to NZD</t>
  </si>
  <si>
    <t>Total revenue - Slot - Adelaide (A$)</t>
  </si>
  <si>
    <t>Number of slot machines - Adelaide</t>
  </si>
  <si>
    <t>Slot machine win per unit per day - Adelaide (A$)</t>
  </si>
  <si>
    <t>Total revenue - Table - Adelaide (A$)</t>
  </si>
  <si>
    <t>Number of tables - Adelaide</t>
  </si>
  <si>
    <t>Table games win per unit per day - Adelaide (A$)</t>
  </si>
  <si>
    <t>Total revenue - Non-Gaming - Adelaide (A$)</t>
  </si>
  <si>
    <t>INCOME STATEMENT</t>
  </si>
  <si>
    <t>NORMALISED</t>
  </si>
  <si>
    <t>Operating expenses excl. depreciation - Operating</t>
  </si>
  <si>
    <t>Depreciation &amp; amortisation - Operating</t>
  </si>
  <si>
    <t>Interest income/(expense), net - Operating</t>
  </si>
  <si>
    <t>Provision/(benefit) for income taxes - Operating</t>
  </si>
  <si>
    <t>Shares - Basic</t>
  </si>
  <si>
    <t>REPORTED</t>
  </si>
  <si>
    <t>Operating expenses excl. depreciation</t>
  </si>
  <si>
    <t>Depreciation &amp; amortisation</t>
  </si>
  <si>
    <t>Interest income/(expense), net</t>
  </si>
  <si>
    <t>Provision/(benefit) for income taxes</t>
  </si>
  <si>
    <t>TLC</t>
  </si>
  <si>
    <t>FY21A</t>
  </si>
  <si>
    <t>FY26A</t>
  </si>
  <si>
    <t>FY27A</t>
  </si>
  <si>
    <t>FY28A</t>
  </si>
  <si>
    <t>FY29A</t>
  </si>
  <si>
    <t>FY30A</t>
  </si>
  <si>
    <t>1H29E</t>
  </si>
  <si>
    <t>2H29E</t>
  </si>
  <si>
    <t>1H30E</t>
  </si>
  <si>
    <t>2H30E</t>
  </si>
  <si>
    <t>Total Domestic Revenue</t>
  </si>
  <si>
    <t>Total Domestic Revenue excl. GST</t>
  </si>
  <si>
    <t>EBITDA excl. IB</t>
  </si>
  <si>
    <t>VIP</t>
  </si>
  <si>
    <t>Turnover</t>
  </si>
  <si>
    <t>Normalised EBITDA</t>
  </si>
  <si>
    <t>SEGMENTS - REVENUE</t>
  </si>
  <si>
    <t>Queenstown</t>
  </si>
  <si>
    <t>Adelaide (NZ$)</t>
  </si>
  <si>
    <t>VIP - normalised</t>
  </si>
  <si>
    <t>Other (balancing) incl esports</t>
  </si>
  <si>
    <t>SEGMENTS - EBITDA</t>
  </si>
  <si>
    <t>Other Listed Costs (eg. NZICC)</t>
  </si>
  <si>
    <t>D&amp;A Expense</t>
  </si>
  <si>
    <t>P&amp;L - REPORTED</t>
  </si>
  <si>
    <t>Reported  Revenue</t>
  </si>
  <si>
    <t>Reported  EBITDA</t>
  </si>
  <si>
    <t>Reported  EBIT</t>
  </si>
  <si>
    <t>Terminal EV/EBITDA</t>
  </si>
  <si>
    <t>A$/sh</t>
  </si>
  <si>
    <t>AUCKLANDSlots</t>
  </si>
  <si>
    <t>AUCKLANDTables</t>
  </si>
  <si>
    <t>AUCKLANDNon Gaming</t>
  </si>
  <si>
    <t>AUCKLANDTotal Domestic Revenue</t>
  </si>
  <si>
    <t>AUCKLANDTotal Domestic Revenue excl. GST</t>
  </si>
  <si>
    <t>AUCKLANDEBITDA excl. IB</t>
  </si>
  <si>
    <t>HAMILTONSlots</t>
  </si>
  <si>
    <t>HAMILTONTables</t>
  </si>
  <si>
    <t>HAMILTONNon Gaming</t>
  </si>
  <si>
    <t>HAMILTONTotal Domestic Revenue</t>
  </si>
  <si>
    <t>HAMILTONTotal Domestic Revenue excl. GST</t>
  </si>
  <si>
    <t>HAMILTONEBITDA excl. IB</t>
  </si>
  <si>
    <t>QUEENSTOWNSlots</t>
  </si>
  <si>
    <t>QUEENSTOWNTables</t>
  </si>
  <si>
    <t>QUEENSTOWNNon Gaming</t>
  </si>
  <si>
    <t>QUEENSTOWNTotal Domestic Revenue</t>
  </si>
  <si>
    <t>QUEENSTOWNTotal Domestic Revenue excl. GST</t>
  </si>
  <si>
    <t>QUEENSTOWNEBITDA excl. IB</t>
  </si>
  <si>
    <t>ADELAIDESlots</t>
  </si>
  <si>
    <t>ADELAIDETables</t>
  </si>
  <si>
    <t>ADELAIDENon Gaming</t>
  </si>
  <si>
    <t>ADELAIDETotal Domestic Revenue</t>
  </si>
  <si>
    <t>ADELAIDETotal Domestic Revenue excl. GST</t>
  </si>
  <si>
    <t>ADELAIDEEBITDA excl. IB</t>
  </si>
  <si>
    <t>VIPTurnover</t>
  </si>
  <si>
    <t>VIPReported Revenue</t>
  </si>
  <si>
    <t>VIPNormalised Revenue</t>
  </si>
  <si>
    <t>VIPReported EBITDA</t>
  </si>
  <si>
    <t>VIPNormalised EBITDA</t>
  </si>
  <si>
    <t>SKYCITY ONLINEGaming Revenue - net of Jackpot &amp; Bonusing</t>
  </si>
  <si>
    <t>SKYCITY ONLINEGaming Revenue - Attributable to SkyCity</t>
  </si>
  <si>
    <t>SKYCITY ONLINEExpenses</t>
  </si>
  <si>
    <t>SKYCITY ONLINEEBITDA</t>
  </si>
  <si>
    <t>SKYCITY ONLINEEBITDA - incl. Equity Earnings</t>
  </si>
  <si>
    <t>SEGMENTS - REVENUEAuckland</t>
  </si>
  <si>
    <t>SEGMENTS - REVENUEHamilton</t>
  </si>
  <si>
    <t>SEGMENTS - REVENUEQueenstown</t>
  </si>
  <si>
    <t>SEGMENTS - REVENUEAdelaide (NZ$)</t>
  </si>
  <si>
    <t>SEGMENTS - REVENUEVIP - normalised</t>
  </si>
  <si>
    <t>SEGMENTS - REVENUEOnline (from segments)</t>
  </si>
  <si>
    <t>SEGMENTS - REVENUEOther (balancing) incl esports</t>
  </si>
  <si>
    <t>SEGMENTS - REVENUENormalised  Revenue</t>
  </si>
  <si>
    <t>SEGMENTS - EBITDAAuckland</t>
  </si>
  <si>
    <t>SEGMENTS - EBITDAHamilton</t>
  </si>
  <si>
    <t>SEGMENTS - EBITDAQueenstown</t>
  </si>
  <si>
    <t>SEGMENTS - EBITDAAdelaide (NZ$)</t>
  </si>
  <si>
    <t>SEGMENTS - EBITDAVIP - normalised</t>
  </si>
  <si>
    <t>SEGMENTS - EBITDAOnline (from segments)</t>
  </si>
  <si>
    <t>SEGMENTS - EBITDACorporate Costs</t>
  </si>
  <si>
    <t>SEGMENTS - EBITDAOther Listed Costs (eg. NZICC)</t>
  </si>
  <si>
    <t>SEGMENTS - EBITDAOther (balancing) incl esports</t>
  </si>
  <si>
    <t>SEGMENTS - EBITDANormalised  EBITDA</t>
  </si>
  <si>
    <t>P&amp;L - NORMALISEDNormalised  Revenue</t>
  </si>
  <si>
    <t>P&amp;L - NORMALISEDExpenses</t>
  </si>
  <si>
    <t>P&amp;L - NORMALISEDNormalised  EBITDA</t>
  </si>
  <si>
    <t>P&amp;L - NORMALISEDD&amp;A Expense</t>
  </si>
  <si>
    <t>P&amp;L - NORMALISEDNormalised  EBIT</t>
  </si>
  <si>
    <t>P&amp;L - NORMALISEDNet Finance Costs</t>
  </si>
  <si>
    <t>P&amp;L - NORMALISEDNPBT</t>
  </si>
  <si>
    <t>P&amp;L - NORMALISEDIncome Tax Expense</t>
  </si>
  <si>
    <t>P&amp;L - NORMALISEDNormalised NPAT</t>
  </si>
  <si>
    <t>P&amp;L - NORMALISEDNormlised EPS - diluted</t>
  </si>
  <si>
    <t>P&amp;L - NORMALISEDDPS</t>
  </si>
  <si>
    <t>P&amp;L - REPORTEDReported  Revenue</t>
  </si>
  <si>
    <t>P&amp;L - REPORTEDExpenses</t>
  </si>
  <si>
    <t>P&amp;L - REPORTEDReported  EBITDA</t>
  </si>
  <si>
    <t>P&amp;L - REPORTEDD&amp;A Expense</t>
  </si>
  <si>
    <t>P&amp;L - REPORTEDReported  EBIT</t>
  </si>
  <si>
    <t>P&amp;L - REPORTEDNet Finance Costs</t>
  </si>
  <si>
    <t>P&amp;L - REPORTEDNPBT</t>
  </si>
  <si>
    <t>P&amp;L - REPORTEDIncome Tax Expense</t>
  </si>
  <si>
    <t>P&amp;L - REPORTEDReported NPAT</t>
  </si>
  <si>
    <t>P&amp;L - REPORTEDReported EPS - diluted</t>
  </si>
  <si>
    <t>P&amp;L - REPORTEDDPS</t>
  </si>
  <si>
    <t>VALUATIONDiscount Rate</t>
  </si>
  <si>
    <t>VALUATIONTerminal EV/EBITDA</t>
  </si>
  <si>
    <t>VALUATIONValuation</t>
  </si>
  <si>
    <t>VALUATIONDate</t>
  </si>
  <si>
    <t>Slot Revenue - old</t>
  </si>
  <si>
    <t>Slot Revenue - New</t>
  </si>
  <si>
    <t>- Growth</t>
  </si>
  <si>
    <t>- Revision</t>
  </si>
  <si>
    <t>Tables Revenue - old</t>
  </si>
  <si>
    <t>Tables Revenue - New</t>
  </si>
  <si>
    <t>Non Gaming Revenue - old</t>
  </si>
  <si>
    <t>Non Gaming Revenue - New</t>
  </si>
  <si>
    <t>Total Domestic Revenue - old</t>
  </si>
  <si>
    <t>Total Domestic Revenue - New</t>
  </si>
  <si>
    <t>Total Domestic Revenue excl. GST - old</t>
  </si>
  <si>
    <t>Total Domestic Revenue excl. GST - New</t>
  </si>
  <si>
    <t>EBITDA excl. IB - old</t>
  </si>
  <si>
    <t>EBITDA excl. IB - New</t>
  </si>
  <si>
    <t>Turnover - old</t>
  </si>
  <si>
    <t>Turnover - New</t>
  </si>
  <si>
    <t>Reported Revenue - old</t>
  </si>
  <si>
    <t>Reported Revenue - New</t>
  </si>
  <si>
    <t>Normalised Revenue - old</t>
  </si>
  <si>
    <t>Normalised Revenue - New</t>
  </si>
  <si>
    <t>Reported EBITDA - old</t>
  </si>
  <si>
    <t>Reported EBITDA - New</t>
  </si>
  <si>
    <t>Normalised EBITDA - old</t>
  </si>
  <si>
    <t>Normalised EBITDA - New</t>
  </si>
  <si>
    <t>Gaming Revenue - net of Jackpot &amp; Bonusing - old</t>
  </si>
  <si>
    <t>Gaming Revenue - net of Jackpot &amp; Bonusing - New</t>
  </si>
  <si>
    <t>Gaming Revenue - Attributable to SkyCity- old</t>
  </si>
  <si>
    <t>Gaming Revenue - Attributable to SkyCity - New</t>
  </si>
  <si>
    <t>Expenses - old</t>
  </si>
  <si>
    <t>Expenses - New</t>
  </si>
  <si>
    <t>EBITDA - old</t>
  </si>
  <si>
    <t>EBITDA - New</t>
  </si>
  <si>
    <t>EBITDA - incl. Equity Earnings - old</t>
  </si>
  <si>
    <t>EBITDA - incl. Equity Earnings - New</t>
  </si>
  <si>
    <t>Auckland - old</t>
  </si>
  <si>
    <t>Auckland - New</t>
  </si>
  <si>
    <t>Hamilton - old</t>
  </si>
  <si>
    <t>Hamilton - New</t>
  </si>
  <si>
    <t>Queenstown - old</t>
  </si>
  <si>
    <t>Queenstown - New</t>
  </si>
  <si>
    <t>Adelaide - old</t>
  </si>
  <si>
    <t>Adelaide - New</t>
  </si>
  <si>
    <t>VIP - normalised - old</t>
  </si>
  <si>
    <t>VIP - normalised - New</t>
  </si>
  <si>
    <t>Online - old</t>
  </si>
  <si>
    <t>Online - New</t>
  </si>
  <si>
    <t>Other - old</t>
  </si>
  <si>
    <t>Other - New</t>
  </si>
  <si>
    <t>Total Normalised Revenue - old</t>
  </si>
  <si>
    <t>Total Normalised Revenue - New</t>
  </si>
  <si>
    <t>Corporate Costs - old</t>
  </si>
  <si>
    <t>Corporate Costs - New</t>
  </si>
  <si>
    <t>Other Listed Costs (eg. NZICC) - old</t>
  </si>
  <si>
    <t>Other Listed Costs (eg. NZICC) - New</t>
  </si>
  <si>
    <t>Total Normalised EBITDA - old</t>
  </si>
  <si>
    <t>Total Normalised EBITDA - New</t>
  </si>
  <si>
    <t>Normalised  Revenue - old</t>
  </si>
  <si>
    <t>Normalised  Revenue - New</t>
  </si>
  <si>
    <t>D&amp;A Expense - old</t>
  </si>
  <si>
    <t>D&amp;A Expense - New</t>
  </si>
  <si>
    <t>Normalised EBIT - old</t>
  </si>
  <si>
    <t>Normalised EBIT - New</t>
  </si>
  <si>
    <t>Net Finance Costs - old</t>
  </si>
  <si>
    <t>Net Finance Costs - New</t>
  </si>
  <si>
    <t>NPBT - old</t>
  </si>
  <si>
    <t>NPBT - New</t>
  </si>
  <si>
    <t>Income Tax Expense - old</t>
  </si>
  <si>
    <t>Income Tax Expense - New</t>
  </si>
  <si>
    <t>Normalised NPAT - old</t>
  </si>
  <si>
    <t>Normalised NPAT - New</t>
  </si>
  <si>
    <t>Normlised EPS - diluted - old</t>
  </si>
  <si>
    <t>Normlised EPS - diluted - New</t>
  </si>
  <si>
    <t>DPS - old</t>
  </si>
  <si>
    <t>DPS - New</t>
  </si>
  <si>
    <t>P&amp;L - REPORTEDREPORTED  Revenue</t>
  </si>
  <si>
    <t>P&amp;L - REPORTEDREPORTED  EBITDA</t>
  </si>
  <si>
    <t>P&amp;L - REPORTEDREPORTED  EBIT</t>
  </si>
  <si>
    <t>Reported EBIT - old</t>
  </si>
  <si>
    <t>Reported EBIT - New</t>
  </si>
  <si>
    <t>P&amp;L - REPORTEDREPORTED NPAT</t>
  </si>
  <si>
    <t>Reported NPAT - old</t>
  </si>
  <si>
    <t>Reported NPAT - New</t>
  </si>
  <si>
    <t>Reported EPS - diluted - old</t>
  </si>
  <si>
    <t>Reported EPS - diluted - New</t>
  </si>
  <si>
    <t>Valuation - old</t>
  </si>
  <si>
    <t>Valuation - New</t>
  </si>
  <si>
    <t>Employees - Total</t>
  </si>
  <si>
    <t xml:space="preserve">Total </t>
  </si>
  <si>
    <t>Employees - FTE</t>
  </si>
  <si>
    <t>Employees - Type</t>
  </si>
  <si>
    <t>Full Time</t>
  </si>
  <si>
    <t>Casual / On Demand</t>
  </si>
  <si>
    <t>Part Time</t>
  </si>
  <si>
    <t>Employees - Ethnicity</t>
  </si>
  <si>
    <t>Chinese</t>
  </si>
  <si>
    <t>New Zealander</t>
  </si>
  <si>
    <t>Austrailian</t>
  </si>
  <si>
    <t>Indian</t>
  </si>
  <si>
    <t>Filipino</t>
  </si>
  <si>
    <t>Other Asian</t>
  </si>
  <si>
    <t>Maori</t>
  </si>
  <si>
    <t>Other South East Asian</t>
  </si>
  <si>
    <t>Samoan</t>
  </si>
  <si>
    <t>European</t>
  </si>
  <si>
    <t>Total</t>
  </si>
  <si>
    <t>KPI's</t>
  </si>
  <si>
    <t>SAM CHECK Annual Reports, Transcripts &amp; Investor Day Presentations</t>
  </si>
  <si>
    <t>FACILITES</t>
  </si>
  <si>
    <t>Hotel Rooms</t>
  </si>
  <si>
    <t>Group</t>
  </si>
  <si>
    <t>Restaurants &amp; Bars</t>
  </si>
  <si>
    <t>VIP Saloons</t>
  </si>
  <si>
    <t>Car Spaces</t>
  </si>
  <si>
    <t>Licence Length</t>
  </si>
  <si>
    <t>Occupancy Rates</t>
  </si>
  <si>
    <t>Auckland Hotels - Revenue incl GST</t>
  </si>
  <si>
    <t>Auckland Hotels - GST</t>
  </si>
  <si>
    <t>Auckland Hotels - Revenue ex GST</t>
  </si>
  <si>
    <t>The Grand by SkyCity</t>
  </si>
  <si>
    <t>SkyCity Hotel</t>
  </si>
  <si>
    <t>Auckland Hotels - Rooms</t>
  </si>
  <si>
    <t>Horizon Hotel</t>
  </si>
  <si>
    <t>Auckland Hotels - Occupancy</t>
  </si>
  <si>
    <t>Auckland Hotels - Average Room Rate</t>
  </si>
  <si>
    <t>Auckland Hotels - Room Nights Avaliable</t>
  </si>
  <si>
    <t>Auckland Hotels - Avaliability</t>
  </si>
  <si>
    <t>Auckland Hotels - P&amp;L</t>
  </si>
  <si>
    <t>EGM Market Share</t>
  </si>
  <si>
    <t>FY18</t>
  </si>
  <si>
    <t>FY19</t>
  </si>
  <si>
    <t>FY20</t>
  </si>
  <si>
    <t>Expense Breakdown</t>
  </si>
  <si>
    <t>Split of Expenses - Group</t>
  </si>
  <si>
    <t>Man Power</t>
  </si>
  <si>
    <t>Taxes &amp; Levies</t>
  </si>
  <si>
    <t>Cost of Sales</t>
  </si>
  <si>
    <t>Facilities Management</t>
  </si>
  <si>
    <t>ICT</t>
  </si>
  <si>
    <t>Professional Fees</t>
  </si>
  <si>
    <t>Marketing</t>
  </si>
  <si>
    <t>Reported Capex</t>
  </si>
  <si>
    <t>Location</t>
  </si>
  <si>
    <t>Corporate</t>
  </si>
  <si>
    <t>Gaming Product</t>
  </si>
  <si>
    <t>Systems/Hardware</t>
  </si>
  <si>
    <t>Property/Facilities</t>
  </si>
  <si>
    <t>Type</t>
  </si>
  <si>
    <t>FY23E</t>
  </si>
  <si>
    <t>Growth</t>
  </si>
  <si>
    <t>Stay in Business</t>
  </si>
  <si>
    <t>FY29E</t>
  </si>
  <si>
    <t>FY30E</t>
  </si>
  <si>
    <t>FY31E</t>
  </si>
  <si>
    <t>FY32E</t>
  </si>
  <si>
    <t>FY33E</t>
  </si>
  <si>
    <t>FY34E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</si>
</sst>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8" formatCode="&quot;$&quot;#,##0.00;[Red]\-&quot;$&quot;#,##0.00"/>
    <numFmt numFmtId="41" formatCode="_-* #,##0_-;\-* #,##0_-;_-* &quot;-&quot;_-;_-@_-"/>
    <numFmt numFmtId="43" formatCode="_-* #,##0.00_-;\-* #,##0.00_-;_-* &quot;-&quot;??_-;_-@_-"/>
    <numFmt numFmtId="164" formatCode="0.0"/>
    <numFmt numFmtId="165" formatCode="0.000"/>
    <numFmt numFmtId="166" formatCode="0&quot;E&quot;"/>
    <numFmt numFmtId="167" formatCode="0.0%"/>
    <numFmt numFmtId="168" formatCode="_-* #,##0.0_-;\-* #,##0.0_-;_-* &quot;-&quot;??_-;_-@_-"/>
    <numFmt numFmtId="169" formatCode="#,##0.0"/>
    <numFmt numFmtId="170" formatCode="#,##0.0000"/>
    <numFmt numFmtId="171" formatCode="#,##0;[Red]\(#,##0\)"/>
    <numFmt numFmtId="172" formatCode="#,##0.0;[Red]\(#,##0.0\)"/>
    <numFmt numFmtId="173" formatCode="0.0000"/>
    <numFmt numFmtId="174" formatCode="_-* #,##0_-;\-* #,##0_-;_-* &quot;-&quot;??_-;_-@_-"/>
    <numFmt numFmtId="175" formatCode="#,##0.0\x"/>
    <numFmt numFmtId="176" formatCode="0.000%"/>
    <numFmt numFmtId="177" formatCode="0.0\x"/>
    <numFmt numFmtId="178" formatCode="&quot;$&quot;#,##0.00_);[Red]\(&quot;$&quot;#,##0.00\)"/>
    <numFmt numFmtId="179" formatCode="[Color10]0.0%;[Red]\-0.0%;\-"/>
    <numFmt numFmtId="180" formatCode="0.00&quot;x&quot;"/>
    <numFmt numFmtId="181" formatCode="0.0%_);\(0.0%\)_);&quot;-  &quot;;&quot; &quot;@&quot; &quot;"/>
    <numFmt numFmtId="182" formatCode="#,##0;\-#,##0;\-"/>
    <numFmt numFmtId="183" formatCode="#,##0.00;\-#,##0.00;\-"/>
    <numFmt numFmtId="184" formatCode="#,##0.0;\-#,##0.0;\-"/>
    <numFmt numFmtId="185" formatCode="0;\(0\)"/>
    <numFmt numFmtId="186" formatCode="#,##0;\(#,##0\)"/>
    <numFmt numFmtId="187" formatCode="0.00;\(0.00\)"/>
    <numFmt numFmtId="188" formatCode="_(* #,##0.0_);_(* \(#,##0.0\);_(* &quot;-&quot;??_);_(@_)"/>
    <numFmt numFmtId="189" formatCode="#,##0.0;\(#,##0.0\)"/>
    <numFmt numFmtId="190" formatCode="_(* #,##0_);_(* \(#,##0\);_(* &quot;-&quot;??_);_(@_)"/>
    <numFmt numFmtId="191" formatCode="_(* #,##0.0000_);_(* \(#,##0.0000\);_(* &quot;-&quot;??_);_(@_)"/>
    <numFmt numFmtId="192" formatCode="#,##0.00\x"/>
    <numFmt numFmtId="193" formatCode="#,##0.0;\-#,##0.0"/>
    <numFmt numFmtId="194" formatCode="0&quot;A&quot;"/>
    <numFmt numFmtId="195" formatCode="#,##0.0&quot;ppts&quot;;\-#,##0.0&quot;ppts&quot;"/>
    <numFmt numFmtId="196" formatCode="_-[$$-C09]* #,##0.00_-;\-[$$-C09]* #,##0.00_-;_-[$$-C09]* &quot;-&quot;??_-;_-@_-"/>
    <numFmt numFmtId="197" formatCode="[Color10]\+0.0%;[Red]\-0.0%;\-"/>
    <numFmt numFmtId="198" formatCode="#,##0.0_);\(#,##0.0\);#,##0.0_);@_)"/>
    <numFmt numFmtId="199" formatCode="_(&quot;$&quot;* #,##0.00_);_(&quot;$&quot;* \(#,##0.00\);_(&quot;$&quot;* &quot;-&quot;??_);_(@_)"/>
  </numFmts>
  <fonts count="96">
    <font>
      <sz val="11"/>
      <color theme="1"/>
      <name val="Calibri"/>
      <family val="2"/>
      <scheme val="minor"/>
    </font>
    <font>
      <sz val="8"/>
      <color theme="1"/>
      <name val="Calibri"/>
      <family val="2"/>
      <scheme val="minor"/>
    </font>
    <font>
      <sz val="8"/>
      <color rgb="FF00B0F0"/>
      <name val="Calibri"/>
      <family val="2"/>
      <scheme val="minor"/>
    </font>
    <font>
      <b/>
      <sz val="8"/>
      <color theme="1"/>
      <name val="Calibri"/>
      <family val="2"/>
      <scheme val="minor"/>
    </font>
    <font>
      <b/>
      <u/>
      <sz val="8"/>
      <color theme="1"/>
      <name val="Calibri"/>
      <family val="2"/>
      <scheme val="minor"/>
    </font>
    <font>
      <sz val="11"/>
      <color theme="1"/>
      <name val="Calibri"/>
      <family val="2"/>
    </font>
    <font>
      <sz val="8"/>
      <color theme="1"/>
      <name val="Calibri"/>
      <family val="2"/>
    </font>
    <font>
      <sz val="8"/>
      <color rgb="FF000000"/>
      <name val="Calibri"/>
      <family val="2"/>
    </font>
    <font>
      <b/>
      <sz val="8"/>
      <color theme="1"/>
      <name val="Calibri"/>
      <family val="2"/>
    </font>
    <font>
      <sz val="8"/>
      <color theme="1"/>
      <name val="Frutiger LT 45 Light"/>
      <family val="2"/>
    </font>
    <font>
      <u/>
      <sz val="10"/>
      <color indexed="12"/>
      <name val="Arial"/>
      <family val="2"/>
    </font>
    <font>
      <b/>
      <sz val="11"/>
      <color theme="0"/>
      <name val="Calibri"/>
      <family val="2"/>
      <scheme val="minor"/>
    </font>
    <font>
      <sz val="11"/>
      <color theme="1"/>
      <name val="Calibri"/>
      <family val="2"/>
      <scheme val="minor"/>
    </font>
    <font>
      <i/>
      <sz val="8"/>
      <color theme="1"/>
      <name val="Calibri"/>
      <family val="2"/>
    </font>
    <font>
      <b/>
      <sz val="8"/>
      <color theme="0"/>
      <name val="Calibri"/>
      <family val="2"/>
    </font>
    <font>
      <sz val="10"/>
      <name val="Times New Roman"/>
      <family val="1"/>
    </font>
    <font>
      <sz val="10"/>
      <name val="Arial"/>
      <family val="2"/>
    </font>
    <font>
      <sz val="8"/>
      <name val="Arial"/>
      <family val="2"/>
    </font>
    <font>
      <sz val="10"/>
      <name val="MS Sans Serif"/>
      <family val="2"/>
    </font>
    <font>
      <sz val="8"/>
      <name val="Helv"/>
    </font>
    <font>
      <sz val="10"/>
      <color theme="1"/>
      <name val="Calibri"/>
      <family val="2"/>
      <scheme val="minor"/>
    </font>
    <font>
      <sz val="10"/>
      <color theme="0"/>
      <name val="Calibri"/>
      <family val="2"/>
      <scheme val="minor"/>
    </font>
    <font>
      <sz val="10"/>
      <name val="Calibri"/>
      <family val="2"/>
      <scheme val="minor"/>
    </font>
    <font>
      <b/>
      <u/>
      <sz val="10"/>
      <name val="Calibri"/>
      <family val="2"/>
      <scheme val="minor"/>
    </font>
    <font>
      <b/>
      <sz val="10"/>
      <name val="Calibri"/>
      <family val="2"/>
      <scheme val="minor"/>
    </font>
    <font>
      <sz val="10"/>
      <color rgb="FF0000FF"/>
      <name val="Calibri"/>
      <family val="2"/>
      <scheme val="minor"/>
    </font>
    <font>
      <sz val="10"/>
      <color rgb="FFFF0000"/>
      <name val="Calibri"/>
      <family val="2"/>
      <scheme val="minor"/>
    </font>
    <font>
      <sz val="10"/>
      <color rgb="FF00B050"/>
      <name val="Calibri"/>
      <family val="2"/>
      <scheme val="minor"/>
    </font>
    <font>
      <b/>
      <sz val="8"/>
      <name val="Calibri"/>
      <family val="2"/>
      <scheme val="minor"/>
    </font>
    <font>
      <sz val="8"/>
      <name val="Calibri"/>
      <family val="2"/>
      <scheme val="minor"/>
    </font>
    <font>
      <b/>
      <sz val="8"/>
      <color theme="0"/>
      <name val="Calibri"/>
      <family val="2"/>
      <scheme val="minor"/>
    </font>
    <font>
      <b/>
      <u/>
      <sz val="8"/>
      <color theme="0"/>
      <name val="Calibri"/>
      <family val="2"/>
      <scheme val="minor"/>
    </font>
    <font>
      <b/>
      <sz val="10"/>
      <color theme="1"/>
      <name val="Calibri"/>
      <family val="2"/>
      <scheme val="minor"/>
    </font>
    <font>
      <u/>
      <sz val="10"/>
      <color theme="10"/>
      <name val="Calibri"/>
      <family val="2"/>
      <scheme val="minor"/>
    </font>
    <font>
      <b/>
      <u/>
      <sz val="8"/>
      <color rgb="FFFF0000"/>
      <name val="Calibri"/>
      <family val="2"/>
      <scheme val="minor"/>
    </font>
    <font>
      <sz val="8"/>
      <color rgb="FFFF0000"/>
      <name val="Calibri"/>
      <family val="2"/>
      <scheme val="minor"/>
    </font>
    <font>
      <sz val="8"/>
      <color rgb="FF0000FF"/>
      <name val="Calibri"/>
      <family val="2"/>
      <scheme val="minor"/>
    </font>
    <font>
      <b/>
      <sz val="8"/>
      <color rgb="FFFF0000"/>
      <name val="Calibri"/>
      <family val="2"/>
      <scheme val="minor"/>
    </font>
    <font>
      <b/>
      <u/>
      <sz val="8"/>
      <name val="Calibri"/>
      <family val="2"/>
      <scheme val="minor"/>
    </font>
    <font>
      <u/>
      <sz val="8"/>
      <color theme="1"/>
      <name val="Calibri"/>
      <family val="2"/>
      <scheme val="minor"/>
    </font>
    <font>
      <i/>
      <sz val="8"/>
      <name val="Calibri"/>
      <family val="2"/>
      <scheme val="minor"/>
    </font>
    <font>
      <sz val="11"/>
      <color rgb="FF0000FF"/>
      <name val="Calibri"/>
      <family val="2"/>
      <scheme val="minor"/>
    </font>
    <font>
      <sz val="8"/>
      <color indexed="8"/>
      <name val="Verdana"/>
      <family val="2"/>
    </font>
    <font>
      <sz val="10"/>
      <color indexed="8"/>
      <name val="Calibri"/>
      <family val="2"/>
      <scheme val="minor"/>
    </font>
    <font>
      <b/>
      <sz val="10"/>
      <color theme="0"/>
      <name val="Calibri"/>
      <family val="2"/>
      <scheme val="minor"/>
    </font>
    <font>
      <sz val="10"/>
      <color theme="4" tint="0.59999389629810485"/>
      <name val="Calibri"/>
      <family val="2"/>
      <scheme val="minor"/>
    </font>
    <font>
      <b/>
      <sz val="10"/>
      <color theme="8" tint="0.59999389629810485"/>
      <name val="Calibri"/>
      <family val="2"/>
      <scheme val="minor"/>
    </font>
    <font>
      <sz val="10"/>
      <color rgb="FF7030A0"/>
      <name val="Calibri"/>
      <family val="2"/>
      <scheme val="minor"/>
    </font>
    <font>
      <b/>
      <sz val="10"/>
      <color theme="4" tint="0.59999389629810485"/>
      <name val="Calibri"/>
      <family val="2"/>
      <scheme val="minor"/>
    </font>
    <font>
      <b/>
      <u/>
      <sz val="11"/>
      <name val="Calibri"/>
      <family val="2"/>
      <scheme val="minor"/>
    </font>
    <font>
      <sz val="8"/>
      <color rgb="FF7030A0"/>
      <name val="Calibri"/>
      <family val="2"/>
      <scheme val="minor"/>
    </font>
    <font>
      <sz val="8"/>
      <color rgb="FF00B050"/>
      <name val="Calibri"/>
      <family val="2"/>
      <scheme val="minor"/>
    </font>
    <font>
      <u/>
      <sz val="8"/>
      <color rgb="FF7030A0"/>
      <name val="Calibri"/>
      <family val="2"/>
      <scheme val="minor"/>
    </font>
    <font>
      <u/>
      <sz val="11"/>
      <color theme="10"/>
      <name val="Calibri"/>
      <family val="2"/>
      <scheme val="minor"/>
    </font>
    <font>
      <sz val="10"/>
      <color theme="1"/>
      <name val="Calibri"/>
      <family val="2"/>
    </font>
    <font>
      <b/>
      <u/>
      <sz val="10"/>
      <color theme="0"/>
      <name val="Calibri"/>
      <family val="2"/>
      <scheme val="minor"/>
    </font>
    <font>
      <b/>
      <u/>
      <sz val="10"/>
      <color rgb="FFFF0000"/>
      <name val="Calibri"/>
      <family val="2"/>
      <scheme val="minor"/>
    </font>
    <font>
      <sz val="8"/>
      <color rgb="FF00B050"/>
      <name val="Calibri"/>
      <family val="2"/>
    </font>
    <font>
      <b/>
      <u/>
      <sz val="8"/>
      <color rgb="FF7030A0"/>
      <name val="Calibri"/>
      <family val="2"/>
      <scheme val="minor"/>
    </font>
    <font>
      <b/>
      <u/>
      <sz val="8"/>
      <color theme="4"/>
      <name val="Calibri"/>
      <family val="2"/>
      <scheme val="minor"/>
    </font>
    <font>
      <b/>
      <sz val="11"/>
      <name val="Calibri"/>
      <family val="2"/>
      <scheme val="minor"/>
    </font>
    <font>
      <b/>
      <sz val="10"/>
      <color rgb="FF0000FF"/>
      <name val="Calibri"/>
      <family val="2"/>
      <scheme val="minor"/>
    </font>
    <font>
      <sz val="11"/>
      <color rgb="FFFF0000"/>
      <name val="Calibri"/>
      <family val="2"/>
      <scheme val="minor"/>
    </font>
    <font>
      <b/>
      <sz val="10"/>
      <color theme="3"/>
      <name val="Calibri"/>
      <family val="2"/>
      <scheme val="minor"/>
    </font>
    <font>
      <sz val="10"/>
      <color rgb="FF000000"/>
      <name val="Calibri"/>
      <family val="2"/>
    </font>
    <font>
      <b/>
      <sz val="10"/>
      <color rgb="FFFFFFFF"/>
      <name val="Calibri"/>
      <family val="2"/>
    </font>
    <font>
      <sz val="10"/>
      <name val="AAFormataRegular"/>
    </font>
    <font>
      <b/>
      <sz val="8"/>
      <color rgb="FF000000"/>
      <name val="Calibri"/>
      <family val="2"/>
    </font>
    <font>
      <b/>
      <sz val="16"/>
      <name val="Calibri"/>
      <family val="2"/>
      <scheme val="minor"/>
    </font>
    <font>
      <b/>
      <sz val="9"/>
      <name val="Calibri"/>
      <family val="2"/>
      <scheme val="minor"/>
    </font>
    <font>
      <b/>
      <sz val="10"/>
      <color indexed="12"/>
      <name val="Calibri"/>
      <family val="2"/>
      <scheme val="minor"/>
    </font>
    <font>
      <b/>
      <sz val="10"/>
      <color indexed="17"/>
      <name val="Calibri"/>
      <family val="2"/>
      <scheme val="minor"/>
    </font>
    <font>
      <sz val="9"/>
      <color theme="0" tint="-0.34998626667073579"/>
      <name val="Calibri"/>
      <family val="2"/>
      <scheme val="minor"/>
    </font>
    <font>
      <sz val="7"/>
      <color rgb="FF002570"/>
      <name val="Calibri"/>
      <family val="2"/>
      <scheme val="minor"/>
    </font>
    <font>
      <u/>
      <sz val="9"/>
      <color theme="0" tint="-0.34998626667073579"/>
      <name val="Calibri"/>
      <family val="2"/>
      <scheme val="minor"/>
    </font>
    <font>
      <b/>
      <sz val="10"/>
      <color indexed="10"/>
      <name val="Calibri"/>
      <family val="2"/>
      <scheme val="minor"/>
    </font>
    <font>
      <i/>
      <sz val="9"/>
      <color theme="0" tint="-0.34998626667073579"/>
      <name val="Calibri"/>
      <family val="2"/>
      <scheme val="minor"/>
    </font>
    <font>
      <i/>
      <sz val="8"/>
      <color rgb="FFFF0000"/>
      <name val="Calibri"/>
      <family val="2"/>
      <scheme val="minor"/>
    </font>
    <font>
      <i/>
      <sz val="8"/>
      <color theme="1"/>
      <name val="Calibri"/>
      <family val="2"/>
      <scheme val="minor"/>
    </font>
    <font>
      <b/>
      <sz val="11"/>
      <color rgb="FFFF0000"/>
      <name val="Calibri"/>
      <family val="2"/>
      <scheme val="minor"/>
    </font>
    <font>
      <sz val="8"/>
      <color theme="0"/>
      <name val="Calibri"/>
      <family val="2"/>
      <scheme val="minor"/>
    </font>
    <font>
      <sz val="7"/>
      <color rgb="FF002570"/>
      <name val="Arial"/>
      <family val="2"/>
    </font>
    <font>
      <sz val="8"/>
      <color theme="1"/>
      <name val="Abadi"/>
      <family val="2"/>
    </font>
    <font>
      <b/>
      <u/>
      <sz val="8"/>
      <color rgb="FF0000FF"/>
      <name val="Calibri"/>
      <family val="2"/>
      <scheme val="minor"/>
    </font>
    <font>
      <b/>
      <sz val="11"/>
      <color theme="1"/>
      <name val="Calibri"/>
      <family val="2"/>
      <scheme val="minor"/>
    </font>
    <font>
      <b/>
      <sz val="11"/>
      <color theme="1"/>
      <name val="Calibri"/>
      <family val="2"/>
    </font>
    <font>
      <sz val="11"/>
      <name val="Calibri"/>
      <family val="2"/>
      <scheme val="minor"/>
    </font>
    <font>
      <b/>
      <sz val="11"/>
      <color rgb="FF0000FF"/>
      <name val="Calibri"/>
      <family val="2"/>
      <scheme val="minor"/>
    </font>
    <font>
      <b/>
      <sz val="10"/>
      <color rgb="FF7030A0"/>
      <name val="Calibri"/>
      <family val="2"/>
      <scheme val="minor"/>
    </font>
    <font>
      <b/>
      <u/>
      <sz val="8"/>
      <color theme="1"/>
      <name val="Calibri"/>
      <family val="2"/>
    </font>
    <font>
      <b/>
      <i/>
      <u/>
      <sz val="8"/>
      <color theme="1"/>
      <name val="Calibri"/>
      <family val="2"/>
      <scheme val="minor"/>
    </font>
    <font>
      <sz val="8"/>
      <color rgb="FF0000FF"/>
      <name val="Calibri"/>
      <family val="2"/>
    </font>
    <font>
      <sz val="8"/>
      <color theme="1"/>
      <name val="Calibri"/>
      <family val="2"/>
    </font>
    <font>
      <b/>
      <sz val="8"/>
      <color rgb="FF0000FF"/>
      <name val="Calibri"/>
      <family val="2"/>
      <scheme val="minor"/>
    </font>
    <font>
      <i/>
      <sz val="9"/>
      <name val="Arial"/>
      <family val="2"/>
    </font>
    <font>
      <sz val="10"/>
      <color indexed="8"/>
      <name val="Arial"/>
      <family val="2"/>
    </font>
  </fonts>
  <fills count="2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rgb="FFF8E4E4"/>
        <bgColor indexed="64"/>
      </patternFill>
    </fill>
    <fill>
      <patternFill patternType="solid">
        <fgColor theme="6" tint="0.59999389629810485"/>
        <bgColor indexed="64"/>
      </patternFill>
    </fill>
    <fill>
      <patternFill patternType="solid">
        <fgColor indexed="10"/>
        <bgColor indexed="64"/>
      </patternFill>
    </fill>
    <fill>
      <patternFill patternType="solid">
        <fgColor theme="2"/>
        <bgColor indexed="64"/>
      </patternFill>
    </fill>
    <fill>
      <patternFill patternType="solid">
        <fgColor theme="3"/>
        <bgColor indexed="64"/>
      </patternFill>
    </fill>
    <fill>
      <patternFill patternType="solid">
        <fgColor theme="8" tint="0.79998168889431442"/>
        <bgColor indexed="64"/>
      </patternFill>
    </fill>
    <fill>
      <patternFill patternType="solid">
        <fgColor theme="4"/>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EBF5FF"/>
        <bgColor indexed="64"/>
      </patternFill>
    </fill>
    <fill>
      <patternFill patternType="solid">
        <fgColor rgb="FFC00000"/>
        <bgColor indexed="64"/>
      </patternFill>
    </fill>
    <fill>
      <patternFill patternType="solid">
        <fgColor theme="8"/>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FC000"/>
      </patternFill>
    </fill>
  </fills>
  <borders count="40">
    <border>
      <left/>
      <right/>
      <top/>
      <bottom/>
      <diagonal/>
    </border>
    <border>
      <left/>
      <right/>
      <top/>
      <bottom style="thin">
        <color auto="1"/>
      </bottom>
      <diagonal/>
    </border>
    <border>
      <left/>
      <right/>
      <top style="thin">
        <color auto="1"/>
      </top>
      <bottom/>
      <diagonal/>
    </border>
    <border>
      <left/>
      <right/>
      <top/>
      <bottom style="hair">
        <color auto="1"/>
      </bottom>
      <diagonal/>
    </border>
    <border>
      <left/>
      <right/>
      <top style="thin">
        <color theme="0" tint="-0.14993743705557422"/>
      </top>
      <bottom/>
      <diagonal/>
    </border>
    <border>
      <left/>
      <right/>
      <top style="thin">
        <color theme="0" tint="-0.14993743705557422"/>
      </top>
      <bottom style="thin">
        <color theme="0" tint="-0.149937437055574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right/>
      <top style="thin">
        <color theme="0" tint="-0.14990691854609822"/>
      </top>
      <bottom/>
      <diagonal/>
    </border>
    <border>
      <left/>
      <right/>
      <top style="thin">
        <color indexed="64"/>
      </top>
      <bottom style="thin">
        <color indexed="64"/>
      </bottom>
      <diagonal/>
    </border>
    <border>
      <left/>
      <right style="thin">
        <color auto="1"/>
      </right>
      <top/>
      <bottom/>
      <diagonal/>
    </border>
    <border>
      <left/>
      <right style="thin">
        <color theme="0"/>
      </right>
      <top/>
      <bottom/>
      <diagonal/>
    </border>
    <border>
      <left style="thin">
        <color theme="0"/>
      </left>
      <right/>
      <top/>
      <bottom/>
      <diagonal/>
    </border>
    <border>
      <left style="thin">
        <color auto="1"/>
      </left>
      <right/>
      <top/>
      <bottom/>
      <diagonal/>
    </border>
    <border>
      <left/>
      <right/>
      <top style="mediumDashDotDot">
        <color theme="4"/>
      </top>
      <bottom/>
      <diagonal/>
    </border>
    <border>
      <left style="medium">
        <color indexed="64"/>
      </left>
      <right style="medium">
        <color indexed="64"/>
      </right>
      <top style="medium">
        <color indexed="64"/>
      </top>
      <bottom style="medium">
        <color indexed="64"/>
      </bottom>
      <diagonal/>
    </border>
    <border>
      <left style="thin">
        <color theme="0"/>
      </left>
      <right/>
      <top style="thin">
        <color indexed="64"/>
      </top>
      <bottom/>
      <diagonal/>
    </border>
    <border>
      <left/>
      <right style="thin">
        <color theme="0"/>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Dashed">
        <color theme="3"/>
      </left>
      <right/>
      <top style="mediumDashed">
        <color theme="3"/>
      </top>
      <bottom/>
      <diagonal/>
    </border>
    <border>
      <left/>
      <right/>
      <top style="mediumDashed">
        <color theme="3"/>
      </top>
      <bottom/>
      <diagonal/>
    </border>
    <border>
      <left/>
      <right style="mediumDashed">
        <color theme="3"/>
      </right>
      <top style="mediumDashed">
        <color theme="3"/>
      </top>
      <bottom/>
      <diagonal/>
    </border>
    <border>
      <left style="mediumDashed">
        <color theme="3"/>
      </left>
      <right/>
      <top/>
      <bottom/>
      <diagonal/>
    </border>
    <border>
      <left/>
      <right style="mediumDashed">
        <color theme="3"/>
      </right>
      <top/>
      <bottom/>
      <diagonal/>
    </border>
    <border>
      <left style="mediumDashed">
        <color theme="3"/>
      </left>
      <right/>
      <top/>
      <bottom style="mediumDashed">
        <color theme="3"/>
      </bottom>
      <diagonal/>
    </border>
    <border>
      <left/>
      <right/>
      <top/>
      <bottom style="mediumDashed">
        <color theme="3"/>
      </bottom>
      <diagonal/>
    </border>
    <border>
      <left/>
      <right style="mediumDashed">
        <color theme="3"/>
      </right>
      <top/>
      <bottom style="mediumDashed">
        <color theme="3"/>
      </bottom>
      <diagonal/>
    </border>
    <border>
      <left style="mediumDashed">
        <color theme="4"/>
      </left>
      <right/>
      <top style="mediumDashed">
        <color theme="4"/>
      </top>
      <bottom/>
      <diagonal/>
    </border>
    <border>
      <left/>
      <right/>
      <top style="mediumDashed">
        <color theme="4"/>
      </top>
      <bottom/>
      <diagonal/>
    </border>
    <border>
      <left/>
      <right style="mediumDashed">
        <color theme="4"/>
      </right>
      <top style="mediumDashed">
        <color theme="4"/>
      </top>
      <bottom/>
      <diagonal/>
    </border>
    <border>
      <left style="mediumDashed">
        <color theme="4"/>
      </left>
      <right/>
      <top/>
      <bottom/>
      <diagonal/>
    </border>
    <border>
      <left/>
      <right style="mediumDashed">
        <color theme="4"/>
      </right>
      <top/>
      <bottom/>
      <diagonal/>
    </border>
    <border>
      <left style="mediumDashed">
        <color theme="4"/>
      </left>
      <right/>
      <top/>
      <bottom style="mediumDashed">
        <color theme="4"/>
      </bottom>
      <diagonal/>
    </border>
    <border>
      <left/>
      <right/>
      <top/>
      <bottom style="mediumDashed">
        <color theme="4"/>
      </bottom>
      <diagonal/>
    </border>
    <border>
      <left/>
      <right style="mediumDashed">
        <color theme="4"/>
      </right>
      <top/>
      <bottom style="mediumDashed">
        <color theme="4"/>
      </bottom>
      <diagonal/>
    </border>
    <border>
      <left style="hair">
        <color auto="1"/>
      </left>
      <right/>
      <top/>
      <bottom/>
      <diagonal/>
    </border>
    <border>
      <left/>
      <right style="hair">
        <color auto="1"/>
      </right>
      <top/>
      <bottom/>
      <diagonal/>
    </border>
    <border>
      <left style="hair">
        <color auto="1"/>
      </left>
      <right style="hair">
        <color auto="1"/>
      </right>
      <top/>
      <bottom/>
      <diagonal/>
    </border>
  </borders>
  <cellStyleXfs count="54">
    <xf numFmtId="0" fontId="0" fillId="0" borderId="0"/>
    <xf numFmtId="0" fontId="5" fillId="0" borderId="0"/>
    <xf numFmtId="0" fontId="9" fillId="0" borderId="0"/>
    <xf numFmtId="0" fontId="10" fillId="0" borderId="0">
      <alignment vertical="top"/>
      <protection locked="0"/>
    </xf>
    <xf numFmtId="0" fontId="16" fillId="0" borderId="0"/>
    <xf numFmtId="43" fontId="9" fillId="0" borderId="0"/>
    <xf numFmtId="9" fontId="9" fillId="0" borderId="0"/>
    <xf numFmtId="43" fontId="12" fillId="0" borderId="0"/>
    <xf numFmtId="9" fontId="12" fillId="0" borderId="0"/>
    <xf numFmtId="0" fontId="15" fillId="0" borderId="0"/>
    <xf numFmtId="0" fontId="16" fillId="0" borderId="0"/>
    <xf numFmtId="0" fontId="16" fillId="0" borderId="0"/>
    <xf numFmtId="0" fontId="16" fillId="0" borderId="0"/>
    <xf numFmtId="0" fontId="16" fillId="0" borderId="0"/>
    <xf numFmtId="0" fontId="15" fillId="0" borderId="0"/>
    <xf numFmtId="0" fontId="16" fillId="0" borderId="0"/>
    <xf numFmtId="43" fontId="16" fillId="0" borderId="0"/>
    <xf numFmtId="0" fontId="10" fillId="0" borderId="0">
      <alignment vertical="top"/>
      <protection locked="0"/>
    </xf>
    <xf numFmtId="0" fontId="16" fillId="0" borderId="0"/>
    <xf numFmtId="0" fontId="17" fillId="0" borderId="0"/>
    <xf numFmtId="40" fontId="18" fillId="0" borderId="0"/>
    <xf numFmtId="9" fontId="16" fillId="0" borderId="0"/>
    <xf numFmtId="43" fontId="16" fillId="0" borderId="0"/>
    <xf numFmtId="43" fontId="16" fillId="0" borderId="0"/>
    <xf numFmtId="0" fontId="18" fillId="0" borderId="0"/>
    <xf numFmtId="43" fontId="16" fillId="0" borderId="0"/>
    <xf numFmtId="9" fontId="16" fillId="0" borderId="0"/>
    <xf numFmtId="0" fontId="16" fillId="0" borderId="0"/>
    <xf numFmtId="0" fontId="19" fillId="0" borderId="0"/>
    <xf numFmtId="43" fontId="12" fillId="0" borderId="0"/>
    <xf numFmtId="43" fontId="9" fillId="0" borderId="0"/>
    <xf numFmtId="43" fontId="12" fillId="0" borderId="0"/>
    <xf numFmtId="43" fontId="16" fillId="0" borderId="0"/>
    <xf numFmtId="43" fontId="16" fillId="0" borderId="0"/>
    <xf numFmtId="43" fontId="12" fillId="0" borderId="0"/>
    <xf numFmtId="0" fontId="17" fillId="0" borderId="0">
      <alignment vertical="top"/>
    </xf>
    <xf numFmtId="0" fontId="12" fillId="0" borderId="0"/>
    <xf numFmtId="0" fontId="16" fillId="0" borderId="0"/>
    <xf numFmtId="0" fontId="16" fillId="0" borderId="0"/>
    <xf numFmtId="0" fontId="16" fillId="0" borderId="0"/>
    <xf numFmtId="0" fontId="20" fillId="0" borderId="0"/>
    <xf numFmtId="0" fontId="33" fillId="0" borderId="0"/>
    <xf numFmtId="9" fontId="20" fillId="0" borderId="0"/>
    <xf numFmtId="9" fontId="12" fillId="0" borderId="0"/>
    <xf numFmtId="0" fontId="42" fillId="0" borderId="0">
      <alignment vertical="center"/>
      <protection locked="0"/>
    </xf>
    <xf numFmtId="0" fontId="12" fillId="0" borderId="0"/>
    <xf numFmtId="0" fontId="12" fillId="0" borderId="0"/>
    <xf numFmtId="9" fontId="12" fillId="0" borderId="0"/>
    <xf numFmtId="199" fontId="12" fillId="0" borderId="0"/>
    <xf numFmtId="0" fontId="53" fillId="0" borderId="0"/>
    <xf numFmtId="0" fontId="54" fillId="0" borderId="0"/>
    <xf numFmtId="0" fontId="16" fillId="0" borderId="0"/>
    <xf numFmtId="9" fontId="16" fillId="0" borderId="0"/>
    <xf numFmtId="0" fontId="66" fillId="0" borderId="0"/>
  </cellStyleXfs>
  <cellXfs count="691">
    <xf numFmtId="0" fontId="0" fillId="0" borderId="0" xfId="0"/>
    <xf numFmtId="0" fontId="1" fillId="0" borderId="0" xfId="0" applyFont="1"/>
    <xf numFmtId="2" fontId="1" fillId="0" borderId="0" xfId="0" applyNumberFormat="1" applyFont="1"/>
    <xf numFmtId="0" fontId="3" fillId="0" borderId="0" xfId="0" applyFont="1"/>
    <xf numFmtId="2" fontId="3" fillId="0" borderId="0" xfId="0" applyNumberFormat="1" applyFont="1"/>
    <xf numFmtId="2" fontId="1" fillId="0" borderId="0" xfId="0" quotePrefix="1" applyNumberFormat="1" applyFont="1"/>
    <xf numFmtId="2" fontId="2" fillId="0" borderId="0" xfId="0" applyNumberFormat="1" applyFont="1"/>
    <xf numFmtId="164" fontId="1" fillId="0" borderId="0" xfId="0" applyNumberFormat="1" applyFont="1"/>
    <xf numFmtId="14" fontId="1" fillId="0" borderId="0" xfId="0" applyNumberFormat="1" applyFont="1"/>
    <xf numFmtId="0" fontId="6" fillId="2" borderId="0" xfId="1" applyFont="1" applyFill="1"/>
    <xf numFmtId="0" fontId="6" fillId="2" borderId="0" xfId="1" applyFont="1" applyFill="1" applyAlignment="1">
      <alignment horizontal="right"/>
    </xf>
    <xf numFmtId="165" fontId="6" fillId="2" borderId="0" xfId="1" applyNumberFormat="1" applyFont="1" applyFill="1" applyAlignment="1">
      <alignment horizontal="right"/>
    </xf>
    <xf numFmtId="165" fontId="7" fillId="2" borderId="0" xfId="1" applyNumberFormat="1" applyFont="1" applyFill="1" applyAlignment="1">
      <alignment horizontal="right"/>
    </xf>
    <xf numFmtId="0" fontId="8" fillId="2" borderId="0" xfId="1" applyFont="1" applyFill="1"/>
    <xf numFmtId="166" fontId="6" fillId="2" borderId="0" xfId="1" applyNumberFormat="1" applyFont="1" applyFill="1" applyAlignment="1">
      <alignment horizontal="right"/>
    </xf>
    <xf numFmtId="14" fontId="6" fillId="2" borderId="0" xfId="1" applyNumberFormat="1" applyFont="1" applyFill="1" applyAlignment="1">
      <alignment horizontal="right"/>
    </xf>
    <xf numFmtId="14" fontId="6" fillId="2" borderId="0" xfId="1" applyNumberFormat="1" applyFont="1" applyFill="1"/>
    <xf numFmtId="164" fontId="6" fillId="2" borderId="0" xfId="1" applyNumberFormat="1" applyFont="1" applyFill="1" applyAlignment="1">
      <alignment horizontal="right"/>
    </xf>
    <xf numFmtId="167" fontId="6" fillId="2" borderId="0" xfId="1" applyNumberFormat="1" applyFont="1" applyFill="1" applyAlignment="1">
      <alignment horizontal="right"/>
    </xf>
    <xf numFmtId="0" fontId="6" fillId="2" borderId="0" xfId="1" quotePrefix="1" applyFont="1" applyFill="1"/>
    <xf numFmtId="2" fontId="6" fillId="2" borderId="0" xfId="1" quotePrefix="1" applyNumberFormat="1" applyFont="1" applyFill="1" applyAlignment="1">
      <alignment horizontal="right"/>
    </xf>
    <xf numFmtId="164" fontId="6" fillId="2" borderId="0" xfId="1" quotePrefix="1" applyNumberFormat="1" applyFont="1" applyFill="1" applyAlignment="1">
      <alignment horizontal="right"/>
    </xf>
    <xf numFmtId="2" fontId="6" fillId="2" borderId="0" xfId="1" applyNumberFormat="1" applyFont="1" applyFill="1" applyAlignment="1">
      <alignment horizontal="right"/>
    </xf>
    <xf numFmtId="0" fontId="7" fillId="2" borderId="0" xfId="1" applyFont="1" applyFill="1"/>
    <xf numFmtId="164" fontId="8" fillId="2" borderId="0" xfId="1" applyNumberFormat="1" applyFont="1" applyFill="1" applyAlignment="1">
      <alignment horizontal="right"/>
    </xf>
    <xf numFmtId="168" fontId="1" fillId="0" borderId="0" xfId="7" applyNumberFormat="1" applyFont="1"/>
    <xf numFmtId="168" fontId="3" fillId="0" borderId="0" xfId="7" applyNumberFormat="1" applyFont="1"/>
    <xf numFmtId="168" fontId="1" fillId="0" borderId="0" xfId="7" quotePrefix="1" applyNumberFormat="1" applyFont="1"/>
    <xf numFmtId="9" fontId="13" fillId="2" borderId="0" xfId="8" applyFont="1" applyFill="1" applyAlignment="1">
      <alignment horizontal="right"/>
    </xf>
    <xf numFmtId="167" fontId="1" fillId="0" borderId="0" xfId="0" applyNumberFormat="1" applyFont="1"/>
    <xf numFmtId="0" fontId="14" fillId="5" borderId="1" xfId="1" applyFont="1" applyFill="1" applyBorder="1"/>
    <xf numFmtId="166" fontId="14" fillId="5" borderId="1" xfId="1" applyNumberFormat="1" applyFont="1" applyFill="1" applyBorder="1" applyAlignment="1">
      <alignment horizontal="right"/>
    </xf>
    <xf numFmtId="0" fontId="14" fillId="5" borderId="1" xfId="1" applyFont="1" applyFill="1" applyBorder="1" applyAlignment="1">
      <alignment horizontal="right"/>
    </xf>
    <xf numFmtId="9" fontId="6" fillId="2" borderId="0" xfId="8" applyFont="1" applyFill="1" applyAlignment="1">
      <alignment horizontal="right"/>
    </xf>
    <xf numFmtId="43" fontId="13" fillId="2" borderId="0" xfId="7" applyFont="1" applyFill="1" applyAlignment="1">
      <alignment horizontal="right"/>
    </xf>
    <xf numFmtId="14" fontId="0" fillId="0" borderId="0" xfId="0" applyNumberFormat="1"/>
    <xf numFmtId="0" fontId="1" fillId="0" borderId="0" xfId="0" applyFont="1" applyAlignment="1">
      <alignment horizontal="center"/>
    </xf>
    <xf numFmtId="15" fontId="1" fillId="0" borderId="0" xfId="0" applyNumberFormat="1" applyFont="1" applyAlignment="1">
      <alignment horizontal="center"/>
    </xf>
    <xf numFmtId="0" fontId="31" fillId="10" borderId="0" xfId="0" applyFont="1" applyFill="1"/>
    <xf numFmtId="1" fontId="1" fillId="0" borderId="0" xfId="0" applyNumberFormat="1" applyFont="1" applyAlignment="1">
      <alignment horizontal="center" vertical="center"/>
    </xf>
    <xf numFmtId="169" fontId="1" fillId="0" borderId="0" xfId="0" applyNumberFormat="1" applyFont="1"/>
    <xf numFmtId="3" fontId="35" fillId="0" borderId="0" xfId="0" applyNumberFormat="1" applyFont="1"/>
    <xf numFmtId="1" fontId="1" fillId="0" borderId="0" xfId="0" applyNumberFormat="1" applyFont="1" applyAlignment="1">
      <alignment horizontal="left" vertical="center" indent="1"/>
    </xf>
    <xf numFmtId="3" fontId="36" fillId="0" borderId="0" xfId="0" applyNumberFormat="1" applyFont="1"/>
    <xf numFmtId="0" fontId="29" fillId="0" borderId="0" xfId="0" applyFont="1" applyAlignment="1">
      <alignment horizontal="center" vertical="center"/>
    </xf>
    <xf numFmtId="0" fontId="4" fillId="0" borderId="0" xfId="0" applyFont="1" applyAlignment="1">
      <alignment vertical="center"/>
    </xf>
    <xf numFmtId="169" fontId="35" fillId="0" borderId="0" xfId="0" applyNumberFormat="1" applyFont="1"/>
    <xf numFmtId="169" fontId="29" fillId="0" borderId="0" xfId="0" applyNumberFormat="1" applyFont="1"/>
    <xf numFmtId="3" fontId="1" fillId="0" borderId="0" xfId="0" applyNumberFormat="1" applyFont="1"/>
    <xf numFmtId="0" fontId="1" fillId="0" borderId="0" xfId="0" applyFont="1" applyAlignment="1">
      <alignment horizontal="left" indent="1"/>
    </xf>
    <xf numFmtId="170" fontId="36" fillId="3" borderId="0" xfId="0" applyNumberFormat="1" applyFont="1" applyFill="1" applyAlignment="1">
      <alignment horizontal="right" vertical="center"/>
    </xf>
    <xf numFmtId="0" fontId="1" fillId="2" borderId="0" xfId="0" applyFont="1" applyFill="1"/>
    <xf numFmtId="17" fontId="1" fillId="0" borderId="0" xfId="0" applyNumberFormat="1" applyFont="1" applyAlignment="1">
      <alignment horizontal="center"/>
    </xf>
    <xf numFmtId="0" fontId="1" fillId="4" borderId="0" xfId="0" applyFont="1" applyFill="1"/>
    <xf numFmtId="164" fontId="40" fillId="2" borderId="0" xfId="0" applyNumberFormat="1" applyFont="1" applyFill="1" applyAlignment="1">
      <alignment vertical="top"/>
    </xf>
    <xf numFmtId="0" fontId="1" fillId="2" borderId="0" xfId="0" applyFont="1" applyFill="1" applyAlignment="1">
      <alignment horizontal="center"/>
    </xf>
    <xf numFmtId="3" fontId="36" fillId="3" borderId="0" xfId="0" applyNumberFormat="1" applyFont="1" applyFill="1"/>
    <xf numFmtId="3" fontId="29" fillId="0" borderId="0" xfId="0" applyNumberFormat="1" applyFont="1"/>
    <xf numFmtId="167" fontId="13" fillId="2" borderId="0" xfId="8" applyNumberFormat="1" applyFont="1" applyFill="1" applyAlignment="1">
      <alignment horizontal="right"/>
    </xf>
    <xf numFmtId="0" fontId="43" fillId="0" borderId="0" xfId="44" applyFont="1">
      <alignment vertical="center"/>
      <protection locked="0"/>
    </xf>
    <xf numFmtId="0" fontId="22" fillId="0" borderId="0" xfId="44" applyFont="1">
      <alignment vertical="center"/>
      <protection locked="0"/>
    </xf>
    <xf numFmtId="0" fontId="25" fillId="0" borderId="0" xfId="44" applyFont="1" applyAlignment="1">
      <alignment horizontal="center" vertical="center"/>
      <protection locked="0"/>
    </xf>
    <xf numFmtId="0" fontId="22" fillId="0" borderId="0" xfId="44" applyFont="1" applyProtection="1">
      <alignment vertical="center"/>
    </xf>
    <xf numFmtId="0" fontId="44" fillId="11" borderId="2" xfId="45" applyFont="1" applyFill="1" applyBorder="1" applyAlignment="1">
      <alignment horizontal="center" vertical="center"/>
    </xf>
    <xf numFmtId="0" fontId="44" fillId="13" borderId="2" xfId="45" applyFont="1" applyFill="1" applyBorder="1" applyAlignment="1">
      <alignment horizontal="center" vertical="center"/>
    </xf>
    <xf numFmtId="0" fontId="44" fillId="0" borderId="2" xfId="45" applyFont="1" applyBorder="1" applyAlignment="1">
      <alignment horizontal="center" vertical="center"/>
    </xf>
    <xf numFmtId="0" fontId="44" fillId="0" borderId="0" xfId="45" applyFont="1" applyAlignment="1">
      <alignment horizontal="center" vertical="center"/>
    </xf>
    <xf numFmtId="0" fontId="20" fillId="0" borderId="0" xfId="45" applyFont="1" applyAlignment="1">
      <alignment horizontal="center" vertical="center"/>
    </xf>
    <xf numFmtId="0" fontId="24" fillId="0" borderId="9" xfId="44" applyFont="1" applyBorder="1" applyAlignment="1" applyProtection="1">
      <alignment horizontal="center" vertical="center"/>
    </xf>
    <xf numFmtId="17" fontId="24" fillId="0" borderId="9" xfId="44" applyNumberFormat="1" applyFont="1" applyBorder="1" applyAlignment="1" applyProtection="1">
      <alignment horizontal="center" vertical="center"/>
    </xf>
    <xf numFmtId="17" fontId="24" fillId="0" borderId="0" xfId="44" applyNumberFormat="1" applyFont="1" applyAlignment="1" applyProtection="1">
      <alignment horizontal="center" vertical="center"/>
    </xf>
    <xf numFmtId="0" fontId="22" fillId="0" borderId="0" xfId="45" applyFont="1" applyAlignment="1">
      <alignment vertical="center"/>
    </xf>
    <xf numFmtId="0" fontId="22" fillId="0" borderId="0" xfId="45" applyFont="1" applyAlignment="1">
      <alignment horizontal="center" vertical="center"/>
    </xf>
    <xf numFmtId="0" fontId="22" fillId="0" borderId="0" xfId="45" applyFont="1" applyAlignment="1">
      <alignment horizontal="left" vertical="center" indent="1"/>
    </xf>
    <xf numFmtId="0" fontId="22" fillId="0" borderId="0" xfId="44" applyFont="1" applyAlignment="1">
      <alignment horizontal="left" vertical="center" indent="3"/>
      <protection locked="0"/>
    </xf>
    <xf numFmtId="164" fontId="22" fillId="0" borderId="0" xfId="45" applyNumberFormat="1" applyFont="1" applyAlignment="1">
      <alignment horizontal="center" vertical="center"/>
    </xf>
    <xf numFmtId="37" fontId="22" fillId="0" borderId="0" xfId="45" applyNumberFormat="1" applyFont="1" applyAlignment="1">
      <alignment horizontal="center" vertical="center"/>
    </xf>
    <xf numFmtId="0" fontId="45" fillId="0" borderId="0" xfId="44" applyFont="1" applyProtection="1">
      <alignment vertical="center"/>
    </xf>
    <xf numFmtId="0" fontId="46" fillId="0" borderId="0" xfId="45" applyFont="1" applyAlignment="1">
      <alignment vertical="center"/>
    </xf>
    <xf numFmtId="171" fontId="47" fillId="14" borderId="0" xfId="44" applyNumberFormat="1" applyFont="1" applyFill="1" applyAlignment="1" applyProtection="1">
      <alignment horizontal="center" vertical="center"/>
    </xf>
    <xf numFmtId="0" fontId="48" fillId="0" borderId="0" xfId="44" applyFont="1" applyProtection="1">
      <alignment vertical="center"/>
    </xf>
    <xf numFmtId="0" fontId="22" fillId="0" borderId="0" xfId="44" applyFont="1" applyAlignment="1">
      <alignment horizontal="center" vertical="center"/>
      <protection locked="0"/>
    </xf>
    <xf numFmtId="0" fontId="11" fillId="11" borderId="0" xfId="0" applyFont="1" applyFill="1" applyAlignment="1">
      <alignment horizontal="center" vertical="center"/>
    </xf>
    <xf numFmtId="0" fontId="11" fillId="11" borderId="0" xfId="0" applyFont="1" applyFill="1"/>
    <xf numFmtId="0" fontId="11" fillId="0" borderId="0" xfId="0" applyFont="1" applyAlignment="1">
      <alignment horizontal="center" vertical="center"/>
    </xf>
    <xf numFmtId="0" fontId="49" fillId="0" borderId="0" xfId="0" applyFont="1" applyAlignment="1">
      <alignment horizontal="left" vertical="center"/>
    </xf>
    <xf numFmtId="172" fontId="47" fillId="14" borderId="0" xfId="44" applyNumberFormat="1" applyFont="1" applyFill="1" applyAlignment="1" applyProtection="1">
      <alignment horizontal="center" vertical="center"/>
    </xf>
    <xf numFmtId="0" fontId="0" fillId="0" borderId="0" xfId="0" applyAlignment="1">
      <alignment vertical="center"/>
    </xf>
    <xf numFmtId="0" fontId="0" fillId="0" borderId="0" xfId="0" applyAlignment="1">
      <alignment horizontal="left" vertical="center" indent="1"/>
    </xf>
    <xf numFmtId="169" fontId="0" fillId="0" borderId="0" xfId="0" applyNumberFormat="1" applyAlignment="1">
      <alignment horizontal="right" vertical="center"/>
    </xf>
    <xf numFmtId="167" fontId="0" fillId="0" borderId="0" xfId="0" applyNumberFormat="1" applyAlignment="1">
      <alignment horizontal="right" vertical="center"/>
    </xf>
    <xf numFmtId="167" fontId="36" fillId="0" borderId="0" xfId="0" applyNumberFormat="1" applyFont="1" applyAlignment="1">
      <alignment horizontal="right" vertical="center"/>
    </xf>
    <xf numFmtId="10" fontId="36" fillId="3" borderId="0" xfId="0" applyNumberFormat="1" applyFont="1" applyFill="1"/>
    <xf numFmtId="167" fontId="29" fillId="0" borderId="0" xfId="0" applyNumberFormat="1" applyFont="1"/>
    <xf numFmtId="169" fontId="36" fillId="3" borderId="0" xfId="0" applyNumberFormat="1" applyFont="1" applyFill="1"/>
    <xf numFmtId="1" fontId="1" fillId="0" borderId="0" xfId="0" applyNumberFormat="1" applyFont="1" applyAlignment="1">
      <alignment horizontal="left" vertical="center" indent="2"/>
    </xf>
    <xf numFmtId="1" fontId="1" fillId="0" borderId="0" xfId="0" applyNumberFormat="1" applyFont="1" applyAlignment="1">
      <alignment horizontal="left" vertical="center" indent="3"/>
    </xf>
    <xf numFmtId="10" fontId="50" fillId="3" borderId="0" xfId="0" applyNumberFormat="1" applyFont="1" applyFill="1"/>
    <xf numFmtId="0" fontId="4" fillId="0" borderId="0" xfId="0" applyFont="1" applyAlignment="1">
      <alignment horizontal="left" vertical="center" indent="1"/>
    </xf>
    <xf numFmtId="173" fontId="36" fillId="0" borderId="0" xfId="0" applyNumberFormat="1" applyFont="1" applyAlignment="1">
      <alignment horizontal="right" vertical="center"/>
    </xf>
    <xf numFmtId="3" fontId="36" fillId="0" borderId="0" xfId="0" applyNumberFormat="1" applyFont="1" applyAlignment="1">
      <alignment horizontal="right" vertical="center"/>
    </xf>
    <xf numFmtId="1" fontId="1" fillId="0" borderId="0" xfId="0" applyNumberFormat="1" applyFont="1"/>
    <xf numFmtId="0" fontId="39" fillId="0" borderId="0" xfId="0" applyFont="1" applyAlignment="1">
      <alignment horizontal="left" vertical="center" indent="2"/>
    </xf>
    <xf numFmtId="0" fontId="4" fillId="0" borderId="0" xfId="0" applyFont="1" applyAlignment="1">
      <alignment horizontal="center" vertical="center"/>
    </xf>
    <xf numFmtId="0" fontId="3" fillId="0" borderId="0" xfId="0" applyFont="1" applyAlignment="1">
      <alignment horizontal="center"/>
    </xf>
    <xf numFmtId="0" fontId="31" fillId="10" borderId="0" xfId="0" applyFont="1" applyFill="1" applyAlignment="1">
      <alignment horizontal="center"/>
    </xf>
    <xf numFmtId="0" fontId="4" fillId="0" borderId="0" xfId="0" applyFont="1" applyAlignment="1">
      <alignment horizontal="center"/>
    </xf>
    <xf numFmtId="0" fontId="1" fillId="0" borderId="0" xfId="0" quotePrefix="1" applyFont="1" applyAlignment="1">
      <alignment horizontal="center"/>
    </xf>
    <xf numFmtId="0" fontId="51" fillId="0" borderId="0" xfId="0" applyFont="1" applyAlignment="1">
      <alignment horizontal="center"/>
    </xf>
    <xf numFmtId="0" fontId="1" fillId="0" borderId="0" xfId="0" applyFont="1" applyAlignment="1">
      <alignment horizontal="left"/>
    </xf>
    <xf numFmtId="0" fontId="30" fillId="0" borderId="0" xfId="0" applyFont="1" applyAlignment="1">
      <alignment horizontal="center"/>
    </xf>
    <xf numFmtId="0" fontId="29" fillId="0" borderId="0" xfId="0" applyFont="1"/>
    <xf numFmtId="0" fontId="29" fillId="0" borderId="0" xfId="0" applyFont="1" applyAlignment="1">
      <alignment horizontal="center"/>
    </xf>
    <xf numFmtId="0" fontId="29" fillId="0" borderId="0" xfId="39" applyFont="1" applyAlignment="1">
      <alignment horizontal="center" vertical="center"/>
    </xf>
    <xf numFmtId="174" fontId="1" fillId="0" borderId="0" xfId="7" applyNumberFormat="1" applyFont="1"/>
    <xf numFmtId="0" fontId="1" fillId="11" borderId="0" xfId="0" applyFont="1" applyFill="1" applyAlignment="1">
      <alignment horizontal="center"/>
    </xf>
    <xf numFmtId="0" fontId="30" fillId="11" borderId="0" xfId="0" applyFont="1" applyFill="1" applyAlignment="1">
      <alignment horizontal="left"/>
    </xf>
    <xf numFmtId="0" fontId="1" fillId="11" borderId="0" xfId="0" applyFont="1" applyFill="1" applyAlignment="1">
      <alignment horizontal="left"/>
    </xf>
    <xf numFmtId="0" fontId="1" fillId="10" borderId="0" xfId="0" applyFont="1" applyFill="1"/>
    <xf numFmtId="0" fontId="1" fillId="10" borderId="0" xfId="0" applyFont="1" applyFill="1" applyAlignment="1">
      <alignment horizontal="center"/>
    </xf>
    <xf numFmtId="0" fontId="30" fillId="10" borderId="0" xfId="0" applyFont="1" applyFill="1"/>
    <xf numFmtId="0" fontId="30" fillId="0" borderId="0" xfId="39" applyFont="1" applyAlignment="1">
      <alignment horizontal="center" vertical="center"/>
    </xf>
    <xf numFmtId="0" fontId="28" fillId="0" borderId="0" xfId="39" applyFont="1" applyAlignment="1">
      <alignment horizontal="center" vertical="center"/>
    </xf>
    <xf numFmtId="0" fontId="1" fillId="0" borderId="0" xfId="0" applyFont="1" applyAlignment="1">
      <alignment horizontal="right"/>
    </xf>
    <xf numFmtId="0" fontId="29" fillId="0" borderId="0" xfId="0" applyFont="1" applyAlignment="1">
      <alignment horizontal="left" indent="1"/>
    </xf>
    <xf numFmtId="170" fontId="36" fillId="0" borderId="0" xfId="0" applyNumberFormat="1" applyFont="1" applyAlignment="1">
      <alignment horizontal="right" vertical="center"/>
    </xf>
    <xf numFmtId="1" fontId="1" fillId="0" borderId="0" xfId="0" applyNumberFormat="1" applyFont="1" applyAlignment="1">
      <alignment horizontal="left" vertical="center" indent="4"/>
    </xf>
    <xf numFmtId="1" fontId="4" fillId="0" borderId="0" xfId="0" applyNumberFormat="1" applyFont="1" applyAlignment="1">
      <alignment horizontal="left" vertical="center" indent="1"/>
    </xf>
    <xf numFmtId="1" fontId="1" fillId="0" borderId="0" xfId="0" applyNumberFormat="1" applyFont="1" applyAlignment="1">
      <alignment horizontal="left" vertical="center"/>
    </xf>
    <xf numFmtId="1" fontId="34" fillId="0" borderId="0" xfId="0" applyNumberFormat="1" applyFont="1" applyAlignment="1">
      <alignment horizontal="left" vertical="center"/>
    </xf>
    <xf numFmtId="1" fontId="4" fillId="0" borderId="0" xfId="0" applyNumberFormat="1" applyFont="1" applyAlignment="1">
      <alignment horizontal="left" vertical="center" indent="2"/>
    </xf>
    <xf numFmtId="3" fontId="36" fillId="0" borderId="0" xfId="0" applyNumberFormat="1" applyFont="1" applyAlignment="1">
      <alignment horizontal="center"/>
    </xf>
    <xf numFmtId="3" fontId="36" fillId="0" borderId="0" xfId="0" applyNumberFormat="1" applyFont="1" applyAlignment="1">
      <alignment horizontal="right"/>
    </xf>
    <xf numFmtId="3" fontId="1" fillId="0" borderId="0" xfId="0" applyNumberFormat="1" applyFont="1" applyAlignment="1">
      <alignment horizontal="right"/>
    </xf>
    <xf numFmtId="169" fontId="29" fillId="3" borderId="0" xfId="0" applyNumberFormat="1" applyFont="1" applyFill="1"/>
    <xf numFmtId="1" fontId="39" fillId="0" borderId="0" xfId="0" applyNumberFormat="1" applyFont="1" applyAlignment="1">
      <alignment horizontal="left" vertical="center" indent="3"/>
    </xf>
    <xf numFmtId="1" fontId="4" fillId="0" borderId="0" xfId="0" applyNumberFormat="1" applyFont="1" applyAlignment="1">
      <alignment horizontal="left" vertical="center" indent="3"/>
    </xf>
    <xf numFmtId="1" fontId="1" fillId="0" borderId="0" xfId="0" applyNumberFormat="1" applyFont="1" applyAlignment="1">
      <alignment horizontal="left" vertical="center" indent="5"/>
    </xf>
    <xf numFmtId="0" fontId="4" fillId="0" borderId="0" xfId="0" applyFont="1" applyAlignment="1">
      <alignment horizontal="left" vertical="center" indent="3"/>
    </xf>
    <xf numFmtId="1" fontId="4" fillId="0" borderId="0" xfId="0" applyNumberFormat="1" applyFont="1" applyAlignment="1">
      <alignment horizontal="left" vertical="center" indent="4"/>
    </xf>
    <xf numFmtId="0" fontId="4" fillId="0" borderId="0" xfId="0" applyFont="1" applyAlignment="1">
      <alignment horizontal="left" vertical="center" indent="4"/>
    </xf>
    <xf numFmtId="173" fontId="35" fillId="0" borderId="0" xfId="0" applyNumberFormat="1" applyFont="1" applyAlignment="1">
      <alignment horizontal="right" vertical="center"/>
    </xf>
    <xf numFmtId="170" fontId="29" fillId="0" borderId="0" xfId="0" applyNumberFormat="1" applyFont="1" applyAlignment="1">
      <alignment horizontal="right" vertical="center"/>
    </xf>
    <xf numFmtId="9" fontId="35" fillId="0" borderId="0" xfId="0" applyNumberFormat="1" applyFont="1"/>
    <xf numFmtId="9" fontId="36" fillId="0" borderId="0" xfId="0" applyNumberFormat="1" applyFont="1"/>
    <xf numFmtId="0" fontId="3" fillId="0" borderId="0" xfId="0" applyFont="1" applyAlignment="1">
      <alignment horizontal="left" indent="1"/>
    </xf>
    <xf numFmtId="10" fontId="36" fillId="0" borderId="0" xfId="0" applyNumberFormat="1" applyFont="1"/>
    <xf numFmtId="0" fontId="1" fillId="0" borderId="0" xfId="0" applyFont="1" applyAlignment="1">
      <alignment horizontal="left" vertical="center" indent="2"/>
    </xf>
    <xf numFmtId="0" fontId="1" fillId="0" borderId="0" xfId="0" applyFont="1" applyAlignment="1">
      <alignment horizontal="left" vertical="center" indent="1"/>
    </xf>
    <xf numFmtId="9" fontId="1" fillId="0" borderId="0" xfId="0" applyNumberFormat="1" applyFont="1"/>
    <xf numFmtId="167" fontId="36" fillId="3" borderId="0" xfId="0" applyNumberFormat="1" applyFont="1" applyFill="1"/>
    <xf numFmtId="0" fontId="1" fillId="0" borderId="0" xfId="0" applyFont="1" applyAlignment="1">
      <alignment horizontal="left" indent="2"/>
    </xf>
    <xf numFmtId="175" fontId="35" fillId="0" borderId="0" xfId="0" applyNumberFormat="1" applyFont="1"/>
    <xf numFmtId="10" fontId="35" fillId="0" borderId="0" xfId="0" applyNumberFormat="1" applyFont="1"/>
    <xf numFmtId="167" fontId="35" fillId="0" borderId="0" xfId="0" applyNumberFormat="1" applyFont="1"/>
    <xf numFmtId="3" fontId="52" fillId="0" borderId="0" xfId="0" applyNumberFormat="1" applyFont="1" applyAlignment="1">
      <alignment horizontal="right"/>
    </xf>
    <xf numFmtId="167" fontId="1" fillId="0" borderId="0" xfId="0" applyNumberFormat="1" applyFont="1" applyAlignment="1">
      <alignment horizontal="right"/>
    </xf>
    <xf numFmtId="0" fontId="1" fillId="13" borderId="0" xfId="0" applyFont="1" applyFill="1"/>
    <xf numFmtId="0" fontId="30" fillId="13" borderId="0" xfId="0" applyFont="1" applyFill="1" applyAlignment="1">
      <alignment horizontal="left"/>
    </xf>
    <xf numFmtId="0" fontId="30" fillId="13" borderId="0" xfId="0" applyFont="1" applyFill="1" applyAlignment="1">
      <alignment horizontal="center"/>
    </xf>
    <xf numFmtId="0" fontId="30" fillId="13" borderId="9" xfId="39" applyFont="1" applyFill="1" applyBorder="1" applyAlignment="1">
      <alignment horizontal="center" vertical="center"/>
    </xf>
    <xf numFmtId="167" fontId="1" fillId="0" borderId="0" xfId="8" applyNumberFormat="1" applyFont="1"/>
    <xf numFmtId="168" fontId="28" fillId="0" borderId="0" xfId="0" applyNumberFormat="1" applyFont="1"/>
    <xf numFmtId="0" fontId="28" fillId="0" borderId="0" xfId="0" applyFont="1"/>
    <xf numFmtId="1" fontId="28" fillId="0" borderId="0" xfId="0" applyNumberFormat="1" applyFont="1" applyAlignment="1">
      <alignment horizontal="center" vertical="center"/>
    </xf>
    <xf numFmtId="168" fontId="28" fillId="0" borderId="0" xfId="7" applyNumberFormat="1" applyFont="1"/>
    <xf numFmtId="169" fontId="28" fillId="0" borderId="0" xfId="7" applyNumberFormat="1" applyFont="1"/>
    <xf numFmtId="167" fontId="29" fillId="0" borderId="0" xfId="8" applyNumberFormat="1" applyFont="1"/>
    <xf numFmtId="167" fontId="28" fillId="0" borderId="0" xfId="0" applyNumberFormat="1" applyFont="1"/>
    <xf numFmtId="167" fontId="28" fillId="0" borderId="0" xfId="8" applyNumberFormat="1" applyFont="1"/>
    <xf numFmtId="0" fontId="30" fillId="0" borderId="0" xfId="0" applyFont="1" applyAlignment="1">
      <alignment horizontal="left"/>
    </xf>
    <xf numFmtId="0" fontId="4" fillId="0" borderId="0" xfId="0" applyFont="1" applyAlignment="1">
      <alignment horizontal="left" indent="1"/>
    </xf>
    <xf numFmtId="169" fontId="37" fillId="0" borderId="0" xfId="7" applyNumberFormat="1" applyFont="1"/>
    <xf numFmtId="169" fontId="35" fillId="0" borderId="0" xfId="7" applyNumberFormat="1" applyFont="1"/>
    <xf numFmtId="0" fontId="1" fillId="0" borderId="0" xfId="0" applyFont="1" applyAlignment="1">
      <alignment horizontal="left" indent="3"/>
    </xf>
    <xf numFmtId="0" fontId="28" fillId="0" borderId="0" xfId="0" applyFont="1" applyAlignment="1">
      <alignment horizontal="left" indent="2"/>
    </xf>
    <xf numFmtId="0" fontId="29" fillId="0" borderId="0" xfId="0" applyFont="1" applyAlignment="1">
      <alignment horizontal="left" indent="3"/>
    </xf>
    <xf numFmtId="169" fontId="29" fillId="0" borderId="0" xfId="7" applyNumberFormat="1" applyFont="1"/>
    <xf numFmtId="167" fontId="29" fillId="0" borderId="0" xfId="7" applyNumberFormat="1" applyFont="1"/>
    <xf numFmtId="0" fontId="1" fillId="0" borderId="0" xfId="0" applyFont="1" applyAlignment="1">
      <alignment horizontal="left" indent="4"/>
    </xf>
    <xf numFmtId="0" fontId="1" fillId="0" borderId="0" xfId="0" applyFont="1" applyAlignment="1">
      <alignment horizontal="left" indent="5"/>
    </xf>
    <xf numFmtId="0" fontId="30" fillId="10" borderId="0" xfId="0" applyFont="1" applyFill="1" applyAlignment="1">
      <alignment horizontal="left"/>
    </xf>
    <xf numFmtId="0" fontId="30" fillId="10" borderId="0" xfId="0" applyFont="1" applyFill="1" applyAlignment="1">
      <alignment horizontal="center"/>
    </xf>
    <xf numFmtId="0" fontId="30" fillId="10" borderId="9" xfId="39" applyFont="1" applyFill="1" applyBorder="1" applyAlignment="1">
      <alignment horizontal="center" vertical="center"/>
    </xf>
    <xf numFmtId="0" fontId="1" fillId="0" borderId="0" xfId="0" quotePrefix="1" applyFont="1" applyAlignment="1">
      <alignment horizontal="right"/>
    </xf>
    <xf numFmtId="3" fontId="53" fillId="0" borderId="0" xfId="49" applyNumberFormat="1"/>
    <xf numFmtId="3" fontId="36" fillId="0" borderId="0" xfId="0" applyNumberFormat="1" applyFont="1" applyAlignment="1">
      <alignment horizontal="left" indent="1"/>
    </xf>
    <xf numFmtId="167" fontId="29" fillId="0" borderId="0" xfId="0" applyNumberFormat="1" applyFont="1" applyAlignment="1">
      <alignment horizontal="left" indent="1"/>
    </xf>
    <xf numFmtId="10" fontId="36" fillId="0" borderId="0" xfId="0" applyNumberFormat="1" applyFont="1" applyAlignment="1">
      <alignment horizontal="left" indent="1"/>
    </xf>
    <xf numFmtId="1" fontId="1" fillId="0" borderId="0" xfId="0" applyNumberFormat="1" applyFont="1" applyAlignment="1">
      <alignment horizontal="left" vertical="center" indent="6"/>
    </xf>
    <xf numFmtId="169" fontId="28" fillId="0" borderId="0" xfId="0" applyNumberFormat="1" applyFont="1"/>
    <xf numFmtId="176" fontId="29" fillId="0" borderId="0" xfId="0" applyNumberFormat="1" applyFont="1"/>
    <xf numFmtId="1" fontId="4" fillId="0" borderId="0" xfId="0" applyNumberFormat="1" applyFont="1" applyAlignment="1">
      <alignment horizontal="left" vertical="center" indent="5"/>
    </xf>
    <xf numFmtId="1" fontId="1" fillId="0" borderId="0" xfId="0" applyNumberFormat="1" applyFont="1" applyAlignment="1">
      <alignment horizontal="left" vertical="center" indent="7"/>
    </xf>
    <xf numFmtId="3" fontId="37" fillId="0" borderId="0" xfId="0" applyNumberFormat="1" applyFont="1"/>
    <xf numFmtId="0" fontId="1" fillId="0" borderId="0" xfId="0" quotePrefix="1" applyFont="1" applyAlignment="1">
      <alignment horizontal="left" indent="2"/>
    </xf>
    <xf numFmtId="0" fontId="1" fillId="0" borderId="0" xfId="0" quotePrefix="1" applyFont="1" applyAlignment="1">
      <alignment horizontal="left" indent="3"/>
    </xf>
    <xf numFmtId="0" fontId="3" fillId="0" borderId="0" xfId="0" applyFont="1" applyAlignment="1">
      <alignment horizontal="left" indent="2"/>
    </xf>
    <xf numFmtId="0" fontId="51" fillId="0" borderId="0" xfId="0" applyFont="1" applyAlignment="1">
      <alignment horizontal="left" indent="3"/>
    </xf>
    <xf numFmtId="168" fontId="51" fillId="0" borderId="0" xfId="7" applyNumberFormat="1" applyFont="1"/>
    <xf numFmtId="2" fontId="51" fillId="0" borderId="0" xfId="0" applyNumberFormat="1" applyFont="1"/>
    <xf numFmtId="2" fontId="30" fillId="11" borderId="2" xfId="39" applyNumberFormat="1" applyFont="1" applyFill="1" applyBorder="1" applyAlignment="1">
      <alignment horizontal="center" vertical="center"/>
    </xf>
    <xf numFmtId="0" fontId="38" fillId="0" borderId="0" xfId="0" applyFont="1" applyAlignment="1">
      <alignment horizontal="left" indent="1"/>
    </xf>
    <xf numFmtId="1" fontId="34" fillId="0" borderId="0" xfId="0" applyNumberFormat="1" applyFont="1" applyAlignment="1">
      <alignment horizontal="left" vertical="center" indent="1"/>
    </xf>
    <xf numFmtId="177" fontId="1" fillId="0" borderId="0" xfId="0" applyNumberFormat="1" applyFont="1"/>
    <xf numFmtId="10" fontId="29" fillId="0" borderId="0" xfId="7" applyNumberFormat="1" applyFont="1"/>
    <xf numFmtId="178" fontId="36" fillId="3" borderId="0" xfId="0" applyNumberFormat="1" applyFont="1" applyFill="1"/>
    <xf numFmtId="178" fontId="29" fillId="0" borderId="0" xfId="0" applyNumberFormat="1" applyFont="1"/>
    <xf numFmtId="0" fontId="4" fillId="0" borderId="0" xfId="0" applyFont="1"/>
    <xf numFmtId="167" fontId="36" fillId="0" borderId="0" xfId="0" applyNumberFormat="1" applyFont="1"/>
    <xf numFmtId="164" fontId="3" fillId="0" borderId="0" xfId="0" applyNumberFormat="1" applyFont="1"/>
    <xf numFmtId="169" fontId="36" fillId="0" borderId="0" xfId="7" applyNumberFormat="1" applyFont="1"/>
    <xf numFmtId="164" fontId="35" fillId="0" borderId="0" xfId="0" applyNumberFormat="1" applyFont="1"/>
    <xf numFmtId="164" fontId="36" fillId="0" borderId="0" xfId="0" applyNumberFormat="1" applyFont="1"/>
    <xf numFmtId="2" fontId="35" fillId="0" borderId="0" xfId="0" applyNumberFormat="1" applyFont="1"/>
    <xf numFmtId="164" fontId="37" fillId="0" borderId="0" xfId="0" applyNumberFormat="1" applyFont="1"/>
    <xf numFmtId="164" fontId="36" fillId="3" borderId="0" xfId="0" applyNumberFormat="1" applyFont="1" applyFill="1"/>
    <xf numFmtId="0" fontId="1" fillId="0" borderId="0" xfId="0" quotePrefix="1" applyFont="1"/>
    <xf numFmtId="164" fontId="29" fillId="0" borderId="0" xfId="0" applyNumberFormat="1" applyFont="1"/>
    <xf numFmtId="175" fontId="29" fillId="0" borderId="0" xfId="0" applyNumberFormat="1" applyFont="1"/>
    <xf numFmtId="169" fontId="29" fillId="3" borderId="0" xfId="7" applyNumberFormat="1" applyFont="1" applyFill="1"/>
    <xf numFmtId="171" fontId="47" fillId="0" borderId="0" xfId="44" applyNumberFormat="1" applyFont="1" applyAlignment="1" applyProtection="1">
      <alignment horizontal="center" vertical="center"/>
    </xf>
    <xf numFmtId="171" fontId="25" fillId="12" borderId="0" xfId="44" applyNumberFormat="1" applyFont="1" applyFill="1" applyAlignment="1" applyProtection="1">
      <alignment horizontal="center" vertical="center"/>
    </xf>
    <xf numFmtId="164" fontId="22" fillId="12" borderId="0" xfId="45" applyNumberFormat="1" applyFont="1" applyFill="1" applyAlignment="1">
      <alignment horizontal="center" vertical="center"/>
    </xf>
    <xf numFmtId="0" fontId="22" fillId="12" borderId="0" xfId="45" applyFont="1" applyFill="1" applyAlignment="1">
      <alignment horizontal="center" vertical="center"/>
    </xf>
    <xf numFmtId="0" fontId="22" fillId="16" borderId="0" xfId="45" applyFont="1" applyFill="1" applyAlignment="1">
      <alignment horizontal="center" vertical="center"/>
    </xf>
    <xf numFmtId="164" fontId="22" fillId="16" borderId="0" xfId="45" applyNumberFormat="1" applyFont="1" applyFill="1" applyAlignment="1">
      <alignment horizontal="center" vertical="center"/>
    </xf>
    <xf numFmtId="179" fontId="22" fillId="0" borderId="0" xfId="45" applyNumberFormat="1" applyFont="1" applyAlignment="1">
      <alignment horizontal="center" vertical="center"/>
    </xf>
    <xf numFmtId="0" fontId="22" fillId="4" borderId="0" xfId="44" applyFont="1" applyFill="1" applyAlignment="1">
      <alignment horizontal="left" vertical="center" indent="3"/>
      <protection locked="0"/>
    </xf>
    <xf numFmtId="0" fontId="55" fillId="10" borderId="0" xfId="45" applyFont="1" applyFill="1" applyAlignment="1">
      <alignment vertical="center"/>
    </xf>
    <xf numFmtId="0" fontId="21" fillId="10" borderId="0" xfId="45" applyFont="1" applyFill="1" applyAlignment="1">
      <alignment horizontal="center" vertical="center"/>
    </xf>
    <xf numFmtId="0" fontId="3" fillId="0" borderId="0" xfId="0" applyFont="1" applyAlignment="1">
      <alignment horizontal="left" indent="3"/>
    </xf>
    <xf numFmtId="2" fontId="30" fillId="11" borderId="11" xfId="39" applyNumberFormat="1" applyFont="1" applyFill="1" applyBorder="1" applyAlignment="1">
      <alignment horizontal="center" vertical="center"/>
    </xf>
    <xf numFmtId="0" fontId="30" fillId="11" borderId="11" xfId="39" applyFont="1" applyFill="1" applyBorder="1" applyAlignment="1">
      <alignment horizontal="center" vertical="center"/>
    </xf>
    <xf numFmtId="0" fontId="30" fillId="11" borderId="12" xfId="39" applyFont="1" applyFill="1" applyBorder="1" applyAlignment="1">
      <alignment horizontal="center" vertical="center"/>
    </xf>
    <xf numFmtId="17" fontId="1" fillId="0" borderId="13" xfId="0" applyNumberFormat="1" applyFont="1" applyBorder="1" applyAlignment="1">
      <alignment horizontal="center"/>
    </xf>
    <xf numFmtId="17" fontId="1" fillId="0" borderId="10" xfId="0" applyNumberFormat="1" applyFont="1" applyBorder="1" applyAlignment="1">
      <alignment horizontal="center"/>
    </xf>
    <xf numFmtId="0" fontId="56" fillId="0" borderId="0" xfId="45" applyFont="1" applyAlignment="1">
      <alignment horizontal="left" vertical="center" indent="1"/>
    </xf>
    <xf numFmtId="173" fontId="22" fillId="12" borderId="0" xfId="45" applyNumberFormat="1" applyFont="1" applyFill="1" applyAlignment="1">
      <alignment horizontal="center" vertical="center"/>
    </xf>
    <xf numFmtId="173" fontId="22" fillId="16" borderId="0" xfId="45" applyNumberFormat="1" applyFont="1" applyFill="1" applyAlignment="1">
      <alignment horizontal="center" vertical="center"/>
    </xf>
    <xf numFmtId="164" fontId="57" fillId="2" borderId="0" xfId="1" applyNumberFormat="1" applyFont="1" applyFill="1" applyAlignment="1">
      <alignment horizontal="right"/>
    </xf>
    <xf numFmtId="0" fontId="57" fillId="2" borderId="0" xfId="1" applyFont="1" applyFill="1"/>
    <xf numFmtId="0" fontId="6" fillId="0" borderId="0" xfId="1" applyFont="1"/>
    <xf numFmtId="167" fontId="8" fillId="2" borderId="0" xfId="1" applyNumberFormat="1" applyFont="1" applyFill="1" applyAlignment="1">
      <alignment horizontal="right"/>
    </xf>
    <xf numFmtId="0" fontId="6" fillId="2" borderId="0" xfId="1" applyFont="1" applyFill="1" applyAlignment="1">
      <alignment horizontal="left" indent="1"/>
    </xf>
    <xf numFmtId="169" fontId="6" fillId="2" borderId="0" xfId="1" applyNumberFormat="1" applyFont="1" applyFill="1" applyAlignment="1">
      <alignment horizontal="right"/>
    </xf>
    <xf numFmtId="177" fontId="6" fillId="2" borderId="0" xfId="1" applyNumberFormat="1" applyFont="1" applyFill="1" applyAlignment="1">
      <alignment horizontal="right"/>
    </xf>
    <xf numFmtId="0" fontId="38" fillId="0" borderId="0" xfId="0" applyFont="1" applyAlignment="1">
      <alignment horizontal="left" indent="2"/>
    </xf>
    <xf numFmtId="0" fontId="28" fillId="0" borderId="0" xfId="0" applyFont="1" applyAlignment="1">
      <alignment horizontal="left" vertical="center" indent="3"/>
    </xf>
    <xf numFmtId="1" fontId="58" fillId="0" borderId="0" xfId="0" applyNumberFormat="1" applyFont="1" applyAlignment="1">
      <alignment horizontal="left" vertical="center"/>
    </xf>
    <xf numFmtId="1" fontId="59" fillId="0" borderId="0" xfId="0" applyNumberFormat="1" applyFont="1" applyAlignment="1">
      <alignment horizontal="left" vertical="center"/>
    </xf>
    <xf numFmtId="168" fontId="28" fillId="0" borderId="14" xfId="0" applyNumberFormat="1" applyFont="1" applyBorder="1"/>
    <xf numFmtId="0" fontId="29" fillId="0" borderId="14" xfId="0" applyFont="1" applyBorder="1" applyAlignment="1">
      <alignment horizontal="left" indent="3"/>
    </xf>
    <xf numFmtId="0" fontId="1" fillId="0" borderId="14" xfId="0" applyFont="1" applyBorder="1" applyAlignment="1">
      <alignment horizontal="center"/>
    </xf>
    <xf numFmtId="168" fontId="28" fillId="0" borderId="14" xfId="7" applyNumberFormat="1" applyFont="1" applyBorder="1"/>
    <xf numFmtId="169" fontId="35" fillId="0" borderId="14" xfId="7" applyNumberFormat="1" applyFont="1" applyBorder="1"/>
    <xf numFmtId="169" fontId="36" fillId="0" borderId="14" xfId="0" applyNumberFormat="1" applyFont="1" applyBorder="1"/>
    <xf numFmtId="4" fontId="36" fillId="0" borderId="0" xfId="0" applyNumberFormat="1" applyFont="1" applyAlignment="1">
      <alignment horizontal="center"/>
    </xf>
    <xf numFmtId="10" fontId="36" fillId="0" borderId="0" xfId="0" applyNumberFormat="1" applyFont="1" applyAlignment="1">
      <alignment horizontal="center"/>
    </xf>
    <xf numFmtId="10" fontId="29" fillId="0" borderId="0" xfId="0" applyNumberFormat="1" applyFont="1" applyAlignment="1">
      <alignment horizontal="center"/>
    </xf>
    <xf numFmtId="2" fontId="1" fillId="0" borderId="0" xfId="0" applyNumberFormat="1" applyFont="1" applyAlignment="1">
      <alignment horizontal="center"/>
    </xf>
    <xf numFmtId="180" fontId="36" fillId="0" borderId="0" xfId="0" applyNumberFormat="1" applyFont="1" applyAlignment="1">
      <alignment horizontal="center"/>
    </xf>
    <xf numFmtId="17" fontId="61" fillId="0" borderId="9" xfId="44" applyNumberFormat="1" applyFont="1" applyBorder="1" applyAlignment="1" applyProtection="1">
      <alignment horizontal="center" vertical="center"/>
    </xf>
    <xf numFmtId="0" fontId="11" fillId="0" borderId="0" xfId="0" applyFont="1" applyAlignment="1">
      <alignment horizontal="center" vertical="center" wrapText="1"/>
    </xf>
    <xf numFmtId="170" fontId="36" fillId="0" borderId="0" xfId="0" applyNumberFormat="1" applyFont="1" applyAlignment="1">
      <alignment horizontal="center"/>
    </xf>
    <xf numFmtId="0" fontId="4" fillId="0" borderId="0" xfId="0" applyFont="1" applyAlignment="1">
      <alignment horizontal="left" vertical="center"/>
    </xf>
    <xf numFmtId="1" fontId="3" fillId="0" borderId="0" xfId="0" applyNumberFormat="1" applyFont="1"/>
    <xf numFmtId="0" fontId="8" fillId="0" borderId="0" xfId="1" applyFont="1"/>
    <xf numFmtId="0" fontId="6" fillId="0" borderId="0" xfId="1" applyFont="1" applyAlignment="1">
      <alignment horizontal="right"/>
    </xf>
    <xf numFmtId="166" fontId="6" fillId="0" borderId="0" xfId="1" applyNumberFormat="1" applyFont="1" applyAlignment="1">
      <alignment horizontal="right"/>
    </xf>
    <xf numFmtId="14" fontId="6" fillId="0" borderId="0" xfId="1" applyNumberFormat="1" applyFont="1" applyAlignment="1">
      <alignment horizontal="right"/>
    </xf>
    <xf numFmtId="14" fontId="6" fillId="0" borderId="0" xfId="1" applyNumberFormat="1" applyFont="1"/>
    <xf numFmtId="0" fontId="30" fillId="13" borderId="2" xfId="45" applyFont="1" applyFill="1" applyBorder="1" applyAlignment="1">
      <alignment horizontal="center" vertical="center"/>
    </xf>
    <xf numFmtId="17" fontId="28" fillId="0" borderId="9" xfId="44" applyNumberFormat="1" applyFont="1" applyBorder="1" applyAlignment="1" applyProtection="1">
      <alignment horizontal="center" vertical="center"/>
    </xf>
    <xf numFmtId="0" fontId="0" fillId="13" borderId="0" xfId="0" applyFill="1"/>
    <xf numFmtId="0" fontId="11" fillId="13" borderId="0" xfId="0" applyFont="1" applyFill="1"/>
    <xf numFmtId="14" fontId="36" fillId="0" borderId="0" xfId="0" applyNumberFormat="1" applyFont="1" applyAlignment="1">
      <alignment horizontal="right"/>
    </xf>
    <xf numFmtId="0" fontId="0" fillId="10" borderId="0" xfId="0" applyFill="1"/>
    <xf numFmtId="0" fontId="11" fillId="10" borderId="0" xfId="0" applyFont="1" applyFill="1"/>
    <xf numFmtId="0" fontId="34" fillId="0" borderId="0" xfId="0" applyFont="1"/>
    <xf numFmtId="0" fontId="62" fillId="0" borderId="0" xfId="0" applyFont="1"/>
    <xf numFmtId="0" fontId="35" fillId="0" borderId="0" xfId="0" applyFont="1" applyAlignment="1">
      <alignment horizontal="left" indent="1"/>
    </xf>
    <xf numFmtId="177" fontId="35" fillId="0" borderId="0" xfId="0" applyNumberFormat="1" applyFont="1"/>
    <xf numFmtId="14" fontId="35" fillId="0" borderId="0" xfId="0" applyNumberFormat="1" applyFont="1" applyAlignment="1">
      <alignment horizontal="right"/>
    </xf>
    <xf numFmtId="0" fontId="0" fillId="11" borderId="0" xfId="0" applyFill="1"/>
    <xf numFmtId="0" fontId="63" fillId="0" borderId="0" xfId="1" applyFont="1" applyAlignment="1">
      <alignment horizontal="left" vertical="center"/>
    </xf>
    <xf numFmtId="0" fontId="64" fillId="0" borderId="0" xfId="1" applyFont="1" applyAlignment="1">
      <alignment horizontal="center" vertical="center"/>
    </xf>
    <xf numFmtId="181" fontId="20" fillId="0" borderId="0" xfId="8" applyNumberFormat="1" applyFont="1" applyAlignment="1">
      <alignment horizontal="center" vertical="center"/>
    </xf>
    <xf numFmtId="0" fontId="20" fillId="0" borderId="0" xfId="1" applyFont="1" applyAlignment="1">
      <alignment horizontal="center" vertical="center"/>
    </xf>
    <xf numFmtId="181" fontId="22" fillId="0" borderId="0" xfId="8" applyNumberFormat="1" applyFont="1" applyAlignment="1">
      <alignment horizontal="center" vertical="center"/>
    </xf>
    <xf numFmtId="0" fontId="64" fillId="0" borderId="0" xfId="1" quotePrefix="1" applyFont="1" applyAlignment="1">
      <alignment horizontal="left" vertical="center" indent="1"/>
    </xf>
    <xf numFmtId="0" fontId="30" fillId="11" borderId="2" xfId="39" applyFont="1" applyFill="1" applyBorder="1" applyAlignment="1">
      <alignment horizontal="center" vertical="center"/>
    </xf>
    <xf numFmtId="0" fontId="30" fillId="11" borderId="16" xfId="39" applyFont="1" applyFill="1" applyBorder="1" applyAlignment="1">
      <alignment horizontal="center" vertical="center"/>
    </xf>
    <xf numFmtId="0" fontId="30" fillId="11" borderId="17" xfId="39" applyFont="1" applyFill="1" applyBorder="1" applyAlignment="1">
      <alignment horizontal="center" vertical="center"/>
    </xf>
    <xf numFmtId="0" fontId="65" fillId="0" borderId="0" xfId="1" applyFont="1" applyAlignment="1">
      <alignment horizontal="center" vertical="center"/>
    </xf>
    <xf numFmtId="0" fontId="30" fillId="11" borderId="2" xfId="45" applyFont="1" applyFill="1" applyBorder="1" applyAlignment="1">
      <alignment horizontal="center" vertical="center"/>
    </xf>
    <xf numFmtId="17" fontId="1" fillId="0" borderId="1" xfId="0" applyNumberFormat="1" applyFont="1" applyBorder="1" applyAlignment="1">
      <alignment horizontal="center"/>
    </xf>
    <xf numFmtId="17" fontId="1" fillId="0" borderId="18" xfId="0" applyNumberFormat="1" applyFont="1" applyBorder="1" applyAlignment="1">
      <alignment horizontal="center"/>
    </xf>
    <xf numFmtId="17" fontId="1" fillId="0" borderId="19" xfId="0" applyNumberFormat="1" applyFont="1" applyBorder="1" applyAlignment="1">
      <alignment horizontal="center"/>
    </xf>
    <xf numFmtId="17" fontId="24" fillId="0" borderId="0" xfId="53" applyNumberFormat="1" applyFont="1" applyAlignment="1">
      <alignment horizontal="center" vertical="center"/>
    </xf>
    <xf numFmtId="17" fontId="29" fillId="0" borderId="9" xfId="44" applyNumberFormat="1" applyFont="1" applyBorder="1" applyAlignment="1" applyProtection="1">
      <alignment horizontal="center" vertical="center"/>
    </xf>
    <xf numFmtId="0" fontId="36" fillId="0" borderId="0" xfId="0" applyFont="1"/>
    <xf numFmtId="0" fontId="7" fillId="0" borderId="0" xfId="1" applyFont="1" applyAlignment="1">
      <alignment vertical="center"/>
    </xf>
    <xf numFmtId="0" fontId="7" fillId="0" borderId="0" xfId="1" applyFont="1" applyAlignment="1">
      <alignment horizontal="center" vertical="center"/>
    </xf>
    <xf numFmtId="182" fontId="7" fillId="0" borderId="0" xfId="1" applyNumberFormat="1" applyFont="1" applyAlignment="1">
      <alignment horizontal="center" vertical="center"/>
    </xf>
    <xf numFmtId="182" fontId="64" fillId="0" borderId="0" xfId="1" applyNumberFormat="1" applyFont="1" applyAlignment="1">
      <alignment horizontal="center" vertical="center"/>
    </xf>
    <xf numFmtId="0" fontId="67" fillId="0" borderId="0" xfId="1" applyFont="1" applyAlignment="1">
      <alignment horizontal="left" vertical="center"/>
    </xf>
    <xf numFmtId="0" fontId="67" fillId="0" borderId="0" xfId="1" applyFont="1" applyAlignment="1">
      <alignment horizontal="center" vertical="center"/>
    </xf>
    <xf numFmtId="182" fontId="67" fillId="0" borderId="0" xfId="1" applyNumberFormat="1" applyFont="1" applyAlignment="1">
      <alignment horizontal="center" vertical="center"/>
    </xf>
    <xf numFmtId="0" fontId="7" fillId="0" borderId="0" xfId="1" quotePrefix="1" applyFont="1" applyAlignment="1">
      <alignment horizontal="left" vertical="center" indent="1"/>
    </xf>
    <xf numFmtId="179" fontId="1" fillId="0" borderId="0" xfId="8" applyNumberFormat="1" applyFont="1" applyAlignment="1">
      <alignment horizontal="center" vertical="center"/>
    </xf>
    <xf numFmtId="179" fontId="20" fillId="0" borderId="0" xfId="8" applyNumberFormat="1" applyFont="1" applyAlignment="1">
      <alignment horizontal="center" vertical="center"/>
    </xf>
    <xf numFmtId="183" fontId="7" fillId="0" borderId="0" xfId="1" applyNumberFormat="1" applyFont="1" applyAlignment="1">
      <alignment horizontal="center" vertical="center"/>
    </xf>
    <xf numFmtId="183" fontId="67" fillId="0" borderId="0" xfId="1" applyNumberFormat="1" applyFont="1" applyAlignment="1">
      <alignment horizontal="center" vertical="center"/>
    </xf>
    <xf numFmtId="178" fontId="7" fillId="0" borderId="0" xfId="1" applyNumberFormat="1" applyFont="1" applyAlignment="1">
      <alignment horizontal="center" vertical="center"/>
    </xf>
    <xf numFmtId="178" fontId="67" fillId="0" borderId="0" xfId="1" applyNumberFormat="1" applyFont="1" applyAlignment="1">
      <alignment horizontal="center" vertical="center"/>
    </xf>
    <xf numFmtId="0" fontId="35" fillId="0" borderId="0" xfId="0" applyFont="1"/>
    <xf numFmtId="0" fontId="35" fillId="0" borderId="0" xfId="0" applyFont="1" applyAlignment="1">
      <alignment horizontal="center"/>
    </xf>
    <xf numFmtId="0" fontId="67" fillId="0" borderId="0" xfId="1" applyFont="1" applyAlignment="1">
      <alignment vertical="center"/>
    </xf>
    <xf numFmtId="184" fontId="7" fillId="0" borderId="0" xfId="1" applyNumberFormat="1" applyFont="1" applyAlignment="1">
      <alignment horizontal="center" vertical="center"/>
    </xf>
    <xf numFmtId="184" fontId="67" fillId="0" borderId="0" xfId="1" applyNumberFormat="1" applyFont="1" applyAlignment="1">
      <alignment horizontal="center" vertical="center"/>
    </xf>
    <xf numFmtId="14" fontId="6" fillId="0" borderId="0" xfId="1" applyNumberFormat="1" applyFont="1" applyAlignment="1">
      <alignment horizontal="center"/>
    </xf>
    <xf numFmtId="0" fontId="22" fillId="0" borderId="0" xfId="9" applyFont="1" applyProtection="1">
      <protection locked="0"/>
    </xf>
    <xf numFmtId="3" fontId="22" fillId="0" borderId="0" xfId="9" applyNumberFormat="1" applyFont="1" applyProtection="1">
      <protection locked="0"/>
    </xf>
    <xf numFmtId="0" fontId="20" fillId="0" borderId="0" xfId="10" applyFont="1"/>
    <xf numFmtId="0" fontId="68" fillId="0" borderId="0" xfId="11" applyFont="1" applyAlignment="1" applyProtection="1">
      <alignment vertical="center"/>
      <protection locked="0"/>
    </xf>
    <xf numFmtId="37" fontId="24" fillId="0" borderId="0" xfId="11" applyNumberFormat="1" applyFont="1" applyAlignment="1" applyProtection="1">
      <alignment horizontal="right"/>
      <protection locked="0"/>
    </xf>
    <xf numFmtId="0" fontId="24" fillId="0" borderId="0" xfId="11" applyFont="1" applyAlignment="1" applyProtection="1">
      <alignment horizontal="right"/>
      <protection locked="0"/>
    </xf>
    <xf numFmtId="0" fontId="22" fillId="0" borderId="0" xfId="12" applyFont="1" applyProtection="1">
      <protection locked="0"/>
    </xf>
    <xf numFmtId="0" fontId="21" fillId="11" borderId="0" xfId="12" applyFont="1" applyFill="1" applyAlignment="1" applyProtection="1">
      <alignment vertical="center"/>
      <protection locked="0"/>
    </xf>
    <xf numFmtId="0" fontId="44" fillId="11" borderId="0" xfId="11" applyFont="1" applyFill="1" applyAlignment="1" applyProtection="1">
      <alignment vertical="center"/>
      <protection locked="0"/>
    </xf>
    <xf numFmtId="37" fontId="44" fillId="11" borderId="0" xfId="11" applyNumberFormat="1" applyFont="1" applyFill="1" applyAlignment="1" applyProtection="1">
      <alignment horizontal="right" vertical="center"/>
      <protection locked="0"/>
    </xf>
    <xf numFmtId="37" fontId="44" fillId="11" borderId="0" xfId="11" applyNumberFormat="1" applyFont="1" applyFill="1" applyAlignment="1" applyProtection="1">
      <alignment horizontal="center"/>
      <protection locked="0"/>
    </xf>
    <xf numFmtId="0" fontId="21" fillId="11" borderId="0" xfId="10" applyFont="1" applyFill="1"/>
    <xf numFmtId="0" fontId="69" fillId="0" borderId="0" xfId="9" quotePrefix="1" applyFont="1" applyProtection="1">
      <protection locked="0"/>
    </xf>
    <xf numFmtId="0" fontId="70" fillId="0" borderId="0" xfId="13" applyFont="1" applyProtection="1">
      <protection locked="0"/>
    </xf>
    <xf numFmtId="185" fontId="71" fillId="0" borderId="0" xfId="13" applyNumberFormat="1" applyFont="1" applyProtection="1">
      <protection locked="0"/>
    </xf>
    <xf numFmtId="185" fontId="22" fillId="0" borderId="0" xfId="13" applyNumberFormat="1" applyFont="1" applyAlignment="1" applyProtection="1">
      <alignment horizontal="right"/>
      <protection locked="0"/>
    </xf>
    <xf numFmtId="0" fontId="72" fillId="0" borderId="0" xfId="12" quotePrefix="1" applyFont="1" applyProtection="1">
      <protection locked="0"/>
    </xf>
    <xf numFmtId="186" fontId="22" fillId="0" borderId="0" xfId="13" applyNumberFormat="1" applyFont="1" applyProtection="1">
      <protection locked="0"/>
    </xf>
    <xf numFmtId="0" fontId="43" fillId="6" borderId="0" xfId="14" applyFont="1" applyFill="1" applyAlignment="1" applyProtection="1">
      <alignment horizontal="left"/>
      <protection locked="0"/>
    </xf>
    <xf numFmtId="0" fontId="22" fillId="0" borderId="0" xfId="13" applyFont="1" applyAlignment="1" applyProtection="1">
      <alignment horizontal="left"/>
      <protection locked="0"/>
    </xf>
    <xf numFmtId="185" fontId="71" fillId="0" borderId="0" xfId="13" applyNumberFormat="1" applyFont="1" applyAlignment="1" applyProtection="1">
      <alignment horizontal="left"/>
      <protection locked="0"/>
    </xf>
    <xf numFmtId="185" fontId="22" fillId="0" borderId="0" xfId="13" applyNumberFormat="1" applyFont="1" applyProtection="1">
      <protection locked="0"/>
    </xf>
    <xf numFmtId="15" fontId="43" fillId="6" borderId="0" xfId="14" quotePrefix="1" applyNumberFormat="1" applyFont="1" applyFill="1" applyAlignment="1" applyProtection="1">
      <alignment horizontal="left"/>
      <protection locked="0"/>
    </xf>
    <xf numFmtId="0" fontId="22" fillId="0" borderId="0" xfId="13" applyFont="1" applyProtection="1">
      <protection locked="0"/>
    </xf>
    <xf numFmtId="185" fontId="24" fillId="0" borderId="0" xfId="13" applyNumberFormat="1" applyFont="1" applyAlignment="1" applyProtection="1">
      <alignment horizontal="right"/>
      <protection locked="0"/>
    </xf>
    <xf numFmtId="1" fontId="43" fillId="6" borderId="0" xfId="14" quotePrefix="1" applyNumberFormat="1" applyFont="1" applyFill="1" applyAlignment="1" applyProtection="1">
      <alignment horizontal="left"/>
      <protection locked="0"/>
    </xf>
    <xf numFmtId="0" fontId="72" fillId="0" borderId="0" xfId="9" quotePrefix="1" applyFont="1" applyProtection="1">
      <protection locked="0"/>
    </xf>
    <xf numFmtId="0" fontId="24" fillId="0" borderId="0" xfId="13" applyFont="1" applyAlignment="1" applyProtection="1">
      <alignment horizontal="right"/>
      <protection locked="0"/>
    </xf>
    <xf numFmtId="185" fontId="22" fillId="0" borderId="0" xfId="13" applyNumberFormat="1" applyFont="1" applyAlignment="1" applyProtection="1">
      <alignment vertical="center"/>
      <protection locked="0"/>
    </xf>
    <xf numFmtId="0" fontId="73" fillId="0" borderId="0" xfId="15" applyFont="1"/>
    <xf numFmtId="0" fontId="22" fillId="7" borderId="0" xfId="9" applyFont="1" applyFill="1" applyAlignment="1" applyProtection="1">
      <alignment horizontal="left"/>
      <protection locked="0"/>
    </xf>
    <xf numFmtId="185" fontId="23" fillId="0" borderId="0" xfId="13" applyNumberFormat="1" applyFont="1" applyProtection="1">
      <protection locked="0"/>
    </xf>
    <xf numFmtId="4" fontId="22" fillId="0" borderId="0" xfId="9" applyNumberFormat="1" applyFont="1" applyAlignment="1" applyProtection="1">
      <alignment horizontal="left"/>
      <protection locked="0"/>
    </xf>
    <xf numFmtId="4" fontId="22" fillId="0" borderId="0" xfId="13" applyNumberFormat="1" applyFont="1" applyProtection="1">
      <protection locked="0"/>
    </xf>
    <xf numFmtId="4" fontId="22" fillId="0" borderId="0" xfId="9" applyNumberFormat="1" applyFont="1" applyAlignment="1" applyProtection="1">
      <alignment horizontal="right"/>
      <protection locked="0"/>
    </xf>
    <xf numFmtId="169" fontId="22" fillId="0" borderId="0" xfId="9" applyNumberFormat="1" applyFont="1" applyAlignment="1" applyProtection="1">
      <alignment horizontal="left" wrapText="1"/>
      <protection locked="0"/>
    </xf>
    <xf numFmtId="0" fontId="43" fillId="0" borderId="0" xfId="14" applyFont="1" applyAlignment="1" applyProtection="1">
      <alignment horizontal="left"/>
      <protection locked="0"/>
    </xf>
    <xf numFmtId="187" fontId="43" fillId="0" borderId="0" xfId="14" applyNumberFormat="1" applyFont="1" applyAlignment="1" applyProtection="1">
      <alignment vertical="top"/>
      <protection locked="0"/>
    </xf>
    <xf numFmtId="0" fontId="72" fillId="0" borderId="0" xfId="9" quotePrefix="1" applyFont="1" applyAlignment="1" applyProtection="1">
      <alignment vertical="center"/>
      <protection locked="0"/>
    </xf>
    <xf numFmtId="0" fontId="22" fillId="0" borderId="0" xfId="10" applyFont="1" applyAlignment="1">
      <alignment vertical="center"/>
    </xf>
    <xf numFmtId="0" fontId="43" fillId="7" borderId="0" xfId="14" applyFont="1" applyFill="1" applyAlignment="1" applyProtection="1">
      <alignment vertical="center" wrapText="1"/>
      <protection locked="0"/>
    </xf>
    <xf numFmtId="0" fontId="43" fillId="7" borderId="0" xfId="14" applyFont="1" applyFill="1" applyAlignment="1" applyProtection="1">
      <alignment vertical="center"/>
      <protection locked="0"/>
    </xf>
    <xf numFmtId="185" fontId="24" fillId="0" borderId="0" xfId="13" applyNumberFormat="1" applyFont="1" applyAlignment="1" applyProtection="1">
      <alignment vertical="center"/>
      <protection locked="0"/>
    </xf>
    <xf numFmtId="4" fontId="43" fillId="7" borderId="0" xfId="14" applyNumberFormat="1" applyFont="1" applyFill="1" applyProtection="1">
      <protection locked="0"/>
    </xf>
    <xf numFmtId="185" fontId="23" fillId="0" borderId="0" xfId="13" applyNumberFormat="1" applyFont="1" applyAlignment="1" applyProtection="1">
      <alignment vertical="center"/>
      <protection locked="0"/>
    </xf>
    <xf numFmtId="0" fontId="43" fillId="0" borderId="0" xfId="14" applyFont="1" applyAlignment="1" applyProtection="1">
      <alignment horizontal="right"/>
      <protection locked="0"/>
    </xf>
    <xf numFmtId="0" fontId="74" fillId="0" borderId="0" xfId="17" applyFont="1" applyAlignment="1">
      <protection locked="0"/>
    </xf>
    <xf numFmtId="0" fontId="60" fillId="8" borderId="0" xfId="11" applyFont="1" applyFill="1" applyAlignment="1" applyProtection="1">
      <alignment vertical="center"/>
      <protection locked="0"/>
    </xf>
    <xf numFmtId="0" fontId="24" fillId="8" borderId="0" xfId="11" applyFont="1" applyFill="1" applyAlignment="1" applyProtection="1">
      <alignment horizontal="right"/>
      <protection locked="0"/>
    </xf>
    <xf numFmtId="0" fontId="24" fillId="6" borderId="0" xfId="4" applyFont="1" applyFill="1" applyAlignment="1" applyProtection="1">
      <alignment vertical="center"/>
      <protection locked="0"/>
    </xf>
    <xf numFmtId="37" fontId="24" fillId="6" borderId="0" xfId="4" applyNumberFormat="1" applyFont="1" applyFill="1" applyAlignment="1" applyProtection="1">
      <alignment horizontal="right"/>
      <protection locked="0"/>
    </xf>
    <xf numFmtId="0" fontId="24" fillId="0" borderId="0" xfId="11" applyFont="1" applyProtection="1">
      <protection locked="0"/>
    </xf>
    <xf numFmtId="0" fontId="24" fillId="9" borderId="0" xfId="9" quotePrefix="1" applyFont="1" applyFill="1" applyProtection="1">
      <protection locked="0"/>
    </xf>
    <xf numFmtId="185" fontId="22" fillId="7" borderId="0" xfId="18" applyNumberFormat="1" applyFont="1" applyFill="1" applyAlignment="1" applyProtection="1">
      <alignment horizontal="left"/>
      <protection locked="0"/>
    </xf>
    <xf numFmtId="0" fontId="22" fillId="7" borderId="0" xfId="19" applyFont="1" applyFill="1" applyAlignment="1" applyProtection="1">
      <alignment horizontal="right"/>
      <protection locked="0"/>
    </xf>
    <xf numFmtId="37" fontId="24" fillId="8" borderId="0" xfId="11" applyNumberFormat="1" applyFont="1" applyFill="1" applyAlignment="1" applyProtection="1">
      <alignment horizontal="right"/>
      <protection locked="0"/>
    </xf>
    <xf numFmtId="0" fontId="73" fillId="0" borderId="0" xfId="27" applyFont="1"/>
    <xf numFmtId="167" fontId="22" fillId="7" borderId="0" xfId="21" applyNumberFormat="1" applyFont="1" applyFill="1" applyAlignment="1" applyProtection="1">
      <alignment horizontal="right"/>
      <protection locked="0"/>
    </xf>
    <xf numFmtId="185" fontId="22" fillId="7" borderId="0" xfId="18" applyNumberFormat="1" applyFont="1" applyFill="1" applyAlignment="1" applyProtection="1">
      <alignment horizontal="left" indent="1"/>
      <protection locked="0"/>
    </xf>
    <xf numFmtId="0" fontId="72" fillId="0" borderId="0" xfId="11" applyFont="1" applyAlignment="1" applyProtection="1">
      <alignment vertical="center"/>
      <protection locked="0"/>
    </xf>
    <xf numFmtId="185" fontId="72" fillId="0" borderId="0" xfId="20" quotePrefix="1" applyNumberFormat="1" applyFont="1" applyProtection="1">
      <protection locked="0"/>
    </xf>
    <xf numFmtId="185" fontId="22" fillId="7" borderId="0" xfId="20" applyNumberFormat="1" applyFont="1" applyFill="1" applyAlignment="1" applyProtection="1">
      <alignment horizontal="left" indent="1"/>
      <protection locked="0"/>
    </xf>
    <xf numFmtId="188" fontId="22" fillId="7" borderId="0" xfId="22" applyNumberFormat="1" applyFont="1" applyFill="1" applyProtection="1">
      <protection locked="0"/>
    </xf>
    <xf numFmtId="0" fontId="24" fillId="0" borderId="0" xfId="9" applyFont="1" applyProtection="1">
      <protection locked="0"/>
    </xf>
    <xf numFmtId="185" fontId="24" fillId="0" borderId="4" xfId="20" applyNumberFormat="1" applyFont="1" applyBorder="1" applyProtection="1">
      <protection locked="0"/>
    </xf>
    <xf numFmtId="188" fontId="24" fillId="0" borderId="4" xfId="23" applyNumberFormat="1" applyFont="1" applyBorder="1" applyAlignment="1" applyProtection="1">
      <alignment horizontal="right"/>
      <protection locked="0"/>
    </xf>
    <xf numFmtId="185" fontId="72" fillId="0" borderId="0" xfId="18" quotePrefix="1" applyNumberFormat="1" applyFont="1" applyProtection="1">
      <protection locked="0"/>
    </xf>
    <xf numFmtId="185" fontId="24" fillId="0" borderId="5" xfId="20" quotePrefix="1" applyNumberFormat="1" applyFont="1" applyBorder="1" applyAlignment="1" applyProtection="1">
      <alignment horizontal="left"/>
      <protection locked="0"/>
    </xf>
    <xf numFmtId="188" fontId="24" fillId="0" borderId="5" xfId="23" applyNumberFormat="1" applyFont="1" applyBorder="1" applyAlignment="1" applyProtection="1">
      <alignment horizontal="right"/>
      <protection locked="0"/>
    </xf>
    <xf numFmtId="185" fontId="24" fillId="0" borderId="0" xfId="20" applyNumberFormat="1" applyFont="1" applyProtection="1">
      <protection locked="0"/>
    </xf>
    <xf numFmtId="188" fontId="24" fillId="0" borderId="0" xfId="23" applyNumberFormat="1" applyFont="1" applyAlignment="1" applyProtection="1">
      <alignment horizontal="right"/>
      <protection locked="0"/>
    </xf>
    <xf numFmtId="185" fontId="22" fillId="7" borderId="0" xfId="20" quotePrefix="1" applyNumberFormat="1" applyFont="1" applyFill="1" applyAlignment="1" applyProtection="1">
      <alignment horizontal="left" indent="1"/>
      <protection locked="0"/>
    </xf>
    <xf numFmtId="185" fontId="24" fillId="0" borderId="0" xfId="20" quotePrefix="1" applyNumberFormat="1" applyFont="1" applyAlignment="1" applyProtection="1">
      <alignment horizontal="left"/>
      <protection locked="0"/>
    </xf>
    <xf numFmtId="185" fontId="22" fillId="0" borderId="0" xfId="18" applyNumberFormat="1" applyFont="1" applyAlignment="1" applyProtection="1">
      <alignment horizontal="left"/>
      <protection locked="0"/>
    </xf>
    <xf numFmtId="41" fontId="75" fillId="0" borderId="0" xfId="23" applyNumberFormat="1" applyFont="1" applyAlignment="1" applyProtection="1">
      <alignment horizontal="right"/>
      <protection locked="0"/>
    </xf>
    <xf numFmtId="186" fontId="24" fillId="0" borderId="0" xfId="23" applyNumberFormat="1" applyFont="1" applyAlignment="1" applyProtection="1">
      <alignment horizontal="right"/>
      <protection locked="0"/>
    </xf>
    <xf numFmtId="0" fontId="24" fillId="6" borderId="0" xfId="11" applyFont="1" applyFill="1" applyAlignment="1" applyProtection="1">
      <alignment vertical="center"/>
      <protection locked="0"/>
    </xf>
    <xf numFmtId="0" fontId="24" fillId="6" borderId="0" xfId="11" applyFont="1" applyFill="1" applyAlignment="1" applyProtection="1">
      <alignment horizontal="right"/>
      <protection locked="0"/>
    </xf>
    <xf numFmtId="185" fontId="22" fillId="7" borderId="0" xfId="24" applyNumberFormat="1" applyFont="1" applyFill="1" applyAlignment="1" applyProtection="1">
      <alignment horizontal="left" indent="1"/>
      <protection locked="0"/>
    </xf>
    <xf numFmtId="185" fontId="24" fillId="0" borderId="4" xfId="24" applyNumberFormat="1" applyFont="1" applyBorder="1" applyProtection="1">
      <protection locked="0"/>
    </xf>
    <xf numFmtId="185" fontId="24" fillId="0" borderId="5" xfId="24" applyNumberFormat="1" applyFont="1" applyBorder="1" applyProtection="1">
      <protection locked="0"/>
    </xf>
    <xf numFmtId="185" fontId="24" fillId="0" borderId="0" xfId="24" applyNumberFormat="1" applyFont="1" applyProtection="1">
      <protection locked="0"/>
    </xf>
    <xf numFmtId="189" fontId="24" fillId="0" borderId="0" xfId="23" applyNumberFormat="1" applyFont="1" applyAlignment="1" applyProtection="1">
      <alignment horizontal="right"/>
      <protection locked="0"/>
    </xf>
    <xf numFmtId="2" fontId="22" fillId="7" borderId="0" xfId="22" applyNumberFormat="1" applyFont="1" applyFill="1" applyProtection="1">
      <protection locked="0"/>
    </xf>
    <xf numFmtId="185" fontId="24" fillId="0" borderId="6" xfId="24" applyNumberFormat="1" applyFont="1" applyBorder="1" applyProtection="1">
      <protection locked="0"/>
    </xf>
    <xf numFmtId="185" fontId="24" fillId="0" borderId="7" xfId="24" applyNumberFormat="1" applyFont="1" applyBorder="1" applyProtection="1">
      <protection locked="0"/>
    </xf>
    <xf numFmtId="185" fontId="24" fillId="0" borderId="8" xfId="24" applyNumberFormat="1" applyFont="1" applyBorder="1" applyProtection="1">
      <protection locked="0"/>
    </xf>
    <xf numFmtId="37" fontId="24" fillId="0" borderId="0" xfId="23" applyNumberFormat="1" applyFont="1" applyAlignment="1" applyProtection="1">
      <alignment horizontal="right"/>
      <protection locked="0"/>
    </xf>
    <xf numFmtId="185" fontId="23" fillId="0" borderId="0" xfId="24" applyNumberFormat="1" applyFont="1" applyProtection="1">
      <protection locked="0"/>
    </xf>
    <xf numFmtId="0" fontId="76" fillId="0" borderId="0" xfId="9" quotePrefix="1" applyFont="1" applyProtection="1">
      <protection locked="0"/>
    </xf>
    <xf numFmtId="188" fontId="77" fillId="0" borderId="0" xfId="18" applyNumberFormat="1" applyFont="1" applyAlignment="1" applyProtection="1">
      <alignment horizontal="right"/>
      <protection locked="0"/>
    </xf>
    <xf numFmtId="0" fontId="40" fillId="0" borderId="0" xfId="9" applyFont="1" applyProtection="1">
      <protection locked="0"/>
    </xf>
    <xf numFmtId="0" fontId="78" fillId="0" borderId="0" xfId="10" applyFont="1"/>
    <xf numFmtId="185" fontId="22" fillId="0" borderId="0" xfId="18" applyNumberFormat="1" applyFont="1" applyProtection="1">
      <protection locked="0"/>
    </xf>
    <xf numFmtId="186" fontId="22" fillId="0" borderId="0" xfId="18" applyNumberFormat="1" applyFont="1" applyProtection="1">
      <protection locked="0"/>
    </xf>
    <xf numFmtId="186" fontId="22" fillId="0" borderId="0" xfId="23" applyNumberFormat="1" applyFont="1" applyAlignment="1" applyProtection="1">
      <alignment horizontal="right"/>
      <protection locked="0"/>
    </xf>
    <xf numFmtId="188" fontId="24" fillId="0" borderId="0" xfId="22" applyNumberFormat="1" applyFont="1" applyProtection="1">
      <protection locked="0"/>
    </xf>
    <xf numFmtId="185" fontId="22" fillId="0" borderId="0" xfId="24" applyNumberFormat="1" applyFont="1" applyProtection="1">
      <protection locked="0"/>
    </xf>
    <xf numFmtId="188" fontId="22" fillId="0" borderId="0" xfId="22" applyNumberFormat="1" applyFont="1" applyProtection="1">
      <protection locked="0"/>
    </xf>
    <xf numFmtId="0" fontId="72" fillId="0" borderId="0" xfId="9" applyFont="1" applyProtection="1">
      <protection locked="0"/>
    </xf>
    <xf numFmtId="185" fontId="24" fillId="0" borderId="0" xfId="18" applyNumberFormat="1" applyFont="1" applyProtection="1">
      <protection locked="0"/>
    </xf>
    <xf numFmtId="41" fontId="22" fillId="0" borderId="0" xfId="23" applyNumberFormat="1" applyFont="1" applyAlignment="1" applyProtection="1">
      <alignment horizontal="right"/>
      <protection locked="0"/>
    </xf>
    <xf numFmtId="0" fontId="24" fillId="0" borderId="0" xfId="11" applyFont="1" applyAlignment="1" applyProtection="1">
      <alignment vertical="center"/>
      <protection locked="0"/>
    </xf>
    <xf numFmtId="3" fontId="22" fillId="7" borderId="0" xfId="14" applyNumberFormat="1" applyFont="1" applyFill="1" applyAlignment="1" applyProtection="1">
      <alignment horizontal="left" indent="1"/>
      <protection locked="0"/>
    </xf>
    <xf numFmtId="0" fontId="22" fillId="7" borderId="0" xfId="22" applyNumberFormat="1" applyFont="1" applyFill="1" applyProtection="1">
      <protection locked="0"/>
    </xf>
    <xf numFmtId="190" fontId="22" fillId="7" borderId="0" xfId="22" applyNumberFormat="1" applyFont="1" applyFill="1" applyProtection="1">
      <protection locked="0"/>
    </xf>
    <xf numFmtId="3" fontId="22" fillId="0" borderId="0" xfId="14" applyNumberFormat="1" applyFont="1" applyProtection="1">
      <protection locked="0"/>
    </xf>
    <xf numFmtId="185" fontId="23" fillId="0" borderId="0" xfId="20" applyNumberFormat="1" applyFont="1" applyAlignment="1" applyProtection="1">
      <alignment horizontal="left"/>
      <protection locked="0"/>
    </xf>
    <xf numFmtId="185" fontId="22" fillId="7" borderId="0" xfId="20" quotePrefix="1" applyNumberFormat="1" applyFont="1" applyFill="1" applyAlignment="1" applyProtection="1">
      <alignment horizontal="left" vertical="center" indent="1"/>
      <protection locked="0"/>
    </xf>
    <xf numFmtId="185" fontId="22" fillId="0" borderId="4" xfId="20" applyNumberFormat="1" applyFont="1" applyBorder="1" applyAlignment="1" applyProtection="1">
      <alignment horizontal="left"/>
      <protection locked="0"/>
    </xf>
    <xf numFmtId="188" fontId="22" fillId="0" borderId="4" xfId="23" applyNumberFormat="1" applyFont="1" applyBorder="1" applyAlignment="1" applyProtection="1">
      <alignment horizontal="right"/>
      <protection locked="0"/>
    </xf>
    <xf numFmtId="185" fontId="22" fillId="0" borderId="0" xfId="20" applyNumberFormat="1" applyFont="1" applyAlignment="1" applyProtection="1">
      <alignment horizontal="left"/>
      <protection locked="0"/>
    </xf>
    <xf numFmtId="185" fontId="22" fillId="7" borderId="0" xfId="20" applyNumberFormat="1" applyFont="1" applyFill="1" applyAlignment="1" applyProtection="1">
      <alignment horizontal="left"/>
      <protection locked="0"/>
    </xf>
    <xf numFmtId="185" fontId="24" fillId="0" borderId="0" xfId="20" applyNumberFormat="1" applyFont="1" applyAlignment="1" applyProtection="1">
      <alignment horizontal="left"/>
      <protection locked="0"/>
    </xf>
    <xf numFmtId="0" fontId="22" fillId="7" borderId="0" xfId="18" applyFont="1" applyFill="1" applyProtection="1">
      <protection locked="0"/>
    </xf>
    <xf numFmtId="188" fontId="22" fillId="0" borderId="0" xfId="25" applyNumberFormat="1" applyFont="1" applyAlignment="1" applyProtection="1">
      <alignment horizontal="right"/>
      <protection locked="0"/>
    </xf>
    <xf numFmtId="185" fontId="22" fillId="7" borderId="0" xfId="20" applyNumberFormat="1" applyFont="1" applyFill="1" applyProtection="1">
      <protection locked="0"/>
    </xf>
    <xf numFmtId="190" fontId="22" fillId="0" borderId="0" xfId="25" applyNumberFormat="1" applyFont="1" applyProtection="1">
      <protection locked="0"/>
    </xf>
    <xf numFmtId="0" fontId="22" fillId="0" borderId="0" xfId="18" applyFont="1" applyProtection="1">
      <protection locked="0"/>
    </xf>
    <xf numFmtId="37" fontId="22" fillId="0" borderId="0" xfId="22" applyNumberFormat="1" applyFont="1" applyProtection="1">
      <protection locked="0"/>
    </xf>
    <xf numFmtId="43" fontId="22" fillId="0" borderId="0" xfId="25" applyFont="1" applyAlignment="1" applyProtection="1">
      <alignment horizontal="right"/>
      <protection locked="0"/>
    </xf>
    <xf numFmtId="188" fontId="22" fillId="0" borderId="0" xfId="25" applyNumberFormat="1" applyFont="1" applyProtection="1">
      <protection locked="0"/>
    </xf>
    <xf numFmtId="43" fontId="22" fillId="7" borderId="0" xfId="25" applyFont="1" applyFill="1" applyProtection="1">
      <protection locked="0"/>
    </xf>
    <xf numFmtId="167" fontId="22" fillId="7" borderId="0" xfId="21" applyNumberFormat="1" applyFont="1" applyFill="1" applyProtection="1">
      <protection locked="0"/>
    </xf>
    <xf numFmtId="167" fontId="22" fillId="7" borderId="0" xfId="26" applyNumberFormat="1" applyFont="1" applyFill="1" applyAlignment="1" applyProtection="1">
      <alignment horizontal="right"/>
      <protection locked="0"/>
    </xf>
    <xf numFmtId="185" fontId="22" fillId="0" borderId="0" xfId="20" applyNumberFormat="1" applyFont="1" applyProtection="1">
      <protection locked="0"/>
    </xf>
    <xf numFmtId="167" fontId="22" fillId="0" borderId="0" xfId="26" applyNumberFormat="1" applyFont="1" applyAlignment="1" applyProtection="1">
      <alignment horizontal="right"/>
      <protection locked="0"/>
    </xf>
    <xf numFmtId="167" fontId="22" fillId="0" borderId="0" xfId="21" applyNumberFormat="1" applyFont="1" applyProtection="1">
      <protection locked="0"/>
    </xf>
    <xf numFmtId="0" fontId="23" fillId="0" borderId="0" xfId="11" applyFont="1" applyAlignment="1" applyProtection="1">
      <alignment vertical="center"/>
      <protection locked="0"/>
    </xf>
    <xf numFmtId="0" fontId="23" fillId="0" borderId="0" xfId="18" applyFont="1" applyProtection="1">
      <protection locked="0"/>
    </xf>
    <xf numFmtId="188" fontId="22" fillId="7" borderId="0" xfId="25" applyNumberFormat="1" applyFont="1" applyFill="1" applyProtection="1">
      <protection locked="0"/>
    </xf>
    <xf numFmtId="188" fontId="22" fillId="0" borderId="0" xfId="23" applyNumberFormat="1" applyFont="1" applyAlignment="1" applyProtection="1">
      <alignment horizontal="right"/>
      <protection locked="0"/>
    </xf>
    <xf numFmtId="0" fontId="22" fillId="7" borderId="0" xfId="9" applyFont="1" applyFill="1" applyProtection="1">
      <protection locked="0"/>
    </xf>
    <xf numFmtId="0" fontId="22" fillId="0" borderId="0" xfId="9" quotePrefix="1" applyFont="1" applyProtection="1">
      <protection locked="0"/>
    </xf>
    <xf numFmtId="0" fontId="22" fillId="0" borderId="0" xfId="9" applyFont="1" applyAlignment="1" applyProtection="1">
      <alignment horizontal="left"/>
      <protection locked="0"/>
    </xf>
    <xf numFmtId="178" fontId="4" fillId="12" borderId="15" xfId="0" applyNumberFormat="1" applyFont="1" applyFill="1" applyBorder="1" applyAlignment="1">
      <alignment horizontal="center"/>
    </xf>
    <xf numFmtId="178" fontId="36" fillId="0" borderId="0" xfId="0" applyNumberFormat="1" applyFont="1" applyAlignment="1">
      <alignment horizontal="center"/>
    </xf>
    <xf numFmtId="178" fontId="4" fillId="0" borderId="0" xfId="0" applyNumberFormat="1" applyFont="1" applyAlignment="1">
      <alignment horizontal="center"/>
    </xf>
    <xf numFmtId="3" fontId="43" fillId="0" borderId="0" xfId="14" applyNumberFormat="1" applyFont="1" applyAlignment="1" applyProtection="1">
      <alignment horizontal="right"/>
      <protection locked="0"/>
    </xf>
    <xf numFmtId="0" fontId="25" fillId="18" borderId="20" xfId="14" applyFont="1" applyFill="1" applyBorder="1" applyAlignment="1" applyProtection="1">
      <alignment horizontal="left"/>
      <protection locked="0"/>
    </xf>
    <xf numFmtId="167" fontId="22" fillId="0" borderId="0" xfId="9" applyNumberFormat="1" applyFont="1" applyAlignment="1" applyProtection="1">
      <alignment horizontal="right"/>
      <protection locked="0"/>
    </xf>
    <xf numFmtId="43" fontId="22" fillId="0" borderId="0" xfId="7" applyFont="1" applyAlignment="1" applyProtection="1">
      <alignment horizontal="right"/>
      <protection locked="0"/>
    </xf>
    <xf numFmtId="14" fontId="22" fillId="0" borderId="0" xfId="9" applyNumberFormat="1" applyFont="1" applyAlignment="1" applyProtection="1">
      <alignment horizontal="right"/>
      <protection locked="0"/>
    </xf>
    <xf numFmtId="167" fontId="22" fillId="0" borderId="0" xfId="9" applyNumberFormat="1" applyFont="1" applyAlignment="1" applyProtection="1">
      <alignment horizontal="left"/>
      <protection locked="0"/>
    </xf>
    <xf numFmtId="178" fontId="22" fillId="18" borderId="20" xfId="14" applyNumberFormat="1" applyFont="1" applyFill="1" applyBorder="1" applyAlignment="1" applyProtection="1">
      <alignment horizontal="left"/>
      <protection locked="0"/>
    </xf>
    <xf numFmtId="178" fontId="26" fillId="18" borderId="20" xfId="14" applyNumberFormat="1" applyFont="1" applyFill="1" applyBorder="1" applyAlignment="1" applyProtection="1">
      <alignment horizontal="left"/>
      <protection locked="0"/>
    </xf>
    <xf numFmtId="4" fontId="25" fillId="18" borderId="20" xfId="14" applyNumberFormat="1" applyFont="1" applyFill="1" applyBorder="1" applyAlignment="1" applyProtection="1">
      <alignment horizontal="left"/>
      <protection locked="0"/>
    </xf>
    <xf numFmtId="0" fontId="22" fillId="0" borderId="0" xfId="13" applyFont="1" applyAlignment="1" applyProtection="1">
      <alignment vertical="center"/>
      <protection locked="0"/>
    </xf>
    <xf numFmtId="0" fontId="25" fillId="18" borderId="20" xfId="14" applyFont="1" applyFill="1" applyBorder="1" applyAlignment="1" applyProtection="1">
      <alignment vertical="center"/>
      <protection locked="0"/>
    </xf>
    <xf numFmtId="0" fontId="43" fillId="18" borderId="20" xfId="14" applyFont="1" applyFill="1" applyBorder="1" applyAlignment="1" applyProtection="1">
      <alignment vertical="center"/>
      <protection locked="0"/>
    </xf>
    <xf numFmtId="0" fontId="22" fillId="0" borderId="0" xfId="9" applyFont="1" applyAlignment="1" applyProtection="1">
      <alignment horizontal="center"/>
      <protection locked="0"/>
    </xf>
    <xf numFmtId="0" fontId="24" fillId="0" borderId="0" xfId="11" applyFont="1" applyAlignment="1" applyProtection="1">
      <alignment horizontal="center"/>
      <protection locked="0"/>
    </xf>
    <xf numFmtId="185" fontId="22" fillId="0" borderId="0" xfId="13" applyNumberFormat="1" applyFont="1" applyAlignment="1" applyProtection="1">
      <alignment horizontal="center"/>
      <protection locked="0"/>
    </xf>
    <xf numFmtId="185" fontId="24" fillId="0" borderId="0" xfId="13" applyNumberFormat="1" applyFont="1" applyAlignment="1" applyProtection="1">
      <alignment horizontal="center"/>
      <protection locked="0"/>
    </xf>
    <xf numFmtId="0" fontId="24" fillId="0" borderId="0" xfId="13" applyFont="1" applyAlignment="1" applyProtection="1">
      <alignment horizontal="center"/>
      <protection locked="0"/>
    </xf>
    <xf numFmtId="0" fontId="73" fillId="0" borderId="0" xfId="15" applyFont="1" applyAlignment="1">
      <alignment horizontal="center"/>
    </xf>
    <xf numFmtId="0" fontId="22" fillId="0" borderId="0" xfId="12" applyFont="1" applyAlignment="1" applyProtection="1">
      <alignment horizontal="center"/>
      <protection locked="0"/>
    </xf>
    <xf numFmtId="0" fontId="73" fillId="0" borderId="0" xfId="27" applyFont="1" applyAlignment="1">
      <alignment horizontal="center"/>
    </xf>
    <xf numFmtId="0" fontId="20" fillId="0" borderId="0" xfId="10" applyFont="1" applyAlignment="1">
      <alignment horizontal="center"/>
    </xf>
    <xf numFmtId="185" fontId="22" fillId="0" borderId="0" xfId="20" applyNumberFormat="1" applyFont="1" applyAlignment="1" applyProtection="1">
      <alignment horizontal="left" indent="1"/>
      <protection locked="0"/>
    </xf>
    <xf numFmtId="185" fontId="22" fillId="0" borderId="0" xfId="18" applyNumberFormat="1" applyFont="1" applyAlignment="1" applyProtection="1">
      <alignment horizontal="left" indent="1"/>
      <protection locked="0"/>
    </xf>
    <xf numFmtId="0" fontId="27" fillId="0" borderId="0" xfId="18" applyFont="1" applyAlignment="1" applyProtection="1">
      <alignment horizontal="left"/>
      <protection locked="0"/>
    </xf>
    <xf numFmtId="188" fontId="27" fillId="0" borderId="4" xfId="23" applyNumberFormat="1" applyFont="1" applyBorder="1" applyAlignment="1" applyProtection="1">
      <alignment horizontal="right"/>
      <protection locked="0"/>
    </xf>
    <xf numFmtId="191" fontId="27" fillId="0" borderId="4" xfId="23" applyNumberFormat="1" applyFont="1" applyBorder="1" applyAlignment="1" applyProtection="1">
      <alignment horizontal="right"/>
      <protection locked="0"/>
    </xf>
    <xf numFmtId="188" fontId="27" fillId="0" borderId="0" xfId="23" applyNumberFormat="1" applyFont="1" applyAlignment="1" applyProtection="1">
      <alignment horizontal="right"/>
      <protection locked="0"/>
    </xf>
    <xf numFmtId="191" fontId="27" fillId="0" borderId="0" xfId="23" applyNumberFormat="1" applyFont="1" applyAlignment="1" applyProtection="1">
      <alignment horizontal="right"/>
      <protection locked="0"/>
    </xf>
    <xf numFmtId="43" fontId="22" fillId="7" borderId="0" xfId="22" applyFont="1" applyFill="1" applyProtection="1">
      <protection locked="0"/>
    </xf>
    <xf numFmtId="0" fontId="22" fillId="7" borderId="0" xfId="14" applyFont="1" applyFill="1" applyProtection="1">
      <protection locked="0"/>
    </xf>
    <xf numFmtId="43" fontId="22" fillId="7" borderId="0" xfId="25" applyFont="1" applyFill="1" applyAlignment="1" applyProtection="1">
      <alignment horizontal="right"/>
      <protection locked="0"/>
    </xf>
    <xf numFmtId="2" fontId="22" fillId="7" borderId="0" xfId="25" applyNumberFormat="1" applyFont="1" applyFill="1" applyAlignment="1" applyProtection="1">
      <alignment horizontal="right"/>
      <protection locked="0"/>
    </xf>
    <xf numFmtId="188" fontId="22" fillId="7" borderId="0" xfId="25" applyNumberFormat="1" applyFont="1" applyFill="1" applyAlignment="1" applyProtection="1">
      <alignment horizontal="right"/>
      <protection locked="0"/>
    </xf>
    <xf numFmtId="0" fontId="11" fillId="13" borderId="0" xfId="11" applyFont="1" applyFill="1" applyAlignment="1" applyProtection="1">
      <alignment vertical="center"/>
      <protection locked="0"/>
    </xf>
    <xf numFmtId="37" fontId="44" fillId="13" borderId="0" xfId="11" applyNumberFormat="1" applyFont="1" applyFill="1" applyAlignment="1" applyProtection="1">
      <alignment horizontal="right"/>
      <protection locked="0"/>
    </xf>
    <xf numFmtId="0" fontId="44" fillId="13" borderId="0" xfId="11" applyFont="1" applyFill="1" applyAlignment="1" applyProtection="1">
      <alignment horizontal="right"/>
      <protection locked="0"/>
    </xf>
    <xf numFmtId="37" fontId="44" fillId="0" borderId="0" xfId="11" applyNumberFormat="1" applyFont="1" applyAlignment="1" applyProtection="1">
      <alignment horizontal="right"/>
      <protection locked="0"/>
    </xf>
    <xf numFmtId="0" fontId="44" fillId="0" borderId="0" xfId="11" applyFont="1" applyAlignment="1" applyProtection="1">
      <alignment horizontal="right"/>
      <protection locked="0"/>
    </xf>
    <xf numFmtId="0" fontId="22" fillId="0" borderId="0" xfId="19" applyFont="1" applyAlignment="1" applyProtection="1">
      <alignment horizontal="right"/>
      <protection locked="0"/>
    </xf>
    <xf numFmtId="0" fontId="79" fillId="0" borderId="0" xfId="11" applyFont="1" applyAlignment="1" applyProtection="1">
      <alignment vertical="center"/>
      <protection locked="0"/>
    </xf>
    <xf numFmtId="185" fontId="22" fillId="7" borderId="0" xfId="18" quotePrefix="1" applyNumberFormat="1" applyFont="1" applyFill="1" applyAlignment="1" applyProtection="1">
      <alignment horizontal="left" vertical="center"/>
      <protection locked="0"/>
    </xf>
    <xf numFmtId="192" fontId="22" fillId="7" borderId="0" xfId="25" applyNumberFormat="1" applyFont="1" applyFill="1" applyAlignment="1" applyProtection="1">
      <alignment horizontal="right"/>
      <protection locked="0"/>
    </xf>
    <xf numFmtId="193" fontId="22" fillId="7" borderId="0" xfId="22" applyNumberFormat="1" applyFont="1" applyFill="1" applyProtection="1">
      <protection locked="0"/>
    </xf>
    <xf numFmtId="188" fontId="26" fillId="16" borderId="22" xfId="19" applyNumberFormat="1" applyFont="1" applyFill="1" applyBorder="1" applyAlignment="1" applyProtection="1">
      <alignment horizontal="right"/>
      <protection locked="0"/>
    </xf>
    <xf numFmtId="188" fontId="26" fillId="16" borderId="23" xfId="19" applyNumberFormat="1" applyFont="1" applyFill="1" applyBorder="1" applyAlignment="1" applyProtection="1">
      <alignment horizontal="right"/>
      <protection locked="0"/>
    </xf>
    <xf numFmtId="188" fontId="26" fillId="16" borderId="25" xfId="19" applyNumberFormat="1" applyFont="1" applyFill="1" applyBorder="1" applyAlignment="1" applyProtection="1">
      <alignment horizontal="right"/>
      <protection locked="0"/>
    </xf>
    <xf numFmtId="2" fontId="26" fillId="16" borderId="25" xfId="19" applyNumberFormat="1" applyFont="1" applyFill="1" applyBorder="1" applyAlignment="1" applyProtection="1">
      <alignment horizontal="right"/>
      <protection locked="0"/>
    </xf>
    <xf numFmtId="43" fontId="26" fillId="16" borderId="27" xfId="19" applyNumberFormat="1" applyFont="1" applyFill="1" applyBorder="1" applyAlignment="1" applyProtection="1">
      <alignment horizontal="right"/>
      <protection locked="0"/>
    </xf>
    <xf numFmtId="43" fontId="26" fillId="16" borderId="28" xfId="19" applyNumberFormat="1" applyFont="1" applyFill="1" applyBorder="1" applyAlignment="1" applyProtection="1">
      <alignment horizontal="right"/>
      <protection locked="0"/>
    </xf>
    <xf numFmtId="188" fontId="26" fillId="16" borderId="21" xfId="19" applyNumberFormat="1" applyFont="1" applyFill="1" applyBorder="1" applyAlignment="1" applyProtection="1">
      <alignment horizontal="right"/>
      <protection locked="0"/>
    </xf>
    <xf numFmtId="188" fontId="26" fillId="16" borderId="24" xfId="19" applyNumberFormat="1" applyFont="1" applyFill="1" applyBorder="1" applyAlignment="1" applyProtection="1">
      <alignment horizontal="right"/>
      <protection locked="0"/>
    </xf>
    <xf numFmtId="2" fontId="26" fillId="16" borderId="24" xfId="19" applyNumberFormat="1" applyFont="1" applyFill="1" applyBorder="1" applyAlignment="1" applyProtection="1">
      <alignment horizontal="right"/>
      <protection locked="0"/>
    </xf>
    <xf numFmtId="43" fontId="26" fillId="16" borderId="26" xfId="19" applyNumberFormat="1" applyFont="1" applyFill="1" applyBorder="1" applyAlignment="1" applyProtection="1">
      <alignment horizontal="right"/>
      <protection locked="0"/>
    </xf>
    <xf numFmtId="0" fontId="35" fillId="0" borderId="0" xfId="0" applyFont="1" applyAlignment="1">
      <alignment horizontal="right"/>
    </xf>
    <xf numFmtId="167" fontId="36" fillId="15" borderId="0" xfId="0" applyNumberFormat="1" applyFont="1" applyFill="1"/>
    <xf numFmtId="10" fontId="36" fillId="15" borderId="0" xfId="0" applyNumberFormat="1" applyFont="1" applyFill="1"/>
    <xf numFmtId="194" fontId="6" fillId="2" borderId="0" xfId="1" applyNumberFormat="1" applyFont="1" applyFill="1" applyAlignment="1">
      <alignment horizontal="right"/>
    </xf>
    <xf numFmtId="0" fontId="14" fillId="19" borderId="1" xfId="1" applyFont="1" applyFill="1" applyBorder="1"/>
    <xf numFmtId="166" fontId="14" fillId="19" borderId="1" xfId="1" applyNumberFormat="1" applyFont="1" applyFill="1" applyBorder="1" applyAlignment="1">
      <alignment horizontal="right"/>
    </xf>
    <xf numFmtId="194" fontId="14" fillId="19" borderId="1" xfId="1" applyNumberFormat="1" applyFont="1" applyFill="1" applyBorder="1" applyAlignment="1">
      <alignment horizontal="right"/>
    </xf>
    <xf numFmtId="0" fontId="81" fillId="0" borderId="0" xfId="27" applyFont="1"/>
    <xf numFmtId="0" fontId="81" fillId="0" borderId="0" xfId="15" applyFont="1"/>
    <xf numFmtId="188" fontId="22" fillId="17" borderId="0" xfId="19" applyNumberFormat="1" applyFont="1" applyFill="1" applyAlignment="1" applyProtection="1">
      <alignment horizontal="right"/>
      <protection locked="0"/>
    </xf>
    <xf numFmtId="43" fontId="22" fillId="17" borderId="0" xfId="19" applyNumberFormat="1" applyFont="1" applyFill="1" applyAlignment="1" applyProtection="1">
      <alignment horizontal="right"/>
      <protection locked="0"/>
    </xf>
    <xf numFmtId="188" fontId="26" fillId="16" borderId="0" xfId="19" applyNumberFormat="1" applyFont="1" applyFill="1" applyAlignment="1" applyProtection="1">
      <alignment horizontal="right"/>
      <protection locked="0"/>
    </xf>
    <xf numFmtId="2" fontId="26" fillId="16" borderId="0" xfId="19" applyNumberFormat="1" applyFont="1" applyFill="1" applyAlignment="1" applyProtection="1">
      <alignment horizontal="right"/>
      <protection locked="0"/>
    </xf>
    <xf numFmtId="188" fontId="22" fillId="17" borderId="29" xfId="19" applyNumberFormat="1" applyFont="1" applyFill="1" applyBorder="1" applyAlignment="1" applyProtection="1">
      <alignment horizontal="right"/>
      <protection locked="0"/>
    </xf>
    <xf numFmtId="188" fontId="22" fillId="17" borderId="30" xfId="19" applyNumberFormat="1" applyFont="1" applyFill="1" applyBorder="1" applyAlignment="1" applyProtection="1">
      <alignment horizontal="right"/>
      <protection locked="0"/>
    </xf>
    <xf numFmtId="188" fontId="22" fillId="17" borderId="31" xfId="19" applyNumberFormat="1" applyFont="1" applyFill="1" applyBorder="1" applyAlignment="1" applyProtection="1">
      <alignment horizontal="right"/>
      <protection locked="0"/>
    </xf>
    <xf numFmtId="188" fontId="22" fillId="17" borderId="32" xfId="19" applyNumberFormat="1" applyFont="1" applyFill="1" applyBorder="1" applyAlignment="1" applyProtection="1">
      <alignment horizontal="right"/>
      <protection locked="0"/>
    </xf>
    <xf numFmtId="188" fontId="22" fillId="17" borderId="33" xfId="19" applyNumberFormat="1" applyFont="1" applyFill="1" applyBorder="1" applyAlignment="1" applyProtection="1">
      <alignment horizontal="right"/>
      <protection locked="0"/>
    </xf>
    <xf numFmtId="43" fontId="22" fillId="17" borderId="32" xfId="19" applyNumberFormat="1" applyFont="1" applyFill="1" applyBorder="1" applyAlignment="1" applyProtection="1">
      <alignment horizontal="right"/>
      <protection locked="0"/>
    </xf>
    <xf numFmtId="43" fontId="22" fillId="17" borderId="33" xfId="19" applyNumberFormat="1" applyFont="1" applyFill="1" applyBorder="1" applyAlignment="1" applyProtection="1">
      <alignment horizontal="right"/>
      <protection locked="0"/>
    </xf>
    <xf numFmtId="43" fontId="22" fillId="17" borderId="34" xfId="19" applyNumberFormat="1" applyFont="1" applyFill="1" applyBorder="1" applyAlignment="1" applyProtection="1">
      <alignment horizontal="right"/>
      <protection locked="0"/>
    </xf>
    <xf numFmtId="43" fontId="22" fillId="17" borderId="35" xfId="19" applyNumberFormat="1" applyFont="1" applyFill="1" applyBorder="1" applyAlignment="1" applyProtection="1">
      <alignment horizontal="right"/>
      <protection locked="0"/>
    </xf>
    <xf numFmtId="43" fontId="22" fillId="17" borderId="36" xfId="19" applyNumberFormat="1" applyFont="1" applyFill="1" applyBorder="1" applyAlignment="1" applyProtection="1">
      <alignment horizontal="right"/>
      <protection locked="0"/>
    </xf>
    <xf numFmtId="0" fontId="60" fillId="16" borderId="0" xfId="0" applyFont="1" applyFill="1" applyAlignment="1">
      <alignment horizontal="center" vertical="center"/>
    </xf>
    <xf numFmtId="1" fontId="31" fillId="20" borderId="0" xfId="0" applyNumberFormat="1" applyFont="1" applyFill="1" applyAlignment="1">
      <alignment horizontal="left" vertical="center"/>
    </xf>
    <xf numFmtId="1" fontId="80" fillId="20" borderId="0" xfId="0" applyNumberFormat="1" applyFont="1" applyFill="1" applyAlignment="1">
      <alignment horizontal="center" vertical="center"/>
    </xf>
    <xf numFmtId="0" fontId="80" fillId="20" borderId="0" xfId="0" applyFont="1" applyFill="1"/>
    <xf numFmtId="3" fontId="80" fillId="20" borderId="0" xfId="0" applyNumberFormat="1" applyFont="1" applyFill="1"/>
    <xf numFmtId="169" fontId="36" fillId="0" borderId="0" xfId="0" applyNumberFormat="1" applyFont="1"/>
    <xf numFmtId="2" fontId="82" fillId="16" borderId="0" xfId="0" applyNumberFormat="1" applyFont="1" applyFill="1" applyAlignment="1">
      <alignment horizontal="centerContinuous"/>
    </xf>
    <xf numFmtId="0" fontId="28" fillId="0" borderId="0" xfId="0" applyFont="1" applyAlignment="1">
      <alignment horizontal="center"/>
    </xf>
    <xf numFmtId="169" fontId="50" fillId="3" borderId="0" xfId="0" applyNumberFormat="1" applyFont="1" applyFill="1"/>
    <xf numFmtId="173" fontId="50" fillId="0" borderId="0" xfId="0" applyNumberFormat="1" applyFont="1" applyAlignment="1">
      <alignment horizontal="right" vertical="center"/>
    </xf>
    <xf numFmtId="169" fontId="50" fillId="6" borderId="0" xfId="0" applyNumberFormat="1" applyFont="1" applyFill="1"/>
    <xf numFmtId="167" fontId="29" fillId="6" borderId="0" xfId="8" applyNumberFormat="1" applyFont="1" applyFill="1"/>
    <xf numFmtId="165" fontId="6" fillId="0" borderId="0" xfId="1" applyNumberFormat="1" applyFont="1" applyAlignment="1">
      <alignment horizontal="right"/>
    </xf>
    <xf numFmtId="9" fontId="13" fillId="0" borderId="0" xfId="8" applyFont="1" applyAlignment="1">
      <alignment horizontal="right"/>
    </xf>
    <xf numFmtId="166" fontId="14" fillId="0" borderId="0" xfId="1" applyNumberFormat="1" applyFont="1" applyAlignment="1">
      <alignment horizontal="right"/>
    </xf>
    <xf numFmtId="164" fontId="6" fillId="0" borderId="0" xfId="1" applyNumberFormat="1" applyFont="1" applyAlignment="1">
      <alignment horizontal="right"/>
    </xf>
    <xf numFmtId="164" fontId="8" fillId="0" borderId="0" xfId="1" applyNumberFormat="1" applyFont="1" applyAlignment="1">
      <alignment horizontal="right"/>
    </xf>
    <xf numFmtId="167" fontId="6" fillId="0" borderId="0" xfId="1" applyNumberFormat="1" applyFont="1" applyAlignment="1">
      <alignment horizontal="right"/>
    </xf>
    <xf numFmtId="2" fontId="6" fillId="0" borderId="0" xfId="1" quotePrefix="1" applyNumberFormat="1" applyFont="1" applyAlignment="1">
      <alignment horizontal="right"/>
    </xf>
    <xf numFmtId="164" fontId="6" fillId="0" borderId="0" xfId="1" quotePrefix="1" applyNumberFormat="1" applyFont="1" applyAlignment="1">
      <alignment horizontal="right"/>
    </xf>
    <xf numFmtId="9" fontId="6" fillId="0" borderId="0" xfId="8" applyFont="1" applyAlignment="1">
      <alignment horizontal="right"/>
    </xf>
    <xf numFmtId="2" fontId="6" fillId="0" borderId="0" xfId="1" applyNumberFormat="1" applyFont="1" applyAlignment="1">
      <alignment horizontal="right"/>
    </xf>
    <xf numFmtId="164" fontId="57" fillId="0" borderId="0" xfId="1" applyNumberFormat="1" applyFont="1" applyAlignment="1">
      <alignment horizontal="right"/>
    </xf>
    <xf numFmtId="177" fontId="6" fillId="0" borderId="0" xfId="1" applyNumberFormat="1" applyFont="1" applyAlignment="1">
      <alignment horizontal="right"/>
    </xf>
    <xf numFmtId="0" fontId="14" fillId="0" borderId="0" xfId="1" applyFont="1" applyAlignment="1">
      <alignment horizontal="right"/>
    </xf>
    <xf numFmtId="169" fontId="6" fillId="0" borderId="0" xfId="1" applyNumberFormat="1" applyFont="1" applyAlignment="1">
      <alignment horizontal="right"/>
    </xf>
    <xf numFmtId="0" fontId="1" fillId="0" borderId="0" xfId="7" applyNumberFormat="1" applyFont="1" applyAlignment="1">
      <alignment horizontal="center"/>
    </xf>
    <xf numFmtId="169" fontId="50" fillId="0" borderId="0" xfId="7" applyNumberFormat="1" applyFont="1"/>
    <xf numFmtId="178" fontId="50" fillId="3" borderId="0" xfId="0" applyNumberFormat="1" applyFont="1" applyFill="1"/>
    <xf numFmtId="4" fontId="35" fillId="0" borderId="0" xfId="0" applyNumberFormat="1" applyFont="1"/>
    <xf numFmtId="4" fontId="36" fillId="3" borderId="0" xfId="0" applyNumberFormat="1" applyFont="1" applyFill="1"/>
    <xf numFmtId="0" fontId="83" fillId="0" borderId="0" xfId="0" applyFont="1" applyAlignment="1">
      <alignment vertical="center"/>
    </xf>
    <xf numFmtId="169" fontId="1" fillId="0" borderId="0" xfId="0" applyNumberFormat="1" applyFont="1" applyAlignment="1">
      <alignment horizontal="center"/>
    </xf>
    <xf numFmtId="0" fontId="0" fillId="0" borderId="0" xfId="0" applyAlignment="1">
      <alignment vertical="top"/>
    </xf>
    <xf numFmtId="0" fontId="85" fillId="0" borderId="0" xfId="0" applyFont="1" applyAlignment="1">
      <alignment horizontal="left" vertical="top" indent="1"/>
    </xf>
    <xf numFmtId="0" fontId="11" fillId="0" borderId="0" xfId="0" applyFont="1" applyAlignment="1">
      <alignment horizontal="center" vertical="top"/>
    </xf>
    <xf numFmtId="0" fontId="11" fillId="16" borderId="0" xfId="0" applyFont="1" applyFill="1" applyAlignment="1">
      <alignment horizontal="center" vertical="center"/>
    </xf>
    <xf numFmtId="0" fontId="11" fillId="11" borderId="37" xfId="0" applyFont="1" applyFill="1" applyBorder="1" applyAlignment="1">
      <alignment horizontal="center" vertical="center"/>
    </xf>
    <xf numFmtId="0" fontId="11" fillId="11" borderId="38" xfId="0" applyFont="1" applyFill="1" applyBorder="1" applyAlignment="1">
      <alignment horizontal="center" vertical="center"/>
    </xf>
    <xf numFmtId="0" fontId="11" fillId="11" borderId="37" xfId="0" applyFont="1" applyFill="1" applyBorder="1" applyAlignment="1">
      <alignment horizontal="center" vertical="center" wrapText="1"/>
    </xf>
    <xf numFmtId="0" fontId="11" fillId="11" borderId="38" xfId="0" applyFont="1" applyFill="1" applyBorder="1" applyAlignment="1">
      <alignment horizontal="center" vertical="center" wrapText="1"/>
    </xf>
    <xf numFmtId="0" fontId="11" fillId="0" borderId="37" xfId="0" applyFont="1" applyBorder="1" applyAlignment="1">
      <alignment horizontal="center" vertical="center"/>
    </xf>
    <xf numFmtId="0" fontId="11" fillId="0" borderId="38" xfId="0" applyFont="1" applyBorder="1" applyAlignment="1">
      <alignment horizontal="center" vertical="center"/>
    </xf>
    <xf numFmtId="169" fontId="0" fillId="0" borderId="37" xfId="0" applyNumberFormat="1" applyBorder="1" applyAlignment="1">
      <alignment horizontal="right" vertical="center"/>
    </xf>
    <xf numFmtId="167" fontId="0" fillId="0" borderId="38" xfId="0" applyNumberFormat="1" applyBorder="1" applyAlignment="1">
      <alignment horizontal="right" vertical="center"/>
    </xf>
    <xf numFmtId="169" fontId="41" fillId="12" borderId="0" xfId="0" applyNumberFormat="1" applyFont="1" applyFill="1" applyAlignment="1">
      <alignment horizontal="right" vertical="center"/>
    </xf>
    <xf numFmtId="169" fontId="47" fillId="14" borderId="0" xfId="44" applyNumberFormat="1" applyFont="1" applyFill="1" applyAlignment="1" applyProtection="1">
      <alignment horizontal="center" vertical="center"/>
    </xf>
    <xf numFmtId="169" fontId="0" fillId="0" borderId="0" xfId="0" applyNumberFormat="1"/>
    <xf numFmtId="169" fontId="86" fillId="6" borderId="0" xfId="0" applyNumberFormat="1" applyFont="1" applyFill="1" applyAlignment="1">
      <alignment horizontal="right" vertical="center"/>
    </xf>
    <xf numFmtId="169" fontId="86" fillId="12" borderId="0" xfId="0" applyNumberFormat="1" applyFont="1" applyFill="1" applyAlignment="1">
      <alignment horizontal="right" vertical="center"/>
    </xf>
    <xf numFmtId="169" fontId="41" fillId="0" borderId="0" xfId="0" applyNumberFormat="1" applyFont="1" applyAlignment="1">
      <alignment horizontal="right" vertical="center"/>
    </xf>
    <xf numFmtId="169" fontId="11" fillId="0" borderId="0" xfId="0" applyNumberFormat="1" applyFont="1" applyAlignment="1">
      <alignment horizontal="center" vertical="top"/>
    </xf>
    <xf numFmtId="169" fontId="61" fillId="0" borderId="9" xfId="44" applyNumberFormat="1" applyFont="1" applyBorder="1" applyAlignment="1" applyProtection="1">
      <alignment horizontal="center" vertical="center"/>
    </xf>
    <xf numFmtId="0" fontId="0" fillId="0" borderId="0" xfId="0" applyAlignment="1">
      <alignment horizontal="left" vertical="center" indent="2"/>
    </xf>
    <xf numFmtId="0" fontId="84" fillId="0" borderId="0" xfId="0" applyFont="1" applyAlignment="1">
      <alignment horizontal="left" vertical="center" indent="1"/>
    </xf>
    <xf numFmtId="169" fontId="84" fillId="0" borderId="0" xfId="0" applyNumberFormat="1" applyFont="1" applyAlignment="1">
      <alignment horizontal="right" vertical="center"/>
    </xf>
    <xf numFmtId="169" fontId="84" fillId="0" borderId="37" xfId="0" applyNumberFormat="1" applyFont="1" applyBorder="1" applyAlignment="1">
      <alignment horizontal="right" vertical="center"/>
    </xf>
    <xf numFmtId="167" fontId="84" fillId="0" borderId="38" xfId="0" applyNumberFormat="1" applyFont="1" applyBorder="1" applyAlignment="1">
      <alignment horizontal="right" vertical="center"/>
    </xf>
    <xf numFmtId="167" fontId="84" fillId="0" borderId="0" xfId="0" applyNumberFormat="1" applyFont="1" applyAlignment="1">
      <alignment horizontal="right" vertical="center"/>
    </xf>
    <xf numFmtId="0" fontId="84" fillId="0" borderId="0" xfId="0" applyFont="1" applyAlignment="1">
      <alignment vertical="center"/>
    </xf>
    <xf numFmtId="169" fontId="87" fillId="12" borderId="0" xfId="0" applyNumberFormat="1" applyFont="1" applyFill="1" applyAlignment="1">
      <alignment horizontal="right" vertical="center"/>
    </xf>
    <xf numFmtId="0" fontId="84" fillId="0" borderId="0" xfId="0" applyFont="1"/>
    <xf numFmtId="172" fontId="88" fillId="14" borderId="0" xfId="44" applyNumberFormat="1" applyFont="1" applyFill="1" applyAlignment="1" applyProtection="1">
      <alignment horizontal="center" vertical="center"/>
    </xf>
    <xf numFmtId="169" fontId="60" fillId="12" borderId="0" xfId="0" applyNumberFormat="1" applyFont="1" applyFill="1" applyAlignment="1">
      <alignment horizontal="right" vertical="center"/>
    </xf>
    <xf numFmtId="164" fontId="41" fillId="0" borderId="0" xfId="0" applyNumberFormat="1" applyFont="1" applyAlignment="1">
      <alignment horizontal="right" vertical="center"/>
    </xf>
    <xf numFmtId="167" fontId="0" fillId="0" borderId="37" xfId="0" applyNumberFormat="1" applyBorder="1" applyAlignment="1">
      <alignment horizontal="right" vertical="center"/>
    </xf>
    <xf numFmtId="195" fontId="0" fillId="0" borderId="38" xfId="0" applyNumberFormat="1" applyBorder="1" applyAlignment="1">
      <alignment horizontal="right" vertical="center"/>
    </xf>
    <xf numFmtId="167" fontId="84" fillId="0" borderId="37" xfId="0" applyNumberFormat="1" applyFont="1" applyBorder="1" applyAlignment="1">
      <alignment horizontal="right" vertical="center"/>
    </xf>
    <xf numFmtId="195" fontId="84" fillId="0" borderId="38" xfId="0" applyNumberFormat="1" applyFont="1" applyBorder="1" applyAlignment="1">
      <alignment horizontal="right" vertical="center"/>
    </xf>
    <xf numFmtId="0" fontId="0" fillId="4" borderId="0" xfId="0" applyFill="1"/>
    <xf numFmtId="0" fontId="0" fillId="0" borderId="37" xfId="0" applyBorder="1"/>
    <xf numFmtId="0" fontId="0" fillId="0" borderId="38" xfId="0" applyBorder="1"/>
    <xf numFmtId="0" fontId="6" fillId="2" borderId="0" xfId="1" applyFont="1" applyFill="1" applyAlignment="1">
      <alignment horizontal="center"/>
    </xf>
    <xf numFmtId="0" fontId="6" fillId="0" borderId="0" xfId="1" applyFont="1" applyAlignment="1">
      <alignment horizontal="center"/>
    </xf>
    <xf numFmtId="0" fontId="8" fillId="2" borderId="0" xfId="1" applyFont="1" applyFill="1" applyAlignment="1">
      <alignment horizontal="center"/>
    </xf>
    <xf numFmtId="0" fontId="89" fillId="2" borderId="0" xfId="1" applyFont="1" applyFill="1"/>
    <xf numFmtId="0" fontId="11" fillId="11" borderId="39" xfId="0" applyFont="1" applyFill="1" applyBorder="1" applyAlignment="1">
      <alignment horizontal="center" vertical="center"/>
    </xf>
    <xf numFmtId="0" fontId="49" fillId="0" borderId="39" xfId="0" applyFont="1" applyBorder="1" applyAlignment="1">
      <alignment horizontal="left" vertical="center"/>
    </xf>
    <xf numFmtId="0" fontId="0" fillId="0" borderId="39" xfId="0" applyBorder="1" applyAlignment="1">
      <alignment horizontal="left" vertical="center" indent="2"/>
    </xf>
    <xf numFmtId="0" fontId="84" fillId="0" borderId="39" xfId="0" applyFont="1" applyBorder="1" applyAlignment="1">
      <alignment horizontal="left" vertical="center" indent="1"/>
    </xf>
    <xf numFmtId="0" fontId="0" fillId="0" borderId="39" xfId="0" applyBorder="1" applyAlignment="1">
      <alignment horizontal="left" vertical="center" indent="1"/>
    </xf>
    <xf numFmtId="0" fontId="0" fillId="0" borderId="39" xfId="0" applyBorder="1"/>
    <xf numFmtId="0" fontId="1" fillId="17" borderId="0" xfId="0" applyFont="1" applyFill="1" applyAlignment="1">
      <alignment horizontal="centerContinuous"/>
    </xf>
    <xf numFmtId="0" fontId="11" fillId="11" borderId="0" xfId="0" applyFont="1" applyFill="1" applyAlignment="1">
      <alignment horizontal="left" indent="1"/>
    </xf>
    <xf numFmtId="0" fontId="44" fillId="11" borderId="0" xfId="0" applyFont="1" applyFill="1" applyAlignment="1">
      <alignment horizontal="center" vertical="center"/>
    </xf>
    <xf numFmtId="1" fontId="3" fillId="0" borderId="0" xfId="0" applyNumberFormat="1" applyFont="1" applyAlignment="1">
      <alignment horizontal="left" vertical="center" indent="2"/>
    </xf>
    <xf numFmtId="1" fontId="3" fillId="0" borderId="0" xfId="0" applyNumberFormat="1" applyFont="1" applyAlignment="1">
      <alignment horizontal="center" vertical="center"/>
    </xf>
    <xf numFmtId="1" fontId="90" fillId="0" borderId="0" xfId="0" applyNumberFormat="1" applyFont="1" applyAlignment="1">
      <alignment horizontal="left" vertical="center" indent="3"/>
    </xf>
    <xf numFmtId="0" fontId="80" fillId="0" borderId="0" xfId="0" applyFont="1"/>
    <xf numFmtId="1" fontId="31" fillId="0" borderId="0" xfId="0" applyNumberFormat="1" applyFont="1" applyAlignment="1">
      <alignment horizontal="left" vertical="center"/>
    </xf>
    <xf numFmtId="1" fontId="80" fillId="0" borderId="0" xfId="0" applyNumberFormat="1" applyFont="1" applyAlignment="1">
      <alignment horizontal="center" vertical="center"/>
    </xf>
    <xf numFmtId="3" fontId="80" fillId="0" borderId="0" xfId="0" applyNumberFormat="1" applyFont="1"/>
    <xf numFmtId="1" fontId="39" fillId="0" borderId="0" xfId="0" applyNumberFormat="1" applyFont="1" applyAlignment="1">
      <alignment horizontal="left" vertical="center" indent="5"/>
    </xf>
    <xf numFmtId="0" fontId="4" fillId="0" borderId="0" xfId="0" applyFont="1" applyAlignment="1">
      <alignment horizontal="left" vertical="center" indent="5"/>
    </xf>
    <xf numFmtId="0" fontId="39" fillId="0" borderId="0" xfId="0" applyFont="1" applyAlignment="1">
      <alignment horizontal="left" vertical="center" indent="5"/>
    </xf>
    <xf numFmtId="177" fontId="36" fillId="0" borderId="0" xfId="0" applyNumberFormat="1" applyFont="1"/>
    <xf numFmtId="169" fontId="36" fillId="15" borderId="0" xfId="0" applyNumberFormat="1" applyFont="1" applyFill="1"/>
    <xf numFmtId="177" fontId="6" fillId="0" borderId="0" xfId="8" applyNumberFormat="1" applyFont="1" applyAlignment="1">
      <alignment horizontal="center"/>
    </xf>
    <xf numFmtId="0" fontId="13" fillId="0" borderId="0" xfId="1" applyFont="1" applyAlignment="1">
      <alignment horizontal="left" indent="1"/>
    </xf>
    <xf numFmtId="169" fontId="36" fillId="21" borderId="0" xfId="0" applyNumberFormat="1" applyFont="1" applyFill="1"/>
    <xf numFmtId="169" fontId="35" fillId="21" borderId="0" xfId="0" applyNumberFormat="1" applyFont="1" applyFill="1"/>
    <xf numFmtId="1" fontId="3" fillId="0" borderId="0" xfId="0" applyNumberFormat="1" applyFont="1" applyAlignment="1">
      <alignment horizontal="left" vertical="center" indent="3"/>
    </xf>
    <xf numFmtId="169" fontId="41" fillId="0" borderId="37" xfId="0" applyNumberFormat="1" applyFont="1" applyBorder="1" applyAlignment="1">
      <alignment horizontal="right" vertical="center"/>
    </xf>
    <xf numFmtId="169" fontId="87" fillId="0" borderId="37" xfId="0" applyNumberFormat="1" applyFont="1" applyBorder="1" applyAlignment="1">
      <alignment horizontal="right" vertical="center"/>
    </xf>
    <xf numFmtId="0" fontId="28" fillId="0" borderId="0" xfId="0" applyFont="1" applyAlignment="1">
      <alignment vertical="center"/>
    </xf>
    <xf numFmtId="169" fontId="28" fillId="6" borderId="0" xfId="7" applyNumberFormat="1" applyFont="1" applyFill="1"/>
    <xf numFmtId="0" fontId="29" fillId="0" borderId="0" xfId="0" applyFont="1" applyAlignment="1">
      <alignment horizontal="left" indent="4"/>
    </xf>
    <xf numFmtId="168" fontId="28" fillId="13" borderId="0" xfId="0" applyNumberFormat="1" applyFont="1" applyFill="1"/>
    <xf numFmtId="0" fontId="28" fillId="13" borderId="0" xfId="0" applyFont="1" applyFill="1"/>
    <xf numFmtId="1" fontId="28" fillId="13" borderId="0" xfId="0" applyNumberFormat="1" applyFont="1" applyFill="1" applyAlignment="1">
      <alignment horizontal="center" vertical="center"/>
    </xf>
    <xf numFmtId="169" fontId="35" fillId="13" borderId="0" xfId="7" applyNumberFormat="1" applyFont="1" applyFill="1"/>
    <xf numFmtId="169" fontId="28" fillId="13" borderId="0" xfId="7" applyNumberFormat="1" applyFont="1" applyFill="1"/>
    <xf numFmtId="164" fontId="91" fillId="2" borderId="0" xfId="1" applyNumberFormat="1" applyFont="1" applyFill="1" applyAlignment="1">
      <alignment horizontal="right"/>
    </xf>
    <xf numFmtId="165" fontId="51" fillId="0" borderId="0" xfId="0" applyNumberFormat="1" applyFont="1"/>
    <xf numFmtId="165" fontId="51" fillId="0" borderId="0" xfId="0" applyNumberFormat="1" applyFont="1" applyAlignment="1">
      <alignment horizontal="center"/>
    </xf>
    <xf numFmtId="4" fontId="27" fillId="0" borderId="4" xfId="23" applyNumberFormat="1" applyFont="1" applyBorder="1" applyAlignment="1" applyProtection="1">
      <alignment horizontal="right"/>
      <protection locked="0"/>
    </xf>
    <xf numFmtId="196" fontId="1" fillId="0" borderId="0" xfId="0" applyNumberFormat="1" applyFont="1" applyAlignment="1">
      <alignment horizontal="center"/>
    </xf>
    <xf numFmtId="3" fontId="1" fillId="0" borderId="0" xfId="0" applyNumberFormat="1" applyFont="1" applyAlignment="1">
      <alignment horizontal="center"/>
    </xf>
    <xf numFmtId="4" fontId="22" fillId="0" borderId="20" xfId="14" applyNumberFormat="1" applyFont="1" applyBorder="1" applyAlignment="1" applyProtection="1">
      <alignment horizontal="left"/>
      <protection locked="0"/>
    </xf>
    <xf numFmtId="0" fontId="32" fillId="0" borderId="0" xfId="0" applyFont="1" applyAlignment="1">
      <alignment horizontal="left" indent="1"/>
    </xf>
    <xf numFmtId="0" fontId="32" fillId="0" borderId="0" xfId="0" applyFont="1"/>
    <xf numFmtId="169" fontId="32" fillId="0" borderId="0" xfId="0" applyNumberFormat="1" applyFont="1"/>
    <xf numFmtId="0" fontId="11" fillId="0" borderId="0" xfId="0" applyFont="1"/>
    <xf numFmtId="0" fontId="20" fillId="0" borderId="0" xfId="0" applyFont="1"/>
    <xf numFmtId="169" fontId="20" fillId="0" borderId="0" xfId="0" applyNumberFormat="1" applyFont="1"/>
    <xf numFmtId="164" fontId="0" fillId="0" borderId="0" xfId="0" applyNumberFormat="1"/>
    <xf numFmtId="0" fontId="32" fillId="0" borderId="3" xfId="0" applyFont="1" applyBorder="1" applyAlignment="1">
      <alignment horizontal="left" indent="1"/>
    </xf>
    <xf numFmtId="0" fontId="20" fillId="0" borderId="3" xfId="0" applyFont="1" applyBorder="1"/>
    <xf numFmtId="197" fontId="20" fillId="0" borderId="3" xfId="0" applyNumberFormat="1" applyFont="1" applyBorder="1"/>
    <xf numFmtId="167" fontId="0" fillId="0" borderId="0" xfId="0" applyNumberFormat="1"/>
    <xf numFmtId="8" fontId="32" fillId="0" borderId="0" xfId="0" applyNumberFormat="1" applyFont="1"/>
    <xf numFmtId="164" fontId="32" fillId="0" borderId="0" xfId="0" applyNumberFormat="1" applyFont="1"/>
    <xf numFmtId="8" fontId="20" fillId="0" borderId="0" xfId="0" applyNumberFormat="1" applyFont="1"/>
    <xf numFmtId="164" fontId="20" fillId="0" borderId="0" xfId="0" applyNumberFormat="1" applyFont="1"/>
    <xf numFmtId="167" fontId="20" fillId="0" borderId="3" xfId="0" applyNumberFormat="1" applyFont="1" applyBorder="1"/>
    <xf numFmtId="169" fontId="92" fillId="2" borderId="0" xfId="1" applyNumberFormat="1" applyFont="1" applyFill="1" applyAlignment="1">
      <alignment horizontal="right"/>
    </xf>
    <xf numFmtId="0" fontId="8" fillId="22" borderId="0" xfId="1" applyFont="1" applyFill="1"/>
    <xf numFmtId="0" fontId="36" fillId="0" borderId="0" xfId="0" applyFont="1" applyAlignment="1">
      <alignment horizontal="center"/>
    </xf>
    <xf numFmtId="198" fontId="93" fillId="0" borderId="0" xfId="0" applyNumberFormat="1" applyFont="1"/>
    <xf numFmtId="198" fontId="37" fillId="0" borderId="0" xfId="7" applyNumberFormat="1" applyFont="1"/>
    <xf numFmtId="198" fontId="1" fillId="0" borderId="0" xfId="0" applyNumberFormat="1" applyFont="1"/>
    <xf numFmtId="198" fontId="36" fillId="0" borderId="0" xfId="0" applyNumberFormat="1" applyFont="1" applyAlignment="1">
      <alignment horizontal="center"/>
    </xf>
    <xf numFmtId="198" fontId="93" fillId="0" borderId="0" xfId="7" applyNumberFormat="1" applyFont="1"/>
    <xf numFmtId="198" fontId="36" fillId="0" borderId="0" xfId="0" applyNumberFormat="1" applyFont="1"/>
    <xf numFmtId="198" fontId="36" fillId="0" borderId="0" xfId="0" applyNumberFormat="1" applyFont="1" applyAlignment="1">
      <alignment horizontal="right"/>
    </xf>
    <xf numFmtId="198" fontId="28" fillId="0" borderId="0" xfId="0" applyNumberFormat="1" applyFont="1"/>
    <xf numFmtId="0" fontId="37" fillId="0" borderId="0" xfId="0" applyFont="1" applyAlignment="1">
      <alignment horizontal="left" indent="1"/>
    </xf>
    <xf numFmtId="0" fontId="1" fillId="17" borderId="0" xfId="0" applyFont="1" applyFill="1"/>
    <xf numFmtId="0" fontId="3" fillId="17" borderId="0" xfId="0" applyFont="1" applyFill="1" applyAlignment="1">
      <alignment horizontal="center"/>
    </xf>
    <xf numFmtId="198" fontId="51" fillId="0" borderId="0" xfId="0" applyNumberFormat="1" applyFont="1" applyAlignment="1">
      <alignment horizontal="right"/>
    </xf>
    <xf numFmtId="169" fontId="37" fillId="0" borderId="0" xfId="0" applyNumberFormat="1" applyFont="1"/>
    <xf numFmtId="164" fontId="36" fillId="15" borderId="0" xfId="0" applyNumberFormat="1" applyFont="1" applyFill="1"/>
    <xf numFmtId="169" fontId="36" fillId="23" borderId="0" xfId="0" applyNumberFormat="1" applyFont="1" applyFill="1"/>
    <xf numFmtId="0" fontId="94" fillId="23" borderId="0" xfId="0" applyFont="1" applyFill="1"/>
    <xf numFmtId="188" fontId="26" fillId="7" borderId="0" xfId="22" applyNumberFormat="1" applyFont="1" applyFill="1" applyProtection="1">
      <protection locked="0"/>
    </xf>
  </cellXfs>
  <cellStyles count="54">
    <cellStyle name="_Capital CSL template" xfId="37" xr:uid="{00000000-0005-0000-0000-000025000000}"/>
    <cellStyle name="_Capital CSL template 2" xfId="38" xr:uid="{00000000-0005-0000-0000-000026000000}"/>
    <cellStyle name="Comma" xfId="7" builtinId="3"/>
    <cellStyle name="Comma 2" xfId="31" xr:uid="{00000000-0005-0000-0000-00001F000000}"/>
    <cellStyle name="Comma 3" xfId="29" xr:uid="{00000000-0005-0000-0000-00001D000000}"/>
    <cellStyle name="Comma 3 2" xfId="34" xr:uid="{00000000-0005-0000-0000-000022000000}"/>
    <cellStyle name="Comma 3 5" xfId="5" xr:uid="{00000000-0005-0000-0000-000005000000}"/>
    <cellStyle name="Comma 3 5 2" xfId="30" xr:uid="{00000000-0005-0000-0000-00001E000000}"/>
    <cellStyle name="Comma 3 6" xfId="25" xr:uid="{00000000-0005-0000-0000-000019000000}"/>
    <cellStyle name="Comma 3 6 2" xfId="33" xr:uid="{00000000-0005-0000-0000-000021000000}"/>
    <cellStyle name="Comma 36 2" xfId="16" xr:uid="{00000000-0005-0000-0000-000010000000}"/>
    <cellStyle name="Comma 36 2 2" xfId="32" xr:uid="{00000000-0005-0000-0000-000020000000}"/>
    <cellStyle name="Comma_ACE-IN 2" xfId="23" xr:uid="{00000000-0005-0000-0000-000017000000}"/>
    <cellStyle name="Comma_Financial ResearchWise Sheet1 2" xfId="22" xr:uid="{00000000-0005-0000-0000-000016000000}"/>
    <cellStyle name="Comma_SSEML" xfId="20" xr:uid="{00000000-0005-0000-0000-000014000000}"/>
    <cellStyle name="Currency 81 2" xfId="48" xr:uid="{00000000-0005-0000-0000-000030000000}"/>
    <cellStyle name="Hyperlink" xfId="49" builtinId="8"/>
    <cellStyle name="Hyperlink 2" xfId="41" xr:uid="{00000000-0005-0000-0000-000029000000}"/>
    <cellStyle name="Hyperlink 3" xfId="3" xr:uid="{00000000-0005-0000-0000-000003000000}"/>
    <cellStyle name="Hyperlink 7" xfId="17" xr:uid="{00000000-0005-0000-0000-000011000000}"/>
    <cellStyle name="Normal" xfId="0" builtinId="0"/>
    <cellStyle name="Normal 107" xfId="27" xr:uid="{00000000-0005-0000-0000-00001B000000}"/>
    <cellStyle name="Normal 107 2" xfId="15" xr:uid="{00000000-0005-0000-0000-00000F000000}"/>
    <cellStyle name="Normal 2" xfId="1" xr:uid="{00000000-0005-0000-0000-000001000000}"/>
    <cellStyle name="Normal 2 10 2" xfId="4" xr:uid="{00000000-0005-0000-0000-000004000000}"/>
    <cellStyle name="Normal 2 2" xfId="50" xr:uid="{00000000-0005-0000-0000-000032000000}"/>
    <cellStyle name="Normal 25 2 2 3" xfId="45" xr:uid="{00000000-0005-0000-0000-00002D000000}"/>
    <cellStyle name="Normal 3" xfId="35" xr:uid="{00000000-0005-0000-0000-000023000000}"/>
    <cellStyle name="Normal 3 10" xfId="2" xr:uid="{00000000-0005-0000-0000-000002000000}"/>
    <cellStyle name="Normal 3 14" xfId="10" xr:uid="{00000000-0005-0000-0000-00000A000000}"/>
    <cellStyle name="Normal 398 2" xfId="46" xr:uid="{00000000-0005-0000-0000-00002E000000}"/>
    <cellStyle name="Normal 4" xfId="40" xr:uid="{00000000-0005-0000-0000-000028000000}"/>
    <cellStyle name="Normal 5" xfId="44" xr:uid="{00000000-0005-0000-0000-00002C000000}"/>
    <cellStyle name="Normal 5 2" xfId="36" xr:uid="{00000000-0005-0000-0000-000024000000}"/>
    <cellStyle name="Normal 92" xfId="28" xr:uid="{00000000-0005-0000-0000-00001C000000}"/>
    <cellStyle name="Normal_ACE-IN 2" xfId="18" xr:uid="{00000000-0005-0000-0000-000012000000}"/>
    <cellStyle name="Normal_ACE-IN_ELECmay 2" xfId="13" xr:uid="{00000000-0005-0000-0000-00000D000000}"/>
    <cellStyle name="Normal_Dumpsheet" xfId="9" xr:uid="{00000000-0005-0000-0000-000009000000}"/>
    <cellStyle name="Normal_ELECmay" xfId="14" xr:uid="{00000000-0005-0000-0000-00000E000000}"/>
    <cellStyle name="Normal_Financial ResearchWise Sheet1 2" xfId="11" xr:uid="{00000000-0005-0000-0000-00000B000000}"/>
    <cellStyle name="Normal_Industrial ResearchWise Sheet 17March2009 2" xfId="12" xr:uid="{00000000-0005-0000-0000-00000C000000}"/>
    <cellStyle name="Normal_Sheet1_Financial ResearchWise Sheet1 2" xfId="19" xr:uid="{00000000-0005-0000-0000-000013000000}"/>
    <cellStyle name="Normal_SSEML" xfId="24" xr:uid="{00000000-0005-0000-0000-000018000000}"/>
    <cellStyle name="Normal_TLS_data" xfId="53" xr:uid="{00000000-0005-0000-0000-000035000000}"/>
    <cellStyle name="Percent" xfId="8" builtinId="5"/>
    <cellStyle name="Percent 146 2" xfId="47" xr:uid="{00000000-0005-0000-0000-00002F000000}"/>
    <cellStyle name="Percent 17" xfId="43" xr:uid="{00000000-0005-0000-0000-00002B000000}"/>
    <cellStyle name="Percent 2" xfId="42" xr:uid="{00000000-0005-0000-0000-00002A000000}"/>
    <cellStyle name="Percent 2 2 2" xfId="52" xr:uid="{00000000-0005-0000-0000-000034000000}"/>
    <cellStyle name="Percent 2 2 3" xfId="26" xr:uid="{00000000-0005-0000-0000-00001A000000}"/>
    <cellStyle name="Percent 2 9" xfId="6" xr:uid="{00000000-0005-0000-0000-000006000000}"/>
    <cellStyle name="Percent 35 2" xfId="21" xr:uid="{00000000-0005-0000-0000-000015000000}"/>
    <cellStyle name="Style 1" xfId="39" xr:uid="{00000000-0005-0000-0000-000027000000}"/>
    <cellStyle name="Style 1 2" xfId="51"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142875</xdr:colOff>
      <xdr:row>164</xdr:row>
      <xdr:rowOff>154780</xdr:rowOff>
    </xdr:from>
    <xdr:to>
      <xdr:col>68</xdr:col>
      <xdr:colOff>82570</xdr:colOff>
      <xdr:row>202</xdr:row>
      <xdr:rowOff>120651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9753719" y="27586780"/>
          <a:ext cx="6190476" cy="6323809"/>
        </a:xfrm>
        <a:prstGeom prst="rect">
          <a:avLst/>
        </a:prstGeom>
        <a:ln>
          <a:prstDash val="solid"/>
        </a:ln>
      </xdr:spPr>
    </xdr:pic>
    <xdr:clientData/>
  </xdr:twoCellAnchor>
</xdr:wsDr>
</file>

<file path=xl/theme/theme1.xml><?xml version="1.0" encoding="utf-8"?>
<a:theme xmlns:a="http://schemas.openxmlformats.org/drawingml/2006/main" name="EAP">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C49873-32F9-4121-8952-3E0E918654A6}">
  <we:reference id="29673e3c-d826-4f00-92ee-162334a52b1a" version="1.0.0.8" store="EXCatalog" storeType="EXCatalog"/>
  <we:alternateReferences>
    <we:reference id="WA200009404" version="1.0.0.8" store="en-US" storeType="OMEX"/>
  </we:alternateReferences>
  <we:properties>
    <we:property name="claude.fileId" value="&quot;dbc8537b-541c-49ea-ae6e-87bad0d3358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pageSetUpPr fitToPage="1"/>
  </sheetPr>
  <dimension ref="A1:WWN392"/>
  <sheetViews>
    <sheetView showGridLines="0" zoomScale="80" zoomScaleNormal="80" workbookViewId="0">
      <pane xSplit="3" ySplit="3" topLeftCell="D133" activePane="bottomRight" state="frozen"/>
      <selection pane="topRight" activeCell="D1" sqref="D1"/>
      <selection pane="bottomLeft" activeCell="A4" sqref="A4"/>
      <selection pane="bottomRight" activeCell="I280" sqref="I280"/>
    </sheetView>
  </sheetViews>
  <sheetFormatPr defaultColWidth="6.28515625" defaultRowHeight="12.75" outlineLevelRow="1" outlineLevelCol="1"/>
  <cols>
    <col min="1" max="1" width="18.7109375" style="324" customWidth="1"/>
    <col min="2" max="2" width="22" style="324" bestFit="1" customWidth="1"/>
    <col min="3" max="3" width="43.42578125" style="324" bestFit="1" customWidth="1"/>
    <col min="4" max="4" width="14.28515625" style="324" bestFit="1" customWidth="1"/>
    <col min="5" max="17" width="8.7109375" style="324" customWidth="1"/>
    <col min="18" max="34" width="8.7109375" style="324" hidden="1" customWidth="1" outlineLevel="1"/>
    <col min="35" max="35" width="5.7109375" style="324" customWidth="1" collapsed="1"/>
    <col min="36" max="36" width="3.7109375" style="480" customWidth="1"/>
    <col min="37" max="49" width="3.7109375" style="324" customWidth="1"/>
    <col min="50" max="257" width="6.28515625" style="324" customWidth="1"/>
    <col min="258" max="258" width="18.7109375" style="324" customWidth="1"/>
    <col min="259" max="259" width="22" style="324" bestFit="1" customWidth="1"/>
    <col min="260" max="260" width="50.140625" style="324" bestFit="1" customWidth="1"/>
    <col min="261" max="261" width="37.42578125" style="324" customWidth="1"/>
    <col min="262" max="271" width="11.42578125" style="324" customWidth="1"/>
    <col min="272" max="288" width="13" style="324" hidden="1" customWidth="1"/>
    <col min="289" max="289" width="11.42578125" style="324" customWidth="1"/>
    <col min="290" max="290" width="24" style="324" customWidth="1"/>
    <col min="291" max="291" width="11.42578125" style="324" customWidth="1"/>
    <col min="292" max="292" width="8.42578125" style="324" customWidth="1"/>
    <col min="293" max="298" width="23.28515625" style="324" bestFit="1" customWidth="1"/>
    <col min="299" max="513" width="6.28515625" style="324" customWidth="1"/>
    <col min="514" max="514" width="18.7109375" style="324" customWidth="1"/>
    <col min="515" max="515" width="22" style="324" bestFit="1" customWidth="1"/>
    <col min="516" max="516" width="50.140625" style="324" bestFit="1" customWidth="1"/>
    <col min="517" max="517" width="37.42578125" style="324" customWidth="1"/>
    <col min="518" max="527" width="11.42578125" style="324" customWidth="1"/>
    <col min="528" max="544" width="13" style="324" hidden="1" customWidth="1"/>
    <col min="545" max="545" width="11.42578125" style="324" customWidth="1"/>
    <col min="546" max="546" width="24" style="324" customWidth="1"/>
    <col min="547" max="547" width="11.42578125" style="324" customWidth="1"/>
    <col min="548" max="548" width="8.42578125" style="324" customWidth="1"/>
    <col min="549" max="554" width="23.28515625" style="324" bestFit="1" customWidth="1"/>
    <col min="555" max="769" width="6.28515625" style="324" customWidth="1"/>
    <col min="770" max="770" width="18.7109375" style="324" customWidth="1"/>
    <col min="771" max="771" width="22" style="324" bestFit="1" customWidth="1"/>
    <col min="772" max="772" width="50.140625" style="324" bestFit="1" customWidth="1"/>
    <col min="773" max="773" width="37.42578125" style="324" customWidth="1"/>
    <col min="774" max="783" width="11.42578125" style="324" customWidth="1"/>
    <col min="784" max="800" width="13" style="324" hidden="1" customWidth="1"/>
    <col min="801" max="801" width="11.42578125" style="324" customWidth="1"/>
    <col min="802" max="802" width="24" style="324" customWidth="1"/>
    <col min="803" max="803" width="11.42578125" style="324" customWidth="1"/>
    <col min="804" max="804" width="8.42578125" style="324" customWidth="1"/>
    <col min="805" max="810" width="23.28515625" style="324" bestFit="1" customWidth="1"/>
    <col min="811" max="1025" width="6.28515625" style="324" customWidth="1"/>
    <col min="1026" max="1026" width="18.7109375" style="324" customWidth="1"/>
    <col min="1027" max="1027" width="22" style="324" bestFit="1" customWidth="1"/>
    <col min="1028" max="1028" width="50.140625" style="324" bestFit="1" customWidth="1"/>
    <col min="1029" max="1029" width="37.42578125" style="324" customWidth="1"/>
    <col min="1030" max="1039" width="11.42578125" style="324" customWidth="1"/>
    <col min="1040" max="1056" width="13" style="324" hidden="1" customWidth="1"/>
    <col min="1057" max="1057" width="11.42578125" style="324" customWidth="1"/>
    <col min="1058" max="1058" width="24" style="324" customWidth="1"/>
    <col min="1059" max="1059" width="11.42578125" style="324" customWidth="1"/>
    <col min="1060" max="1060" width="8.42578125" style="324" customWidth="1"/>
    <col min="1061" max="1066" width="23.28515625" style="324" bestFit="1" customWidth="1"/>
    <col min="1067" max="1281" width="6.28515625" style="324" customWidth="1"/>
    <col min="1282" max="1282" width="18.7109375" style="324" customWidth="1"/>
    <col min="1283" max="1283" width="22" style="324" bestFit="1" customWidth="1"/>
    <col min="1284" max="1284" width="50.140625" style="324" bestFit="1" customWidth="1"/>
    <col min="1285" max="1285" width="37.42578125" style="324" customWidth="1"/>
    <col min="1286" max="1295" width="11.42578125" style="324" customWidth="1"/>
    <col min="1296" max="1312" width="13" style="324" hidden="1" customWidth="1"/>
    <col min="1313" max="1313" width="11.42578125" style="324" customWidth="1"/>
    <col min="1314" max="1314" width="24" style="324" customWidth="1"/>
    <col min="1315" max="1315" width="11.42578125" style="324" customWidth="1"/>
    <col min="1316" max="1316" width="8.42578125" style="324" customWidth="1"/>
    <col min="1317" max="1322" width="23.28515625" style="324" bestFit="1" customWidth="1"/>
    <col min="1323" max="1537" width="6.28515625" style="324" customWidth="1"/>
    <col min="1538" max="1538" width="18.7109375" style="324" customWidth="1"/>
    <col min="1539" max="1539" width="22" style="324" bestFit="1" customWidth="1"/>
    <col min="1540" max="1540" width="50.140625" style="324" bestFit="1" customWidth="1"/>
    <col min="1541" max="1541" width="37.42578125" style="324" customWidth="1"/>
    <col min="1542" max="1551" width="11.42578125" style="324" customWidth="1"/>
    <col min="1552" max="1568" width="13" style="324" hidden="1" customWidth="1"/>
    <col min="1569" max="1569" width="11.42578125" style="324" customWidth="1"/>
    <col min="1570" max="1570" width="24" style="324" customWidth="1"/>
    <col min="1571" max="1571" width="11.42578125" style="324" customWidth="1"/>
    <col min="1572" max="1572" width="8.42578125" style="324" customWidth="1"/>
    <col min="1573" max="1578" width="23.28515625" style="324" bestFit="1" customWidth="1"/>
    <col min="1579" max="1793" width="6.28515625" style="324" customWidth="1"/>
    <col min="1794" max="1794" width="18.7109375" style="324" customWidth="1"/>
    <col min="1795" max="1795" width="22" style="324" bestFit="1" customWidth="1"/>
    <col min="1796" max="1796" width="50.140625" style="324" bestFit="1" customWidth="1"/>
    <col min="1797" max="1797" width="37.42578125" style="324" customWidth="1"/>
    <col min="1798" max="1807" width="11.42578125" style="324" customWidth="1"/>
    <col min="1808" max="1824" width="13" style="324" hidden="1" customWidth="1"/>
    <col min="1825" max="1825" width="11.42578125" style="324" customWidth="1"/>
    <col min="1826" max="1826" width="24" style="324" customWidth="1"/>
    <col min="1827" max="1827" width="11.42578125" style="324" customWidth="1"/>
    <col min="1828" max="1828" width="8.42578125" style="324" customWidth="1"/>
    <col min="1829" max="1834" width="23.28515625" style="324" bestFit="1" customWidth="1"/>
    <col min="1835" max="2049" width="6.28515625" style="324" customWidth="1"/>
    <col min="2050" max="2050" width="18.7109375" style="324" customWidth="1"/>
    <col min="2051" max="2051" width="22" style="324" bestFit="1" customWidth="1"/>
    <col min="2052" max="2052" width="50.140625" style="324" bestFit="1" customWidth="1"/>
    <col min="2053" max="2053" width="37.42578125" style="324" customWidth="1"/>
    <col min="2054" max="2063" width="11.42578125" style="324" customWidth="1"/>
    <col min="2064" max="2080" width="13" style="324" hidden="1" customWidth="1"/>
    <col min="2081" max="2081" width="11.42578125" style="324" customWidth="1"/>
    <col min="2082" max="2082" width="24" style="324" customWidth="1"/>
    <col min="2083" max="2083" width="11.42578125" style="324" customWidth="1"/>
    <col min="2084" max="2084" width="8.42578125" style="324" customWidth="1"/>
    <col min="2085" max="2090" width="23.28515625" style="324" bestFit="1" customWidth="1"/>
    <col min="2091" max="2305" width="6.28515625" style="324" customWidth="1"/>
    <col min="2306" max="2306" width="18.7109375" style="324" customWidth="1"/>
    <col min="2307" max="2307" width="22" style="324" bestFit="1" customWidth="1"/>
    <col min="2308" max="2308" width="50.140625" style="324" bestFit="1" customWidth="1"/>
    <col min="2309" max="2309" width="37.42578125" style="324" customWidth="1"/>
    <col min="2310" max="2319" width="11.42578125" style="324" customWidth="1"/>
    <col min="2320" max="2336" width="13" style="324" hidden="1" customWidth="1"/>
    <col min="2337" max="2337" width="11.42578125" style="324" customWidth="1"/>
    <col min="2338" max="2338" width="24" style="324" customWidth="1"/>
    <col min="2339" max="2339" width="11.42578125" style="324" customWidth="1"/>
    <col min="2340" max="2340" width="8.42578125" style="324" customWidth="1"/>
    <col min="2341" max="2346" width="23.28515625" style="324" bestFit="1" customWidth="1"/>
    <col min="2347" max="2561" width="6.28515625" style="324" customWidth="1"/>
    <col min="2562" max="2562" width="18.7109375" style="324" customWidth="1"/>
    <col min="2563" max="2563" width="22" style="324" bestFit="1" customWidth="1"/>
    <col min="2564" max="2564" width="50.140625" style="324" bestFit="1" customWidth="1"/>
    <col min="2565" max="2565" width="37.42578125" style="324" customWidth="1"/>
    <col min="2566" max="2575" width="11.42578125" style="324" customWidth="1"/>
    <col min="2576" max="2592" width="13" style="324" hidden="1" customWidth="1"/>
    <col min="2593" max="2593" width="11.42578125" style="324" customWidth="1"/>
    <col min="2594" max="2594" width="24" style="324" customWidth="1"/>
    <col min="2595" max="2595" width="11.42578125" style="324" customWidth="1"/>
    <col min="2596" max="2596" width="8.42578125" style="324" customWidth="1"/>
    <col min="2597" max="2602" width="23.28515625" style="324" bestFit="1" customWidth="1"/>
    <col min="2603" max="2817" width="6.28515625" style="324" customWidth="1"/>
    <col min="2818" max="2818" width="18.7109375" style="324" customWidth="1"/>
    <col min="2819" max="2819" width="22" style="324" bestFit="1" customWidth="1"/>
    <col min="2820" max="2820" width="50.140625" style="324" bestFit="1" customWidth="1"/>
    <col min="2821" max="2821" width="37.42578125" style="324" customWidth="1"/>
    <col min="2822" max="2831" width="11.42578125" style="324" customWidth="1"/>
    <col min="2832" max="2848" width="13" style="324" hidden="1" customWidth="1"/>
    <col min="2849" max="2849" width="11.42578125" style="324" customWidth="1"/>
    <col min="2850" max="2850" width="24" style="324" customWidth="1"/>
    <col min="2851" max="2851" width="11.42578125" style="324" customWidth="1"/>
    <col min="2852" max="2852" width="8.42578125" style="324" customWidth="1"/>
    <col min="2853" max="2858" width="23.28515625" style="324" bestFit="1" customWidth="1"/>
    <col min="2859" max="3073" width="6.28515625" style="324" customWidth="1"/>
    <col min="3074" max="3074" width="18.7109375" style="324" customWidth="1"/>
    <col min="3075" max="3075" width="22" style="324" bestFit="1" customWidth="1"/>
    <col min="3076" max="3076" width="50.140625" style="324" bestFit="1" customWidth="1"/>
    <col min="3077" max="3077" width="37.42578125" style="324" customWidth="1"/>
    <col min="3078" max="3087" width="11.42578125" style="324" customWidth="1"/>
    <col min="3088" max="3104" width="13" style="324" hidden="1" customWidth="1"/>
    <col min="3105" max="3105" width="11.42578125" style="324" customWidth="1"/>
    <col min="3106" max="3106" width="24" style="324" customWidth="1"/>
    <col min="3107" max="3107" width="11.42578125" style="324" customWidth="1"/>
    <col min="3108" max="3108" width="8.42578125" style="324" customWidth="1"/>
    <col min="3109" max="3114" width="23.28515625" style="324" bestFit="1" customWidth="1"/>
    <col min="3115" max="3329" width="6.28515625" style="324" customWidth="1"/>
    <col min="3330" max="3330" width="18.7109375" style="324" customWidth="1"/>
    <col min="3331" max="3331" width="22" style="324" bestFit="1" customWidth="1"/>
    <col min="3332" max="3332" width="50.140625" style="324" bestFit="1" customWidth="1"/>
    <col min="3333" max="3333" width="37.42578125" style="324" customWidth="1"/>
    <col min="3334" max="3343" width="11.42578125" style="324" customWidth="1"/>
    <col min="3344" max="3360" width="13" style="324" hidden="1" customWidth="1"/>
    <col min="3361" max="3361" width="11.42578125" style="324" customWidth="1"/>
    <col min="3362" max="3362" width="24" style="324" customWidth="1"/>
    <col min="3363" max="3363" width="11.42578125" style="324" customWidth="1"/>
    <col min="3364" max="3364" width="8.42578125" style="324" customWidth="1"/>
    <col min="3365" max="3370" width="23.28515625" style="324" bestFit="1" customWidth="1"/>
    <col min="3371" max="3585" width="6.28515625" style="324" customWidth="1"/>
    <col min="3586" max="3586" width="18.7109375" style="324" customWidth="1"/>
    <col min="3587" max="3587" width="22" style="324" bestFit="1" customWidth="1"/>
    <col min="3588" max="3588" width="50.140625" style="324" bestFit="1" customWidth="1"/>
    <col min="3589" max="3589" width="37.42578125" style="324" customWidth="1"/>
    <col min="3590" max="3599" width="11.42578125" style="324" customWidth="1"/>
    <col min="3600" max="3616" width="13" style="324" hidden="1" customWidth="1"/>
    <col min="3617" max="3617" width="11.42578125" style="324" customWidth="1"/>
    <col min="3618" max="3618" width="24" style="324" customWidth="1"/>
    <col min="3619" max="3619" width="11.42578125" style="324" customWidth="1"/>
    <col min="3620" max="3620" width="8.42578125" style="324" customWidth="1"/>
    <col min="3621" max="3626" width="23.28515625" style="324" bestFit="1" customWidth="1"/>
    <col min="3627" max="3841" width="6.28515625" style="324" customWidth="1"/>
    <col min="3842" max="3842" width="18.7109375" style="324" customWidth="1"/>
    <col min="3843" max="3843" width="22" style="324" bestFit="1" customWidth="1"/>
    <col min="3844" max="3844" width="50.140625" style="324" bestFit="1" customWidth="1"/>
    <col min="3845" max="3845" width="37.42578125" style="324" customWidth="1"/>
    <col min="3846" max="3855" width="11.42578125" style="324" customWidth="1"/>
    <col min="3856" max="3872" width="13" style="324" hidden="1" customWidth="1"/>
    <col min="3873" max="3873" width="11.42578125" style="324" customWidth="1"/>
    <col min="3874" max="3874" width="24" style="324" customWidth="1"/>
    <col min="3875" max="3875" width="11.42578125" style="324" customWidth="1"/>
    <col min="3876" max="3876" width="8.42578125" style="324" customWidth="1"/>
    <col min="3877" max="3882" width="23.28515625" style="324" bestFit="1" customWidth="1"/>
    <col min="3883" max="4097" width="6.28515625" style="324" customWidth="1"/>
    <col min="4098" max="4098" width="18.7109375" style="324" customWidth="1"/>
    <col min="4099" max="4099" width="22" style="324" bestFit="1" customWidth="1"/>
    <col min="4100" max="4100" width="50.140625" style="324" bestFit="1" customWidth="1"/>
    <col min="4101" max="4101" width="37.42578125" style="324" customWidth="1"/>
    <col min="4102" max="4111" width="11.42578125" style="324" customWidth="1"/>
    <col min="4112" max="4128" width="13" style="324" hidden="1" customWidth="1"/>
    <col min="4129" max="4129" width="11.42578125" style="324" customWidth="1"/>
    <col min="4130" max="4130" width="24" style="324" customWidth="1"/>
    <col min="4131" max="4131" width="11.42578125" style="324" customWidth="1"/>
    <col min="4132" max="4132" width="8.42578125" style="324" customWidth="1"/>
    <col min="4133" max="4138" width="23.28515625" style="324" bestFit="1" customWidth="1"/>
    <col min="4139" max="4353" width="6.28515625" style="324" customWidth="1"/>
    <col min="4354" max="4354" width="18.7109375" style="324" customWidth="1"/>
    <col min="4355" max="4355" width="22" style="324" bestFit="1" customWidth="1"/>
    <col min="4356" max="4356" width="50.140625" style="324" bestFit="1" customWidth="1"/>
    <col min="4357" max="4357" width="37.42578125" style="324" customWidth="1"/>
    <col min="4358" max="4367" width="11.42578125" style="324" customWidth="1"/>
    <col min="4368" max="4384" width="13" style="324" hidden="1" customWidth="1"/>
    <col min="4385" max="4385" width="11.42578125" style="324" customWidth="1"/>
    <col min="4386" max="4386" width="24" style="324" customWidth="1"/>
    <col min="4387" max="4387" width="11.42578125" style="324" customWidth="1"/>
    <col min="4388" max="4388" width="8.42578125" style="324" customWidth="1"/>
    <col min="4389" max="4394" width="23.28515625" style="324" bestFit="1" customWidth="1"/>
    <col min="4395" max="4609" width="6.28515625" style="324" customWidth="1"/>
    <col min="4610" max="4610" width="18.7109375" style="324" customWidth="1"/>
    <col min="4611" max="4611" width="22" style="324" bestFit="1" customWidth="1"/>
    <col min="4612" max="4612" width="50.140625" style="324" bestFit="1" customWidth="1"/>
    <col min="4613" max="4613" width="37.42578125" style="324" customWidth="1"/>
    <col min="4614" max="4623" width="11.42578125" style="324" customWidth="1"/>
    <col min="4624" max="4640" width="13" style="324" hidden="1" customWidth="1"/>
    <col min="4641" max="4641" width="11.42578125" style="324" customWidth="1"/>
    <col min="4642" max="4642" width="24" style="324" customWidth="1"/>
    <col min="4643" max="4643" width="11.42578125" style="324" customWidth="1"/>
    <col min="4644" max="4644" width="8.42578125" style="324" customWidth="1"/>
    <col min="4645" max="4650" width="23.28515625" style="324" bestFit="1" customWidth="1"/>
    <col min="4651" max="4865" width="6.28515625" style="324" customWidth="1"/>
    <col min="4866" max="4866" width="18.7109375" style="324" customWidth="1"/>
    <col min="4867" max="4867" width="22" style="324" bestFit="1" customWidth="1"/>
    <col min="4868" max="4868" width="50.140625" style="324" bestFit="1" customWidth="1"/>
    <col min="4869" max="4869" width="37.42578125" style="324" customWidth="1"/>
    <col min="4870" max="4879" width="11.42578125" style="324" customWidth="1"/>
    <col min="4880" max="4896" width="13" style="324" hidden="1" customWidth="1"/>
    <col min="4897" max="4897" width="11.42578125" style="324" customWidth="1"/>
    <col min="4898" max="4898" width="24" style="324" customWidth="1"/>
    <col min="4899" max="4899" width="11.42578125" style="324" customWidth="1"/>
    <col min="4900" max="4900" width="8.42578125" style="324" customWidth="1"/>
    <col min="4901" max="4906" width="23.28515625" style="324" bestFit="1" customWidth="1"/>
    <col min="4907" max="5121" width="6.28515625" style="324" customWidth="1"/>
    <col min="5122" max="5122" width="18.7109375" style="324" customWidth="1"/>
    <col min="5123" max="5123" width="22" style="324" bestFit="1" customWidth="1"/>
    <col min="5124" max="5124" width="50.140625" style="324" bestFit="1" customWidth="1"/>
    <col min="5125" max="5125" width="37.42578125" style="324" customWidth="1"/>
    <col min="5126" max="5135" width="11.42578125" style="324" customWidth="1"/>
    <col min="5136" max="5152" width="13" style="324" hidden="1" customWidth="1"/>
    <col min="5153" max="5153" width="11.42578125" style="324" customWidth="1"/>
    <col min="5154" max="5154" width="24" style="324" customWidth="1"/>
    <col min="5155" max="5155" width="11.42578125" style="324" customWidth="1"/>
    <col min="5156" max="5156" width="8.42578125" style="324" customWidth="1"/>
    <col min="5157" max="5162" width="23.28515625" style="324" bestFit="1" customWidth="1"/>
    <col min="5163" max="5377" width="6.28515625" style="324" customWidth="1"/>
    <col min="5378" max="5378" width="18.7109375" style="324" customWidth="1"/>
    <col min="5379" max="5379" width="22" style="324" bestFit="1" customWidth="1"/>
    <col min="5380" max="5380" width="50.140625" style="324" bestFit="1" customWidth="1"/>
    <col min="5381" max="5381" width="37.42578125" style="324" customWidth="1"/>
    <col min="5382" max="5391" width="11.42578125" style="324" customWidth="1"/>
    <col min="5392" max="5408" width="13" style="324" hidden="1" customWidth="1"/>
    <col min="5409" max="5409" width="11.42578125" style="324" customWidth="1"/>
    <col min="5410" max="5410" width="24" style="324" customWidth="1"/>
    <col min="5411" max="5411" width="11.42578125" style="324" customWidth="1"/>
    <col min="5412" max="5412" width="8.42578125" style="324" customWidth="1"/>
    <col min="5413" max="5418" width="23.28515625" style="324" bestFit="1" customWidth="1"/>
    <col min="5419" max="5633" width="6.28515625" style="324" customWidth="1"/>
    <col min="5634" max="5634" width="18.7109375" style="324" customWidth="1"/>
    <col min="5635" max="5635" width="22" style="324" bestFit="1" customWidth="1"/>
    <col min="5636" max="5636" width="50.140625" style="324" bestFit="1" customWidth="1"/>
    <col min="5637" max="5637" width="37.42578125" style="324" customWidth="1"/>
    <col min="5638" max="5647" width="11.42578125" style="324" customWidth="1"/>
    <col min="5648" max="5664" width="13" style="324" hidden="1" customWidth="1"/>
    <col min="5665" max="5665" width="11.42578125" style="324" customWidth="1"/>
    <col min="5666" max="5666" width="24" style="324" customWidth="1"/>
    <col min="5667" max="5667" width="11.42578125" style="324" customWidth="1"/>
    <col min="5668" max="5668" width="8.42578125" style="324" customWidth="1"/>
    <col min="5669" max="5674" width="23.28515625" style="324" bestFit="1" customWidth="1"/>
    <col min="5675" max="5889" width="6.28515625" style="324" customWidth="1"/>
    <col min="5890" max="5890" width="18.7109375" style="324" customWidth="1"/>
    <col min="5891" max="5891" width="22" style="324" bestFit="1" customWidth="1"/>
    <col min="5892" max="5892" width="50.140625" style="324" bestFit="1" customWidth="1"/>
    <col min="5893" max="5893" width="37.42578125" style="324" customWidth="1"/>
    <col min="5894" max="5903" width="11.42578125" style="324" customWidth="1"/>
    <col min="5904" max="5920" width="13" style="324" hidden="1" customWidth="1"/>
    <col min="5921" max="5921" width="11.42578125" style="324" customWidth="1"/>
    <col min="5922" max="5922" width="24" style="324" customWidth="1"/>
    <col min="5923" max="5923" width="11.42578125" style="324" customWidth="1"/>
    <col min="5924" max="5924" width="8.42578125" style="324" customWidth="1"/>
    <col min="5925" max="5930" width="23.28515625" style="324" bestFit="1" customWidth="1"/>
    <col min="5931" max="6145" width="6.28515625" style="324" customWidth="1"/>
    <col min="6146" max="6146" width="18.7109375" style="324" customWidth="1"/>
    <col min="6147" max="6147" width="22" style="324" bestFit="1" customWidth="1"/>
    <col min="6148" max="6148" width="50.140625" style="324" bestFit="1" customWidth="1"/>
    <col min="6149" max="6149" width="37.42578125" style="324" customWidth="1"/>
    <col min="6150" max="6159" width="11.42578125" style="324" customWidth="1"/>
    <col min="6160" max="6176" width="13" style="324" hidden="1" customWidth="1"/>
    <col min="6177" max="6177" width="11.42578125" style="324" customWidth="1"/>
    <col min="6178" max="6178" width="24" style="324" customWidth="1"/>
    <col min="6179" max="6179" width="11.42578125" style="324" customWidth="1"/>
    <col min="6180" max="6180" width="8.42578125" style="324" customWidth="1"/>
    <col min="6181" max="6186" width="23.28515625" style="324" bestFit="1" customWidth="1"/>
    <col min="6187" max="6401" width="6.28515625" style="324" customWidth="1"/>
    <col min="6402" max="6402" width="18.7109375" style="324" customWidth="1"/>
    <col min="6403" max="6403" width="22" style="324" bestFit="1" customWidth="1"/>
    <col min="6404" max="6404" width="50.140625" style="324" bestFit="1" customWidth="1"/>
    <col min="6405" max="6405" width="37.42578125" style="324" customWidth="1"/>
    <col min="6406" max="6415" width="11.42578125" style="324" customWidth="1"/>
    <col min="6416" max="6432" width="13" style="324" hidden="1" customWidth="1"/>
    <col min="6433" max="6433" width="11.42578125" style="324" customWidth="1"/>
    <col min="6434" max="6434" width="24" style="324" customWidth="1"/>
    <col min="6435" max="6435" width="11.42578125" style="324" customWidth="1"/>
    <col min="6436" max="6436" width="8.42578125" style="324" customWidth="1"/>
    <col min="6437" max="6442" width="23.28515625" style="324" bestFit="1" customWidth="1"/>
    <col min="6443" max="6657" width="6.28515625" style="324" customWidth="1"/>
    <col min="6658" max="6658" width="18.7109375" style="324" customWidth="1"/>
    <col min="6659" max="6659" width="22" style="324" bestFit="1" customWidth="1"/>
    <col min="6660" max="6660" width="50.140625" style="324" bestFit="1" customWidth="1"/>
    <col min="6661" max="6661" width="37.42578125" style="324" customWidth="1"/>
    <col min="6662" max="6671" width="11.42578125" style="324" customWidth="1"/>
    <col min="6672" max="6688" width="13" style="324" hidden="1" customWidth="1"/>
    <col min="6689" max="6689" width="11.42578125" style="324" customWidth="1"/>
    <col min="6690" max="6690" width="24" style="324" customWidth="1"/>
    <col min="6691" max="6691" width="11.42578125" style="324" customWidth="1"/>
    <col min="6692" max="6692" width="8.42578125" style="324" customWidth="1"/>
    <col min="6693" max="6698" width="23.28515625" style="324" bestFit="1" customWidth="1"/>
    <col min="6699" max="6913" width="6.28515625" style="324" customWidth="1"/>
    <col min="6914" max="6914" width="18.7109375" style="324" customWidth="1"/>
    <col min="6915" max="6915" width="22" style="324" bestFit="1" customWidth="1"/>
    <col min="6916" max="6916" width="50.140625" style="324" bestFit="1" customWidth="1"/>
    <col min="6917" max="6917" width="37.42578125" style="324" customWidth="1"/>
    <col min="6918" max="6927" width="11.42578125" style="324" customWidth="1"/>
    <col min="6928" max="6944" width="13" style="324" hidden="1" customWidth="1"/>
    <col min="6945" max="6945" width="11.42578125" style="324" customWidth="1"/>
    <col min="6946" max="6946" width="24" style="324" customWidth="1"/>
    <col min="6947" max="6947" width="11.42578125" style="324" customWidth="1"/>
    <col min="6948" max="6948" width="8.42578125" style="324" customWidth="1"/>
    <col min="6949" max="6954" width="23.28515625" style="324" bestFit="1" customWidth="1"/>
    <col min="6955" max="7169" width="6.28515625" style="324" customWidth="1"/>
    <col min="7170" max="7170" width="18.7109375" style="324" customWidth="1"/>
    <col min="7171" max="7171" width="22" style="324" bestFit="1" customWidth="1"/>
    <col min="7172" max="7172" width="50.140625" style="324" bestFit="1" customWidth="1"/>
    <col min="7173" max="7173" width="37.42578125" style="324" customWidth="1"/>
    <col min="7174" max="7183" width="11.42578125" style="324" customWidth="1"/>
    <col min="7184" max="7200" width="13" style="324" hidden="1" customWidth="1"/>
    <col min="7201" max="7201" width="11.42578125" style="324" customWidth="1"/>
    <col min="7202" max="7202" width="24" style="324" customWidth="1"/>
    <col min="7203" max="7203" width="11.42578125" style="324" customWidth="1"/>
    <col min="7204" max="7204" width="8.42578125" style="324" customWidth="1"/>
    <col min="7205" max="7210" width="23.28515625" style="324" bestFit="1" customWidth="1"/>
    <col min="7211" max="7425" width="6.28515625" style="324" customWidth="1"/>
    <col min="7426" max="7426" width="18.7109375" style="324" customWidth="1"/>
    <col min="7427" max="7427" width="22" style="324" bestFit="1" customWidth="1"/>
    <col min="7428" max="7428" width="50.140625" style="324" bestFit="1" customWidth="1"/>
    <col min="7429" max="7429" width="37.42578125" style="324" customWidth="1"/>
    <col min="7430" max="7439" width="11.42578125" style="324" customWidth="1"/>
    <col min="7440" max="7456" width="13" style="324" hidden="1" customWidth="1"/>
    <col min="7457" max="7457" width="11.42578125" style="324" customWidth="1"/>
    <col min="7458" max="7458" width="24" style="324" customWidth="1"/>
    <col min="7459" max="7459" width="11.42578125" style="324" customWidth="1"/>
    <col min="7460" max="7460" width="8.42578125" style="324" customWidth="1"/>
    <col min="7461" max="7466" width="23.28515625" style="324" bestFit="1" customWidth="1"/>
    <col min="7467" max="7681" width="6.28515625" style="324" customWidth="1"/>
    <col min="7682" max="7682" width="18.7109375" style="324" customWidth="1"/>
    <col min="7683" max="7683" width="22" style="324" bestFit="1" customWidth="1"/>
    <col min="7684" max="7684" width="50.140625" style="324" bestFit="1" customWidth="1"/>
    <col min="7685" max="7685" width="37.42578125" style="324" customWidth="1"/>
    <col min="7686" max="7695" width="11.42578125" style="324" customWidth="1"/>
    <col min="7696" max="7712" width="13" style="324" hidden="1" customWidth="1"/>
    <col min="7713" max="7713" width="11.42578125" style="324" customWidth="1"/>
    <col min="7714" max="7714" width="24" style="324" customWidth="1"/>
    <col min="7715" max="7715" width="11.42578125" style="324" customWidth="1"/>
    <col min="7716" max="7716" width="8.42578125" style="324" customWidth="1"/>
    <col min="7717" max="7722" width="23.28515625" style="324" bestFit="1" customWidth="1"/>
    <col min="7723" max="7937" width="6.28515625" style="324" customWidth="1"/>
    <col min="7938" max="7938" width="18.7109375" style="324" customWidth="1"/>
    <col min="7939" max="7939" width="22" style="324" bestFit="1" customWidth="1"/>
    <col min="7940" max="7940" width="50.140625" style="324" bestFit="1" customWidth="1"/>
    <col min="7941" max="7941" width="37.42578125" style="324" customWidth="1"/>
    <col min="7942" max="7951" width="11.42578125" style="324" customWidth="1"/>
    <col min="7952" max="7968" width="13" style="324" hidden="1" customWidth="1"/>
    <col min="7969" max="7969" width="11.42578125" style="324" customWidth="1"/>
    <col min="7970" max="7970" width="24" style="324" customWidth="1"/>
    <col min="7971" max="7971" width="11.42578125" style="324" customWidth="1"/>
    <col min="7972" max="7972" width="8.42578125" style="324" customWidth="1"/>
    <col min="7973" max="7978" width="23.28515625" style="324" bestFit="1" customWidth="1"/>
    <col min="7979" max="8193" width="6.28515625" style="324" customWidth="1"/>
    <col min="8194" max="8194" width="18.7109375" style="324" customWidth="1"/>
    <col min="8195" max="8195" width="22" style="324" bestFit="1" customWidth="1"/>
    <col min="8196" max="8196" width="50.140625" style="324" bestFit="1" customWidth="1"/>
    <col min="8197" max="8197" width="37.42578125" style="324" customWidth="1"/>
    <col min="8198" max="8207" width="11.42578125" style="324" customWidth="1"/>
    <col min="8208" max="8224" width="13" style="324" hidden="1" customWidth="1"/>
    <col min="8225" max="8225" width="11.42578125" style="324" customWidth="1"/>
    <col min="8226" max="8226" width="24" style="324" customWidth="1"/>
    <col min="8227" max="8227" width="11.42578125" style="324" customWidth="1"/>
    <col min="8228" max="8228" width="8.42578125" style="324" customWidth="1"/>
    <col min="8229" max="8234" width="23.28515625" style="324" bestFit="1" customWidth="1"/>
    <col min="8235" max="8449" width="6.28515625" style="324" customWidth="1"/>
    <col min="8450" max="8450" width="18.7109375" style="324" customWidth="1"/>
    <col min="8451" max="8451" width="22" style="324" bestFit="1" customWidth="1"/>
    <col min="8452" max="8452" width="50.140625" style="324" bestFit="1" customWidth="1"/>
    <col min="8453" max="8453" width="37.42578125" style="324" customWidth="1"/>
    <col min="8454" max="8463" width="11.42578125" style="324" customWidth="1"/>
    <col min="8464" max="8480" width="13" style="324" hidden="1" customWidth="1"/>
    <col min="8481" max="8481" width="11.42578125" style="324" customWidth="1"/>
    <col min="8482" max="8482" width="24" style="324" customWidth="1"/>
    <col min="8483" max="8483" width="11.42578125" style="324" customWidth="1"/>
    <col min="8484" max="8484" width="8.42578125" style="324" customWidth="1"/>
    <col min="8485" max="8490" width="23.28515625" style="324" bestFit="1" customWidth="1"/>
    <col min="8491" max="8705" width="6.28515625" style="324" customWidth="1"/>
    <col min="8706" max="8706" width="18.7109375" style="324" customWidth="1"/>
    <col min="8707" max="8707" width="22" style="324" bestFit="1" customWidth="1"/>
    <col min="8708" max="8708" width="50.140625" style="324" bestFit="1" customWidth="1"/>
    <col min="8709" max="8709" width="37.42578125" style="324" customWidth="1"/>
    <col min="8710" max="8719" width="11.42578125" style="324" customWidth="1"/>
    <col min="8720" max="8736" width="13" style="324" hidden="1" customWidth="1"/>
    <col min="8737" max="8737" width="11.42578125" style="324" customWidth="1"/>
    <col min="8738" max="8738" width="24" style="324" customWidth="1"/>
    <col min="8739" max="8739" width="11.42578125" style="324" customWidth="1"/>
    <col min="8740" max="8740" width="8.42578125" style="324" customWidth="1"/>
    <col min="8741" max="8746" width="23.28515625" style="324" bestFit="1" customWidth="1"/>
    <col min="8747" max="8961" width="6.28515625" style="324" customWidth="1"/>
    <col min="8962" max="8962" width="18.7109375" style="324" customWidth="1"/>
    <col min="8963" max="8963" width="22" style="324" bestFit="1" customWidth="1"/>
    <col min="8964" max="8964" width="50.140625" style="324" bestFit="1" customWidth="1"/>
    <col min="8965" max="8965" width="37.42578125" style="324" customWidth="1"/>
    <col min="8966" max="8975" width="11.42578125" style="324" customWidth="1"/>
    <col min="8976" max="8992" width="13" style="324" hidden="1" customWidth="1"/>
    <col min="8993" max="8993" width="11.42578125" style="324" customWidth="1"/>
    <col min="8994" max="8994" width="24" style="324" customWidth="1"/>
    <col min="8995" max="8995" width="11.42578125" style="324" customWidth="1"/>
    <col min="8996" max="8996" width="8.42578125" style="324" customWidth="1"/>
    <col min="8997" max="9002" width="23.28515625" style="324" bestFit="1" customWidth="1"/>
    <col min="9003" max="9217" width="6.28515625" style="324" customWidth="1"/>
    <col min="9218" max="9218" width="18.7109375" style="324" customWidth="1"/>
    <col min="9219" max="9219" width="22" style="324" bestFit="1" customWidth="1"/>
    <col min="9220" max="9220" width="50.140625" style="324" bestFit="1" customWidth="1"/>
    <col min="9221" max="9221" width="37.42578125" style="324" customWidth="1"/>
    <col min="9222" max="9231" width="11.42578125" style="324" customWidth="1"/>
    <col min="9232" max="9248" width="13" style="324" hidden="1" customWidth="1"/>
    <col min="9249" max="9249" width="11.42578125" style="324" customWidth="1"/>
    <col min="9250" max="9250" width="24" style="324" customWidth="1"/>
    <col min="9251" max="9251" width="11.42578125" style="324" customWidth="1"/>
    <col min="9252" max="9252" width="8.42578125" style="324" customWidth="1"/>
    <col min="9253" max="9258" width="23.28515625" style="324" bestFit="1" customWidth="1"/>
    <col min="9259" max="9473" width="6.28515625" style="324" customWidth="1"/>
    <col min="9474" max="9474" width="18.7109375" style="324" customWidth="1"/>
    <col min="9475" max="9475" width="22" style="324" bestFit="1" customWidth="1"/>
    <col min="9476" max="9476" width="50.140625" style="324" bestFit="1" customWidth="1"/>
    <col min="9477" max="9477" width="37.42578125" style="324" customWidth="1"/>
    <col min="9478" max="9487" width="11.42578125" style="324" customWidth="1"/>
    <col min="9488" max="9504" width="13" style="324" hidden="1" customWidth="1"/>
    <col min="9505" max="9505" width="11.42578125" style="324" customWidth="1"/>
    <col min="9506" max="9506" width="24" style="324" customWidth="1"/>
    <col min="9507" max="9507" width="11.42578125" style="324" customWidth="1"/>
    <col min="9508" max="9508" width="8.42578125" style="324" customWidth="1"/>
    <col min="9509" max="9514" width="23.28515625" style="324" bestFit="1" customWidth="1"/>
    <col min="9515" max="9729" width="6.28515625" style="324" customWidth="1"/>
    <col min="9730" max="9730" width="18.7109375" style="324" customWidth="1"/>
    <col min="9731" max="9731" width="22" style="324" bestFit="1" customWidth="1"/>
    <col min="9732" max="9732" width="50.140625" style="324" bestFit="1" customWidth="1"/>
    <col min="9733" max="9733" width="37.42578125" style="324" customWidth="1"/>
    <col min="9734" max="9743" width="11.42578125" style="324" customWidth="1"/>
    <col min="9744" max="9760" width="13" style="324" hidden="1" customWidth="1"/>
    <col min="9761" max="9761" width="11.42578125" style="324" customWidth="1"/>
    <col min="9762" max="9762" width="24" style="324" customWidth="1"/>
    <col min="9763" max="9763" width="11.42578125" style="324" customWidth="1"/>
    <col min="9764" max="9764" width="8.42578125" style="324" customWidth="1"/>
    <col min="9765" max="9770" width="23.28515625" style="324" bestFit="1" customWidth="1"/>
    <col min="9771" max="9985" width="6.28515625" style="324" customWidth="1"/>
    <col min="9986" max="9986" width="18.7109375" style="324" customWidth="1"/>
    <col min="9987" max="9987" width="22" style="324" bestFit="1" customWidth="1"/>
    <col min="9988" max="9988" width="50.140625" style="324" bestFit="1" customWidth="1"/>
    <col min="9989" max="9989" width="37.42578125" style="324" customWidth="1"/>
    <col min="9990" max="9999" width="11.42578125" style="324" customWidth="1"/>
    <col min="10000" max="10016" width="13" style="324" hidden="1" customWidth="1"/>
    <col min="10017" max="10017" width="11.42578125" style="324" customWidth="1"/>
    <col min="10018" max="10018" width="24" style="324" customWidth="1"/>
    <col min="10019" max="10019" width="11.42578125" style="324" customWidth="1"/>
    <col min="10020" max="10020" width="8.42578125" style="324" customWidth="1"/>
    <col min="10021" max="10026" width="23.28515625" style="324" bestFit="1" customWidth="1"/>
    <col min="10027" max="10241" width="6.28515625" style="324" customWidth="1"/>
    <col min="10242" max="10242" width="18.7109375" style="324" customWidth="1"/>
    <col min="10243" max="10243" width="22" style="324" bestFit="1" customWidth="1"/>
    <col min="10244" max="10244" width="50.140625" style="324" bestFit="1" customWidth="1"/>
    <col min="10245" max="10245" width="37.42578125" style="324" customWidth="1"/>
    <col min="10246" max="10255" width="11.42578125" style="324" customWidth="1"/>
    <col min="10256" max="10272" width="13" style="324" hidden="1" customWidth="1"/>
    <col min="10273" max="10273" width="11.42578125" style="324" customWidth="1"/>
    <col min="10274" max="10274" width="24" style="324" customWidth="1"/>
    <col min="10275" max="10275" width="11.42578125" style="324" customWidth="1"/>
    <col min="10276" max="10276" width="8.42578125" style="324" customWidth="1"/>
    <col min="10277" max="10282" width="23.28515625" style="324" bestFit="1" customWidth="1"/>
    <col min="10283" max="10497" width="6.28515625" style="324" customWidth="1"/>
    <col min="10498" max="10498" width="18.7109375" style="324" customWidth="1"/>
    <col min="10499" max="10499" width="22" style="324" bestFit="1" customWidth="1"/>
    <col min="10500" max="10500" width="50.140625" style="324" bestFit="1" customWidth="1"/>
    <col min="10501" max="10501" width="37.42578125" style="324" customWidth="1"/>
    <col min="10502" max="10511" width="11.42578125" style="324" customWidth="1"/>
    <col min="10512" max="10528" width="13" style="324" hidden="1" customWidth="1"/>
    <col min="10529" max="10529" width="11.42578125" style="324" customWidth="1"/>
    <col min="10530" max="10530" width="24" style="324" customWidth="1"/>
    <col min="10531" max="10531" width="11.42578125" style="324" customWidth="1"/>
    <col min="10532" max="10532" width="8.42578125" style="324" customWidth="1"/>
    <col min="10533" max="10538" width="23.28515625" style="324" bestFit="1" customWidth="1"/>
    <col min="10539" max="10753" width="6.28515625" style="324" customWidth="1"/>
    <col min="10754" max="10754" width="18.7109375" style="324" customWidth="1"/>
    <col min="10755" max="10755" width="22" style="324" bestFit="1" customWidth="1"/>
    <col min="10756" max="10756" width="50.140625" style="324" bestFit="1" customWidth="1"/>
    <col min="10757" max="10757" width="37.42578125" style="324" customWidth="1"/>
    <col min="10758" max="10767" width="11.42578125" style="324" customWidth="1"/>
    <col min="10768" max="10784" width="13" style="324" hidden="1" customWidth="1"/>
    <col min="10785" max="10785" width="11.42578125" style="324" customWidth="1"/>
    <col min="10786" max="10786" width="24" style="324" customWidth="1"/>
    <col min="10787" max="10787" width="11.42578125" style="324" customWidth="1"/>
    <col min="10788" max="10788" width="8.42578125" style="324" customWidth="1"/>
    <col min="10789" max="10794" width="23.28515625" style="324" bestFit="1" customWidth="1"/>
    <col min="10795" max="11009" width="6.28515625" style="324" customWidth="1"/>
    <col min="11010" max="11010" width="18.7109375" style="324" customWidth="1"/>
    <col min="11011" max="11011" width="22" style="324" bestFit="1" customWidth="1"/>
    <col min="11012" max="11012" width="50.140625" style="324" bestFit="1" customWidth="1"/>
    <col min="11013" max="11013" width="37.42578125" style="324" customWidth="1"/>
    <col min="11014" max="11023" width="11.42578125" style="324" customWidth="1"/>
    <col min="11024" max="11040" width="13" style="324" hidden="1" customWidth="1"/>
    <col min="11041" max="11041" width="11.42578125" style="324" customWidth="1"/>
    <col min="11042" max="11042" width="24" style="324" customWidth="1"/>
    <col min="11043" max="11043" width="11.42578125" style="324" customWidth="1"/>
    <col min="11044" max="11044" width="8.42578125" style="324" customWidth="1"/>
    <col min="11045" max="11050" width="23.28515625" style="324" bestFit="1" customWidth="1"/>
    <col min="11051" max="11265" width="6.28515625" style="324" customWidth="1"/>
    <col min="11266" max="11266" width="18.7109375" style="324" customWidth="1"/>
    <col min="11267" max="11267" width="22" style="324" bestFit="1" customWidth="1"/>
    <col min="11268" max="11268" width="50.140625" style="324" bestFit="1" customWidth="1"/>
    <col min="11269" max="11269" width="37.42578125" style="324" customWidth="1"/>
    <col min="11270" max="11279" width="11.42578125" style="324" customWidth="1"/>
    <col min="11280" max="11296" width="13" style="324" hidden="1" customWidth="1"/>
    <col min="11297" max="11297" width="11.42578125" style="324" customWidth="1"/>
    <col min="11298" max="11298" width="24" style="324" customWidth="1"/>
    <col min="11299" max="11299" width="11.42578125" style="324" customWidth="1"/>
    <col min="11300" max="11300" width="8.42578125" style="324" customWidth="1"/>
    <col min="11301" max="11306" width="23.28515625" style="324" bestFit="1" customWidth="1"/>
    <col min="11307" max="11521" width="6.28515625" style="324" customWidth="1"/>
    <col min="11522" max="11522" width="18.7109375" style="324" customWidth="1"/>
    <col min="11523" max="11523" width="22" style="324" bestFit="1" customWidth="1"/>
    <col min="11524" max="11524" width="50.140625" style="324" bestFit="1" customWidth="1"/>
    <col min="11525" max="11525" width="37.42578125" style="324" customWidth="1"/>
    <col min="11526" max="11535" width="11.42578125" style="324" customWidth="1"/>
    <col min="11536" max="11552" width="13" style="324" hidden="1" customWidth="1"/>
    <col min="11553" max="11553" width="11.42578125" style="324" customWidth="1"/>
    <col min="11554" max="11554" width="24" style="324" customWidth="1"/>
    <col min="11555" max="11555" width="11.42578125" style="324" customWidth="1"/>
    <col min="11556" max="11556" width="8.42578125" style="324" customWidth="1"/>
    <col min="11557" max="11562" width="23.28515625" style="324" bestFit="1" customWidth="1"/>
    <col min="11563" max="11777" width="6.28515625" style="324" customWidth="1"/>
    <col min="11778" max="11778" width="18.7109375" style="324" customWidth="1"/>
    <col min="11779" max="11779" width="22" style="324" bestFit="1" customWidth="1"/>
    <col min="11780" max="11780" width="50.140625" style="324" bestFit="1" customWidth="1"/>
    <col min="11781" max="11781" width="37.42578125" style="324" customWidth="1"/>
    <col min="11782" max="11791" width="11.42578125" style="324" customWidth="1"/>
    <col min="11792" max="11808" width="13" style="324" hidden="1" customWidth="1"/>
    <col min="11809" max="11809" width="11.42578125" style="324" customWidth="1"/>
    <col min="11810" max="11810" width="24" style="324" customWidth="1"/>
    <col min="11811" max="11811" width="11.42578125" style="324" customWidth="1"/>
    <col min="11812" max="11812" width="8.42578125" style="324" customWidth="1"/>
    <col min="11813" max="11818" width="23.28515625" style="324" bestFit="1" customWidth="1"/>
    <col min="11819" max="12033" width="6.28515625" style="324" customWidth="1"/>
    <col min="12034" max="12034" width="18.7109375" style="324" customWidth="1"/>
    <col min="12035" max="12035" width="22" style="324" bestFit="1" customWidth="1"/>
    <col min="12036" max="12036" width="50.140625" style="324" bestFit="1" customWidth="1"/>
    <col min="12037" max="12037" width="37.42578125" style="324" customWidth="1"/>
    <col min="12038" max="12047" width="11.42578125" style="324" customWidth="1"/>
    <col min="12048" max="12064" width="13" style="324" hidden="1" customWidth="1"/>
    <col min="12065" max="12065" width="11.42578125" style="324" customWidth="1"/>
    <col min="12066" max="12066" width="24" style="324" customWidth="1"/>
    <col min="12067" max="12067" width="11.42578125" style="324" customWidth="1"/>
    <col min="12068" max="12068" width="8.42578125" style="324" customWidth="1"/>
    <col min="12069" max="12074" width="23.28515625" style="324" bestFit="1" customWidth="1"/>
    <col min="12075" max="12289" width="6.28515625" style="324" customWidth="1"/>
    <col min="12290" max="12290" width="18.7109375" style="324" customWidth="1"/>
    <col min="12291" max="12291" width="22" style="324" bestFit="1" customWidth="1"/>
    <col min="12292" max="12292" width="50.140625" style="324" bestFit="1" customWidth="1"/>
    <col min="12293" max="12293" width="37.42578125" style="324" customWidth="1"/>
    <col min="12294" max="12303" width="11.42578125" style="324" customWidth="1"/>
    <col min="12304" max="12320" width="13" style="324" hidden="1" customWidth="1"/>
    <col min="12321" max="12321" width="11.42578125" style="324" customWidth="1"/>
    <col min="12322" max="12322" width="24" style="324" customWidth="1"/>
    <col min="12323" max="12323" width="11.42578125" style="324" customWidth="1"/>
    <col min="12324" max="12324" width="8.42578125" style="324" customWidth="1"/>
    <col min="12325" max="12330" width="23.28515625" style="324" bestFit="1" customWidth="1"/>
    <col min="12331" max="12545" width="6.28515625" style="324" customWidth="1"/>
    <col min="12546" max="12546" width="18.7109375" style="324" customWidth="1"/>
    <col min="12547" max="12547" width="22" style="324" bestFit="1" customWidth="1"/>
    <col min="12548" max="12548" width="50.140625" style="324" bestFit="1" customWidth="1"/>
    <col min="12549" max="12549" width="37.42578125" style="324" customWidth="1"/>
    <col min="12550" max="12559" width="11.42578125" style="324" customWidth="1"/>
    <col min="12560" max="12576" width="13" style="324" hidden="1" customWidth="1"/>
    <col min="12577" max="12577" width="11.42578125" style="324" customWidth="1"/>
    <col min="12578" max="12578" width="24" style="324" customWidth="1"/>
    <col min="12579" max="12579" width="11.42578125" style="324" customWidth="1"/>
    <col min="12580" max="12580" width="8.42578125" style="324" customWidth="1"/>
    <col min="12581" max="12586" width="23.28515625" style="324" bestFit="1" customWidth="1"/>
    <col min="12587" max="12801" width="6.28515625" style="324" customWidth="1"/>
    <col min="12802" max="12802" width="18.7109375" style="324" customWidth="1"/>
    <col min="12803" max="12803" width="22" style="324" bestFit="1" customWidth="1"/>
    <col min="12804" max="12804" width="50.140625" style="324" bestFit="1" customWidth="1"/>
    <col min="12805" max="12805" width="37.42578125" style="324" customWidth="1"/>
    <col min="12806" max="12815" width="11.42578125" style="324" customWidth="1"/>
    <col min="12816" max="12832" width="13" style="324" hidden="1" customWidth="1"/>
    <col min="12833" max="12833" width="11.42578125" style="324" customWidth="1"/>
    <col min="12834" max="12834" width="24" style="324" customWidth="1"/>
    <col min="12835" max="12835" width="11.42578125" style="324" customWidth="1"/>
    <col min="12836" max="12836" width="8.42578125" style="324" customWidth="1"/>
    <col min="12837" max="12842" width="23.28515625" style="324" bestFit="1" customWidth="1"/>
    <col min="12843" max="13057" width="6.28515625" style="324" customWidth="1"/>
    <col min="13058" max="13058" width="18.7109375" style="324" customWidth="1"/>
    <col min="13059" max="13059" width="22" style="324" bestFit="1" customWidth="1"/>
    <col min="13060" max="13060" width="50.140625" style="324" bestFit="1" customWidth="1"/>
    <col min="13061" max="13061" width="37.42578125" style="324" customWidth="1"/>
    <col min="13062" max="13071" width="11.42578125" style="324" customWidth="1"/>
    <col min="13072" max="13088" width="13" style="324" hidden="1" customWidth="1"/>
    <col min="13089" max="13089" width="11.42578125" style="324" customWidth="1"/>
    <col min="13090" max="13090" width="24" style="324" customWidth="1"/>
    <col min="13091" max="13091" width="11.42578125" style="324" customWidth="1"/>
    <col min="13092" max="13092" width="8.42578125" style="324" customWidth="1"/>
    <col min="13093" max="13098" width="23.28515625" style="324" bestFit="1" customWidth="1"/>
    <col min="13099" max="13313" width="6.28515625" style="324" customWidth="1"/>
    <col min="13314" max="13314" width="18.7109375" style="324" customWidth="1"/>
    <col min="13315" max="13315" width="22" style="324" bestFit="1" customWidth="1"/>
    <col min="13316" max="13316" width="50.140625" style="324" bestFit="1" customWidth="1"/>
    <col min="13317" max="13317" width="37.42578125" style="324" customWidth="1"/>
    <col min="13318" max="13327" width="11.42578125" style="324" customWidth="1"/>
    <col min="13328" max="13344" width="13" style="324" hidden="1" customWidth="1"/>
    <col min="13345" max="13345" width="11.42578125" style="324" customWidth="1"/>
    <col min="13346" max="13346" width="24" style="324" customWidth="1"/>
    <col min="13347" max="13347" width="11.42578125" style="324" customWidth="1"/>
    <col min="13348" max="13348" width="8.42578125" style="324" customWidth="1"/>
    <col min="13349" max="13354" width="23.28515625" style="324" bestFit="1" customWidth="1"/>
    <col min="13355" max="13569" width="6.28515625" style="324" customWidth="1"/>
    <col min="13570" max="13570" width="18.7109375" style="324" customWidth="1"/>
    <col min="13571" max="13571" width="22" style="324" bestFit="1" customWidth="1"/>
    <col min="13572" max="13572" width="50.140625" style="324" bestFit="1" customWidth="1"/>
    <col min="13573" max="13573" width="37.42578125" style="324" customWidth="1"/>
    <col min="13574" max="13583" width="11.42578125" style="324" customWidth="1"/>
    <col min="13584" max="13600" width="13" style="324" hidden="1" customWidth="1"/>
    <col min="13601" max="13601" width="11.42578125" style="324" customWidth="1"/>
    <col min="13602" max="13602" width="24" style="324" customWidth="1"/>
    <col min="13603" max="13603" width="11.42578125" style="324" customWidth="1"/>
    <col min="13604" max="13604" width="8.42578125" style="324" customWidth="1"/>
    <col min="13605" max="13610" width="23.28515625" style="324" bestFit="1" customWidth="1"/>
    <col min="13611" max="13825" width="6.28515625" style="324" customWidth="1"/>
    <col min="13826" max="13826" width="18.7109375" style="324" customWidth="1"/>
    <col min="13827" max="13827" width="22" style="324" bestFit="1" customWidth="1"/>
    <col min="13828" max="13828" width="50.140625" style="324" bestFit="1" customWidth="1"/>
    <col min="13829" max="13829" width="37.42578125" style="324" customWidth="1"/>
    <col min="13830" max="13839" width="11.42578125" style="324" customWidth="1"/>
    <col min="13840" max="13856" width="13" style="324" hidden="1" customWidth="1"/>
    <col min="13857" max="13857" width="11.42578125" style="324" customWidth="1"/>
    <col min="13858" max="13858" width="24" style="324" customWidth="1"/>
    <col min="13859" max="13859" width="11.42578125" style="324" customWidth="1"/>
    <col min="13860" max="13860" width="8.42578125" style="324" customWidth="1"/>
    <col min="13861" max="13866" width="23.28515625" style="324" bestFit="1" customWidth="1"/>
    <col min="13867" max="14081" width="6.28515625" style="324" customWidth="1"/>
    <col min="14082" max="14082" width="18.7109375" style="324" customWidth="1"/>
    <col min="14083" max="14083" width="22" style="324" bestFit="1" customWidth="1"/>
    <col min="14084" max="14084" width="50.140625" style="324" bestFit="1" customWidth="1"/>
    <col min="14085" max="14085" width="37.42578125" style="324" customWidth="1"/>
    <col min="14086" max="14095" width="11.42578125" style="324" customWidth="1"/>
    <col min="14096" max="14112" width="13" style="324" hidden="1" customWidth="1"/>
    <col min="14113" max="14113" width="11.42578125" style="324" customWidth="1"/>
    <col min="14114" max="14114" width="24" style="324" customWidth="1"/>
    <col min="14115" max="14115" width="11.42578125" style="324" customWidth="1"/>
    <col min="14116" max="14116" width="8.42578125" style="324" customWidth="1"/>
    <col min="14117" max="14122" width="23.28515625" style="324" bestFit="1" customWidth="1"/>
    <col min="14123" max="14337" width="6.28515625" style="324" customWidth="1"/>
    <col min="14338" max="14338" width="18.7109375" style="324" customWidth="1"/>
    <col min="14339" max="14339" width="22" style="324" bestFit="1" customWidth="1"/>
    <col min="14340" max="14340" width="50.140625" style="324" bestFit="1" customWidth="1"/>
    <col min="14341" max="14341" width="37.42578125" style="324" customWidth="1"/>
    <col min="14342" max="14351" width="11.42578125" style="324" customWidth="1"/>
    <col min="14352" max="14368" width="13" style="324" hidden="1" customWidth="1"/>
    <col min="14369" max="14369" width="11.42578125" style="324" customWidth="1"/>
    <col min="14370" max="14370" width="24" style="324" customWidth="1"/>
    <col min="14371" max="14371" width="11.42578125" style="324" customWidth="1"/>
    <col min="14372" max="14372" width="8.42578125" style="324" customWidth="1"/>
    <col min="14373" max="14378" width="23.28515625" style="324" bestFit="1" customWidth="1"/>
    <col min="14379" max="14593" width="6.28515625" style="324" customWidth="1"/>
    <col min="14594" max="14594" width="18.7109375" style="324" customWidth="1"/>
    <col min="14595" max="14595" width="22" style="324" bestFit="1" customWidth="1"/>
    <col min="14596" max="14596" width="50.140625" style="324" bestFit="1" customWidth="1"/>
    <col min="14597" max="14597" width="37.42578125" style="324" customWidth="1"/>
    <col min="14598" max="14607" width="11.42578125" style="324" customWidth="1"/>
    <col min="14608" max="14624" width="13" style="324" hidden="1" customWidth="1"/>
    <col min="14625" max="14625" width="11.42578125" style="324" customWidth="1"/>
    <col min="14626" max="14626" width="24" style="324" customWidth="1"/>
    <col min="14627" max="14627" width="11.42578125" style="324" customWidth="1"/>
    <col min="14628" max="14628" width="8.42578125" style="324" customWidth="1"/>
    <col min="14629" max="14634" width="23.28515625" style="324" bestFit="1" customWidth="1"/>
    <col min="14635" max="14849" width="6.28515625" style="324" customWidth="1"/>
    <col min="14850" max="14850" width="18.7109375" style="324" customWidth="1"/>
    <col min="14851" max="14851" width="22" style="324" bestFit="1" customWidth="1"/>
    <col min="14852" max="14852" width="50.140625" style="324" bestFit="1" customWidth="1"/>
    <col min="14853" max="14853" width="37.42578125" style="324" customWidth="1"/>
    <col min="14854" max="14863" width="11.42578125" style="324" customWidth="1"/>
    <col min="14864" max="14880" width="13" style="324" hidden="1" customWidth="1"/>
    <col min="14881" max="14881" width="11.42578125" style="324" customWidth="1"/>
    <col min="14882" max="14882" width="24" style="324" customWidth="1"/>
    <col min="14883" max="14883" width="11.42578125" style="324" customWidth="1"/>
    <col min="14884" max="14884" width="8.42578125" style="324" customWidth="1"/>
    <col min="14885" max="14890" width="23.28515625" style="324" bestFit="1" customWidth="1"/>
    <col min="14891" max="15105" width="6.28515625" style="324" customWidth="1"/>
    <col min="15106" max="15106" width="18.7109375" style="324" customWidth="1"/>
    <col min="15107" max="15107" width="22" style="324" bestFit="1" customWidth="1"/>
    <col min="15108" max="15108" width="50.140625" style="324" bestFit="1" customWidth="1"/>
    <col min="15109" max="15109" width="37.42578125" style="324" customWidth="1"/>
    <col min="15110" max="15119" width="11.42578125" style="324" customWidth="1"/>
    <col min="15120" max="15136" width="13" style="324" hidden="1" customWidth="1"/>
    <col min="15137" max="15137" width="11.42578125" style="324" customWidth="1"/>
    <col min="15138" max="15138" width="24" style="324" customWidth="1"/>
    <col min="15139" max="15139" width="11.42578125" style="324" customWidth="1"/>
    <col min="15140" max="15140" width="8.42578125" style="324" customWidth="1"/>
    <col min="15141" max="15146" width="23.28515625" style="324" bestFit="1" customWidth="1"/>
    <col min="15147" max="15361" width="6.28515625" style="324" customWidth="1"/>
    <col min="15362" max="15362" width="18.7109375" style="324" customWidth="1"/>
    <col min="15363" max="15363" width="22" style="324" bestFit="1" customWidth="1"/>
    <col min="15364" max="15364" width="50.140625" style="324" bestFit="1" customWidth="1"/>
    <col min="15365" max="15365" width="37.42578125" style="324" customWidth="1"/>
    <col min="15366" max="15375" width="11.42578125" style="324" customWidth="1"/>
    <col min="15376" max="15392" width="13" style="324" hidden="1" customWidth="1"/>
    <col min="15393" max="15393" width="11.42578125" style="324" customWidth="1"/>
    <col min="15394" max="15394" width="24" style="324" customWidth="1"/>
    <col min="15395" max="15395" width="11.42578125" style="324" customWidth="1"/>
    <col min="15396" max="15396" width="8.42578125" style="324" customWidth="1"/>
    <col min="15397" max="15402" width="23.28515625" style="324" bestFit="1" customWidth="1"/>
    <col min="15403" max="15617" width="6.28515625" style="324" customWidth="1"/>
    <col min="15618" max="15618" width="18.7109375" style="324" customWidth="1"/>
    <col min="15619" max="15619" width="22" style="324" bestFit="1" customWidth="1"/>
    <col min="15620" max="15620" width="50.140625" style="324" bestFit="1" customWidth="1"/>
    <col min="15621" max="15621" width="37.42578125" style="324" customWidth="1"/>
    <col min="15622" max="15631" width="11.42578125" style="324" customWidth="1"/>
    <col min="15632" max="15648" width="13" style="324" hidden="1" customWidth="1"/>
    <col min="15649" max="15649" width="11.42578125" style="324" customWidth="1"/>
    <col min="15650" max="15650" width="24" style="324" customWidth="1"/>
    <col min="15651" max="15651" width="11.42578125" style="324" customWidth="1"/>
    <col min="15652" max="15652" width="8.42578125" style="324" customWidth="1"/>
    <col min="15653" max="15658" width="23.28515625" style="324" bestFit="1" customWidth="1"/>
    <col min="15659" max="15873" width="6.28515625" style="324" customWidth="1"/>
    <col min="15874" max="15874" width="18.7109375" style="324" customWidth="1"/>
    <col min="15875" max="15875" width="22" style="324" bestFit="1" customWidth="1"/>
    <col min="15876" max="15876" width="50.140625" style="324" bestFit="1" customWidth="1"/>
    <col min="15877" max="15877" width="37.42578125" style="324" customWidth="1"/>
    <col min="15878" max="15887" width="11.42578125" style="324" customWidth="1"/>
    <col min="15888" max="15904" width="13" style="324" hidden="1" customWidth="1"/>
    <col min="15905" max="15905" width="11.42578125" style="324" customWidth="1"/>
    <col min="15906" max="15906" width="24" style="324" customWidth="1"/>
    <col min="15907" max="15907" width="11.42578125" style="324" customWidth="1"/>
    <col min="15908" max="15908" width="8.42578125" style="324" customWidth="1"/>
    <col min="15909" max="15914" width="23.28515625" style="324" bestFit="1" customWidth="1"/>
    <col min="15915" max="16129" width="6.28515625" style="324" customWidth="1"/>
    <col min="16130" max="16130" width="18.7109375" style="324" customWidth="1"/>
    <col min="16131" max="16131" width="22" style="324" bestFit="1" customWidth="1"/>
    <col min="16132" max="16132" width="50.140625" style="324" bestFit="1" customWidth="1"/>
    <col min="16133" max="16133" width="37.42578125" style="324" customWidth="1"/>
    <col min="16134" max="16143" width="11.42578125" style="324" customWidth="1"/>
    <col min="16144" max="16160" width="13" style="324" hidden="1" customWidth="1"/>
    <col min="16161" max="16161" width="11.42578125" style="324" customWidth="1"/>
    <col min="16162" max="16162" width="24" style="324" customWidth="1"/>
    <col min="16163" max="16163" width="11.42578125" style="324" customWidth="1"/>
    <col min="16164" max="16164" width="8.42578125" style="324" customWidth="1"/>
    <col min="16165" max="16170" width="23.28515625" style="324" bestFit="1" customWidth="1"/>
    <col min="16171" max="16384" width="6.28515625" style="324" customWidth="1"/>
  </cols>
  <sheetData>
    <row r="1" spans="1:49" ht="11.25" customHeight="1">
      <c r="A1" s="322"/>
      <c r="B1" s="323" t="str">
        <f>D8</f>
        <v>SKC-ASX</v>
      </c>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472"/>
    </row>
    <row r="2" spans="1:49" ht="21" customHeight="1">
      <c r="A2" s="325" t="s">
        <v>357</v>
      </c>
      <c r="B2" s="325"/>
      <c r="C2" s="325"/>
      <c r="D2" s="326"/>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473"/>
    </row>
    <row r="3" spans="1:49">
      <c r="A3" s="329"/>
      <c r="B3" s="329"/>
      <c r="C3" s="330" t="s">
        <v>358</v>
      </c>
      <c r="D3" s="331"/>
      <c r="E3" s="331" t="str">
        <f t="shared" ref="E3:Q3" si="0">+E114</f>
        <v>FY2018A</v>
      </c>
      <c r="F3" s="331" t="str">
        <f t="shared" si="0"/>
        <v>FY2019A</v>
      </c>
      <c r="G3" s="331" t="str">
        <f t="shared" si="0"/>
        <v>FY2020A</v>
      </c>
      <c r="H3" s="331" t="str">
        <f t="shared" si="0"/>
        <v>FY2021A</v>
      </c>
      <c r="I3" s="331" t="str">
        <f t="shared" si="0"/>
        <v>FY2022A</v>
      </c>
      <c r="J3" s="331" t="str">
        <f t="shared" si="0"/>
        <v>FY2023A</v>
      </c>
      <c r="K3" s="331" t="str">
        <f t="shared" si="0"/>
        <v>FY2024A</v>
      </c>
      <c r="L3" s="331" t="str">
        <f t="shared" si="0"/>
        <v>FY2025A</v>
      </c>
      <c r="M3" s="331" t="str">
        <f t="shared" si="0"/>
        <v>FY2026A</v>
      </c>
      <c r="N3" s="331" t="str">
        <f t="shared" si="0"/>
        <v>FY2027F</v>
      </c>
      <c r="O3" s="331" t="str">
        <f t="shared" si="0"/>
        <v>FY2028F</v>
      </c>
      <c r="P3" s="331" t="str">
        <f t="shared" si="0"/>
        <v>FY2029F</v>
      </c>
      <c r="Q3" s="331" t="str">
        <f t="shared" si="0"/>
        <v>FY2030F</v>
      </c>
      <c r="R3" s="331"/>
      <c r="S3" s="331"/>
      <c r="T3" s="331"/>
      <c r="U3" s="331"/>
      <c r="V3" s="331"/>
      <c r="W3" s="331"/>
      <c r="X3" s="331"/>
      <c r="Y3" s="331"/>
      <c r="Z3" s="331"/>
      <c r="AA3" s="331"/>
      <c r="AB3" s="331"/>
      <c r="AC3" s="331"/>
      <c r="AD3" s="331"/>
      <c r="AE3" s="331"/>
      <c r="AF3" s="331"/>
      <c r="AG3" s="331"/>
      <c r="AH3" s="331"/>
      <c r="AI3" s="331"/>
      <c r="AJ3" s="332" t="s">
        <v>359</v>
      </c>
      <c r="AK3" s="333"/>
      <c r="AL3" s="333"/>
      <c r="AM3" s="333"/>
      <c r="AN3" s="333"/>
      <c r="AO3" s="333"/>
      <c r="AP3" s="333"/>
      <c r="AQ3" s="333"/>
      <c r="AR3" s="333"/>
      <c r="AS3" s="333"/>
      <c r="AT3" s="333"/>
      <c r="AU3" s="333"/>
      <c r="AV3" s="333"/>
      <c r="AW3" s="333"/>
    </row>
    <row r="4" spans="1:49">
      <c r="A4" s="334" t="s">
        <v>360</v>
      </c>
      <c r="B4" s="334"/>
      <c r="C4" s="335"/>
      <c r="D4" s="334" t="s">
        <v>361</v>
      </c>
      <c r="E4" s="336"/>
      <c r="F4" s="336"/>
      <c r="G4" s="337"/>
      <c r="H4" s="337"/>
      <c r="I4" s="337"/>
      <c r="J4" s="337"/>
      <c r="K4" s="337"/>
      <c r="L4" s="337"/>
      <c r="M4" s="337"/>
      <c r="N4" s="337"/>
      <c r="O4" s="337"/>
      <c r="P4" s="337"/>
      <c r="Q4" s="337"/>
      <c r="R4" s="337"/>
      <c r="S4" s="337"/>
      <c r="T4" s="337"/>
      <c r="U4" s="337"/>
      <c r="V4" s="337"/>
      <c r="W4" s="337"/>
      <c r="X4" s="337"/>
      <c r="Y4" s="337"/>
      <c r="Z4" s="337"/>
      <c r="AA4" s="337"/>
      <c r="AB4" s="337"/>
      <c r="AC4" s="337"/>
      <c r="AD4" s="337"/>
      <c r="AE4" s="337"/>
      <c r="AF4" s="337"/>
      <c r="AG4" s="337"/>
      <c r="AH4" s="337"/>
      <c r="AI4" s="337"/>
      <c r="AJ4" s="474"/>
    </row>
    <row r="5" spans="1:49">
      <c r="A5" s="338" t="s">
        <v>362</v>
      </c>
      <c r="B5" s="338"/>
      <c r="C5" s="339" t="s">
        <v>363</v>
      </c>
      <c r="D5" s="340" t="s">
        <v>364</v>
      </c>
      <c r="E5" s="341"/>
      <c r="F5" s="342"/>
      <c r="G5" s="337"/>
      <c r="H5" s="337"/>
      <c r="I5" s="337"/>
      <c r="J5" s="337"/>
      <c r="K5" s="337"/>
      <c r="L5" s="337"/>
      <c r="M5" s="337"/>
      <c r="N5" s="337"/>
      <c r="O5" s="337"/>
      <c r="P5" s="337"/>
      <c r="Q5" s="337"/>
      <c r="R5" s="337"/>
      <c r="S5" s="337"/>
      <c r="T5" s="337"/>
      <c r="U5" s="337"/>
      <c r="V5" s="337"/>
      <c r="W5" s="337"/>
      <c r="X5" s="337"/>
      <c r="Y5" s="337"/>
      <c r="Z5" s="337"/>
      <c r="AA5" s="337"/>
      <c r="AB5" s="337"/>
      <c r="AC5" s="337"/>
      <c r="AD5" s="337"/>
      <c r="AE5" s="337"/>
      <c r="AF5" s="337"/>
      <c r="AG5" s="337"/>
      <c r="AH5" s="337"/>
      <c r="AI5" s="337"/>
      <c r="AJ5" s="474"/>
    </row>
    <row r="6" spans="1:49">
      <c r="A6" s="338" t="s">
        <v>365</v>
      </c>
      <c r="B6" s="338"/>
      <c r="C6" s="343" t="s">
        <v>366</v>
      </c>
      <c r="D6" s="344" t="s">
        <v>367</v>
      </c>
      <c r="E6" s="341"/>
      <c r="F6" s="341"/>
      <c r="G6" s="345"/>
      <c r="H6" s="345"/>
      <c r="I6" s="345"/>
      <c r="J6" s="345"/>
      <c r="K6" s="345"/>
      <c r="L6" s="345"/>
      <c r="M6" s="345"/>
      <c r="N6" s="345"/>
      <c r="O6" s="345"/>
      <c r="P6" s="345"/>
      <c r="Q6" s="345"/>
      <c r="R6" s="345"/>
      <c r="S6" s="345"/>
      <c r="T6" s="345"/>
      <c r="U6" s="345"/>
      <c r="V6" s="345"/>
      <c r="W6" s="345"/>
      <c r="X6" s="345"/>
      <c r="Y6" s="345"/>
      <c r="Z6" s="345"/>
      <c r="AA6" s="345"/>
      <c r="AB6" s="346"/>
      <c r="AC6" s="346"/>
      <c r="AD6" s="346"/>
      <c r="AE6" s="346"/>
      <c r="AF6" s="346"/>
      <c r="AG6" s="346"/>
      <c r="AH6" s="346"/>
      <c r="AI6" s="346"/>
      <c r="AJ6" s="475"/>
    </row>
    <row r="7" spans="1:49" ht="12.95" customHeight="1">
      <c r="A7" s="338" t="s">
        <v>368</v>
      </c>
      <c r="B7" s="338"/>
      <c r="C7" s="343" t="s">
        <v>369</v>
      </c>
      <c r="D7" s="347">
        <v>1</v>
      </c>
      <c r="E7" s="341"/>
      <c r="F7" s="341"/>
      <c r="G7" s="345"/>
      <c r="H7" s="345"/>
      <c r="I7" s="345"/>
      <c r="J7" s="345"/>
      <c r="K7" s="345"/>
      <c r="L7" s="345"/>
      <c r="M7" s="345"/>
      <c r="N7" s="345"/>
      <c r="O7" s="345"/>
      <c r="P7" s="345"/>
      <c r="Q7" s="345"/>
      <c r="R7" s="345"/>
      <c r="S7" s="345"/>
      <c r="T7" s="345"/>
      <c r="U7" s="345"/>
      <c r="V7" s="345"/>
      <c r="W7" s="345"/>
      <c r="X7" s="345"/>
      <c r="Y7" s="345"/>
      <c r="Z7" s="345"/>
      <c r="AA7" s="345"/>
      <c r="AB7" s="346"/>
      <c r="AC7" s="346"/>
      <c r="AD7" s="346"/>
      <c r="AE7" s="346"/>
      <c r="AF7" s="346"/>
      <c r="AG7" s="346"/>
      <c r="AH7" s="346"/>
      <c r="AI7" s="346"/>
      <c r="AJ7" s="475"/>
    </row>
    <row r="8" spans="1:49" ht="12.95" customHeight="1">
      <c r="A8" s="338" t="s">
        <v>370</v>
      </c>
      <c r="B8" s="338"/>
      <c r="C8" s="339" t="s">
        <v>371</v>
      </c>
      <c r="D8" s="461" t="s">
        <v>372</v>
      </c>
      <c r="E8" s="342"/>
      <c r="F8" s="342"/>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474"/>
    </row>
    <row r="9" spans="1:49" ht="12.95" customHeight="1">
      <c r="A9" s="338" t="s">
        <v>373</v>
      </c>
      <c r="B9" s="338"/>
      <c r="C9" s="343" t="s">
        <v>374</v>
      </c>
      <c r="D9" s="461">
        <v>1000000</v>
      </c>
      <c r="E9" s="341" t="s">
        <v>375</v>
      </c>
      <c r="F9" s="341"/>
      <c r="G9" s="345"/>
      <c r="H9" s="345"/>
      <c r="I9" s="345"/>
      <c r="J9" s="345"/>
      <c r="K9" s="345"/>
      <c r="L9" s="345"/>
      <c r="M9" s="345"/>
      <c r="N9" s="345"/>
      <c r="O9" s="345"/>
      <c r="P9" s="345"/>
      <c r="Q9" s="345"/>
      <c r="R9" s="345"/>
      <c r="S9" s="345"/>
      <c r="T9" s="345"/>
      <c r="U9" s="345"/>
      <c r="V9" s="345"/>
      <c r="W9" s="345"/>
      <c r="X9" s="345"/>
      <c r="Y9" s="345"/>
      <c r="Z9" s="345"/>
      <c r="AA9" s="345"/>
      <c r="AB9" s="346"/>
      <c r="AC9" s="346"/>
      <c r="AD9" s="346"/>
      <c r="AE9" s="346"/>
      <c r="AF9" s="346"/>
      <c r="AG9" s="346"/>
      <c r="AH9" s="346"/>
      <c r="AI9" s="346"/>
      <c r="AJ9" s="475"/>
    </row>
    <row r="10" spans="1:49" ht="12.95" customHeight="1">
      <c r="A10" s="338" t="s">
        <v>376</v>
      </c>
      <c r="B10" s="338"/>
      <c r="C10" s="343" t="s">
        <v>377</v>
      </c>
      <c r="D10" s="461" t="s">
        <v>378</v>
      </c>
      <c r="E10" s="341" t="s">
        <v>375</v>
      </c>
      <c r="F10" s="341"/>
      <c r="G10" s="345"/>
      <c r="H10" s="345"/>
      <c r="I10" s="345"/>
      <c r="J10" s="345"/>
      <c r="K10" s="345"/>
      <c r="L10" s="345"/>
      <c r="M10" s="345"/>
      <c r="N10" s="345"/>
      <c r="O10" s="345"/>
      <c r="P10" s="345"/>
      <c r="Q10" s="345"/>
      <c r="R10" s="345"/>
      <c r="S10" s="345"/>
      <c r="T10" s="345"/>
      <c r="U10" s="345"/>
      <c r="V10" s="345"/>
      <c r="W10" s="345"/>
      <c r="X10" s="345"/>
      <c r="Y10" s="345"/>
      <c r="Z10" s="345"/>
      <c r="AA10" s="345"/>
      <c r="AB10" s="346"/>
      <c r="AC10" s="346"/>
      <c r="AD10" s="346"/>
      <c r="AE10" s="346"/>
      <c r="AF10" s="346"/>
      <c r="AG10" s="346"/>
      <c r="AH10" s="346"/>
      <c r="AI10" s="346"/>
      <c r="AJ10" s="475"/>
    </row>
    <row r="11" spans="1:49" ht="12.95" customHeight="1">
      <c r="A11" s="348" t="s">
        <v>379</v>
      </c>
      <c r="B11" s="348"/>
      <c r="C11" s="343" t="s">
        <v>380</v>
      </c>
      <c r="D11" s="461" t="s">
        <v>381</v>
      </c>
      <c r="E11" s="341"/>
      <c r="F11" s="341"/>
      <c r="G11" s="345"/>
      <c r="H11" s="345"/>
      <c r="I11" s="345"/>
      <c r="J11" s="345"/>
      <c r="K11" s="345"/>
      <c r="L11" s="345"/>
      <c r="M11" s="345"/>
      <c r="N11" s="345"/>
      <c r="O11" s="345"/>
      <c r="P11" s="345"/>
      <c r="Q11" s="345"/>
      <c r="R11" s="345"/>
      <c r="S11" s="345"/>
      <c r="T11" s="345"/>
      <c r="U11" s="345"/>
      <c r="V11" s="345"/>
      <c r="W11" s="345"/>
      <c r="X11" s="345"/>
      <c r="Y11" s="345"/>
      <c r="Z11" s="345"/>
      <c r="AA11" s="345"/>
      <c r="AB11" s="346"/>
      <c r="AC11" s="349"/>
      <c r="AD11" s="349"/>
      <c r="AE11" s="349"/>
      <c r="AF11" s="349"/>
      <c r="AG11" s="349"/>
      <c r="AH11" s="349"/>
      <c r="AI11" s="349"/>
      <c r="AJ11" s="476"/>
    </row>
    <row r="12" spans="1:49" ht="12.95" customHeight="1">
      <c r="A12" s="348"/>
      <c r="B12" s="348"/>
      <c r="C12" s="343"/>
      <c r="D12" s="460"/>
      <c r="E12" s="341"/>
      <c r="F12" s="341"/>
      <c r="G12" s="345"/>
      <c r="H12" s="345"/>
      <c r="I12" s="345"/>
      <c r="J12" s="345"/>
      <c r="K12" s="345"/>
      <c r="L12" s="345"/>
      <c r="M12" s="345"/>
      <c r="N12" s="345"/>
      <c r="O12" s="345"/>
      <c r="P12" s="345"/>
      <c r="Q12" s="345"/>
      <c r="R12" s="345"/>
      <c r="S12" s="345"/>
      <c r="T12" s="345"/>
      <c r="U12" s="345"/>
      <c r="V12" s="345"/>
      <c r="W12" s="345"/>
      <c r="X12" s="345"/>
      <c r="Y12" s="345"/>
      <c r="Z12" s="345"/>
      <c r="AA12" s="345"/>
      <c r="AB12" s="346"/>
      <c r="AC12" s="349"/>
      <c r="AD12" s="349"/>
      <c r="AE12" s="349"/>
      <c r="AF12" s="349"/>
      <c r="AG12" s="349"/>
      <c r="AH12" s="349"/>
      <c r="AI12" s="349"/>
      <c r="AJ12" s="476"/>
    </row>
    <row r="13" spans="1:49" ht="12.95" customHeight="1">
      <c r="A13" s="348" t="s">
        <v>382</v>
      </c>
      <c r="B13" s="350" t="s">
        <v>383</v>
      </c>
      <c r="C13" s="343" t="s">
        <v>8</v>
      </c>
      <c r="D13" s="466">
        <f ca="1">HY!$D$654</f>
        <v>0.65016617148967304</v>
      </c>
      <c r="E13" s="341"/>
      <c r="F13" s="341"/>
      <c r="G13" s="345"/>
      <c r="H13" s="345"/>
      <c r="I13" s="345"/>
      <c r="J13" s="345"/>
      <c r="K13" s="345"/>
      <c r="L13" s="345"/>
      <c r="M13" s="345"/>
      <c r="N13" s="345"/>
      <c r="O13" s="345"/>
      <c r="P13" s="345"/>
      <c r="Q13" s="345"/>
      <c r="R13" s="345"/>
      <c r="S13" s="345"/>
      <c r="T13" s="345"/>
      <c r="U13" s="345"/>
      <c r="V13" s="345"/>
      <c r="W13" s="345"/>
      <c r="X13" s="345"/>
      <c r="Y13" s="345"/>
      <c r="Z13" s="345"/>
      <c r="AA13" s="345"/>
      <c r="AB13" s="346"/>
      <c r="AC13" s="349"/>
      <c r="AD13" s="349"/>
      <c r="AE13" s="349"/>
      <c r="AF13" s="349"/>
      <c r="AG13" s="349"/>
      <c r="AH13" s="349"/>
      <c r="AI13" s="349"/>
      <c r="AJ13" s="520" t="str">
        <f ca="1">_xll.BLUEMATRIX2("/servlet/excelData",$D13,$B$1,$B13)</f>
        <v>#</v>
      </c>
    </row>
    <row r="14" spans="1:49" ht="12.95" customHeight="1">
      <c r="A14" s="348" t="s">
        <v>384</v>
      </c>
      <c r="B14" s="350" t="s">
        <v>385</v>
      </c>
      <c r="C14" s="343" t="s">
        <v>386</v>
      </c>
      <c r="D14" s="461" t="s">
        <v>387</v>
      </c>
      <c r="E14" s="341" t="s">
        <v>375</v>
      </c>
      <c r="F14" s="341"/>
      <c r="G14" s="345"/>
      <c r="H14" s="345"/>
      <c r="I14" s="345"/>
      <c r="J14" s="345"/>
      <c r="K14" s="345"/>
      <c r="L14" s="345"/>
      <c r="M14" s="345"/>
      <c r="N14" s="345"/>
      <c r="O14" s="345"/>
      <c r="P14" s="345"/>
      <c r="Q14" s="345"/>
      <c r="R14" s="345"/>
      <c r="S14" s="345"/>
      <c r="T14" s="345"/>
      <c r="U14" s="345"/>
      <c r="V14" s="345"/>
      <c r="W14" s="345"/>
      <c r="X14" s="345"/>
      <c r="Y14" s="345"/>
      <c r="Z14" s="345"/>
      <c r="AA14" s="345"/>
      <c r="AB14" s="346"/>
      <c r="AC14" s="349"/>
      <c r="AD14" s="349"/>
      <c r="AE14" s="349"/>
      <c r="AF14" s="349"/>
      <c r="AG14" s="349"/>
      <c r="AH14" s="349"/>
      <c r="AI14" s="349"/>
      <c r="AJ14" s="520" t="str">
        <f>_xll.BLUEMATRIX2("/servlet/excelData",$D14,$B$1,$B14)</f>
        <v>#</v>
      </c>
    </row>
    <row r="15" spans="1:49" ht="12.95" customHeight="1">
      <c r="A15" s="348" t="s">
        <v>388</v>
      </c>
      <c r="B15" s="350" t="s">
        <v>389</v>
      </c>
      <c r="C15" s="343" t="s">
        <v>246</v>
      </c>
      <c r="D15" s="654">
        <f>HY!D628</f>
        <v>1103.0550470000001</v>
      </c>
      <c r="E15" s="341"/>
      <c r="F15" s="341"/>
      <c r="G15" s="345"/>
      <c r="H15" s="345"/>
      <c r="I15" s="345"/>
      <c r="J15" s="345"/>
      <c r="K15" s="345"/>
      <c r="L15" s="345"/>
      <c r="M15" s="345"/>
      <c r="N15" s="345"/>
      <c r="O15" s="345"/>
      <c r="P15" s="345"/>
      <c r="Q15" s="345"/>
      <c r="R15" s="345"/>
      <c r="S15" s="345"/>
      <c r="T15" s="345"/>
      <c r="U15" s="345"/>
      <c r="V15" s="345"/>
      <c r="W15" s="345"/>
      <c r="X15" s="345"/>
      <c r="Y15" s="345"/>
      <c r="Z15" s="345"/>
      <c r="AA15" s="345"/>
      <c r="AB15" s="346"/>
      <c r="AC15" s="349"/>
      <c r="AD15" s="349"/>
      <c r="AE15" s="349"/>
      <c r="AF15" s="349"/>
      <c r="AG15" s="349"/>
      <c r="AH15" s="349"/>
      <c r="AI15" s="349"/>
      <c r="AJ15" s="520" t="str">
        <f>_xll.BLUEMATRIX2("/servlet/excelData",$D15,$B$1,$B15)</f>
        <v>#</v>
      </c>
    </row>
    <row r="16" spans="1:49" ht="12.95" customHeight="1">
      <c r="A16" s="338" t="s">
        <v>390</v>
      </c>
      <c r="B16" s="350" t="s">
        <v>391</v>
      </c>
      <c r="C16" s="343" t="s">
        <v>392</v>
      </c>
      <c r="D16" s="461">
        <v>100</v>
      </c>
      <c r="E16" s="341"/>
      <c r="F16" s="341"/>
      <c r="G16" s="345"/>
      <c r="H16" s="345"/>
      <c r="I16" s="345"/>
      <c r="J16" s="345"/>
      <c r="K16" s="345"/>
      <c r="L16" s="345"/>
      <c r="M16" s="345"/>
      <c r="N16" s="345"/>
      <c r="O16" s="345"/>
      <c r="P16" s="345"/>
      <c r="Q16" s="345"/>
      <c r="R16" s="345"/>
      <c r="S16" s="345"/>
      <c r="T16" s="345"/>
      <c r="U16" s="345"/>
      <c r="V16" s="345"/>
      <c r="W16" s="345"/>
      <c r="X16" s="345"/>
      <c r="Y16" s="345"/>
      <c r="Z16" s="345"/>
      <c r="AA16" s="345"/>
      <c r="AB16" s="346"/>
      <c r="AC16" s="349"/>
      <c r="AD16" s="349"/>
      <c r="AE16" s="349"/>
      <c r="AF16" s="349"/>
      <c r="AG16" s="349"/>
      <c r="AH16" s="349"/>
      <c r="AI16" s="349"/>
      <c r="AJ16" s="520" t="e">
        <f>_xll.BLUEMATRIX2("/servlet/excelData",#REF!,$B$1,$B16)</f>
        <v>#VALUE!</v>
      </c>
    </row>
    <row r="17" spans="1:36" ht="12.95" customHeight="1">
      <c r="A17" s="338"/>
      <c r="B17" s="350" t="s">
        <v>393</v>
      </c>
      <c r="C17" s="343" t="s">
        <v>394</v>
      </c>
      <c r="D17" s="466">
        <f>HY!D656</f>
        <v>0.5</v>
      </c>
      <c r="E17" s="341"/>
      <c r="R17" s="345"/>
      <c r="S17" s="345"/>
      <c r="T17" s="345"/>
      <c r="U17" s="345"/>
      <c r="V17" s="345"/>
      <c r="W17" s="345"/>
      <c r="X17" s="345"/>
      <c r="Y17" s="345"/>
      <c r="Z17" s="345"/>
      <c r="AA17" s="345"/>
      <c r="AB17" s="346"/>
      <c r="AC17" s="349"/>
      <c r="AD17" s="349"/>
      <c r="AE17" s="349"/>
      <c r="AF17" s="349"/>
      <c r="AG17" s="349"/>
      <c r="AH17" s="349"/>
      <c r="AI17" s="349"/>
      <c r="AJ17" s="520" t="str">
        <f>_xll.BLUEMATRIX2("/servlet/excelData",$D17,$B$1,$B17)</f>
        <v>#</v>
      </c>
    </row>
    <row r="18" spans="1:36" ht="12.95" customHeight="1">
      <c r="A18" s="338"/>
      <c r="B18" s="350"/>
      <c r="C18" s="343" t="s">
        <v>395</v>
      </c>
      <c r="D18" s="466"/>
      <c r="E18" s="467">
        <v>4.04</v>
      </c>
      <c r="F18" s="467">
        <v>3.79</v>
      </c>
      <c r="G18" s="467">
        <v>2.39</v>
      </c>
      <c r="H18" s="467">
        <v>3.51</v>
      </c>
      <c r="I18" s="467">
        <v>2.91</v>
      </c>
      <c r="J18" s="467">
        <v>2.2799999999999998</v>
      </c>
      <c r="K18" s="466">
        <f t="shared" ref="K18:Q18" si="1">$D$17</f>
        <v>0.5</v>
      </c>
      <c r="L18" s="466">
        <f t="shared" si="1"/>
        <v>0.5</v>
      </c>
      <c r="M18" s="466">
        <f t="shared" si="1"/>
        <v>0.5</v>
      </c>
      <c r="N18" s="466">
        <f t="shared" si="1"/>
        <v>0.5</v>
      </c>
      <c r="O18" s="466">
        <f t="shared" si="1"/>
        <v>0.5</v>
      </c>
      <c r="P18" s="466">
        <f t="shared" si="1"/>
        <v>0.5</v>
      </c>
      <c r="Q18" s="466">
        <f t="shared" si="1"/>
        <v>0.5</v>
      </c>
      <c r="R18" s="345"/>
      <c r="S18" s="345"/>
      <c r="T18" s="345"/>
      <c r="U18" s="345"/>
      <c r="V18" s="345"/>
      <c r="W18" s="345"/>
      <c r="X18" s="345"/>
      <c r="Y18" s="345"/>
      <c r="Z18" s="345"/>
      <c r="AA18" s="345"/>
      <c r="AB18" s="346"/>
      <c r="AC18" s="349"/>
      <c r="AD18" s="349"/>
      <c r="AE18" s="349"/>
      <c r="AF18" s="349"/>
      <c r="AG18" s="349"/>
      <c r="AH18" s="349"/>
      <c r="AI18" s="349"/>
      <c r="AJ18" s="477"/>
    </row>
    <row r="19" spans="1:36" ht="12.95" customHeight="1">
      <c r="A19" s="338"/>
      <c r="B19" s="350"/>
      <c r="C19" s="343"/>
      <c r="D19" s="462"/>
      <c r="E19" s="341"/>
      <c r="F19" s="341"/>
      <c r="G19" s="345"/>
      <c r="H19" s="345"/>
      <c r="I19" s="345"/>
      <c r="J19" s="345"/>
      <c r="K19" s="345"/>
      <c r="L19" s="345"/>
      <c r="M19" s="345"/>
      <c r="N19" s="345"/>
      <c r="O19" s="345"/>
      <c r="P19" s="345"/>
      <c r="Q19" s="345"/>
      <c r="R19" s="345"/>
      <c r="S19" s="345"/>
      <c r="T19" s="345"/>
      <c r="U19" s="345"/>
      <c r="V19" s="345"/>
      <c r="W19" s="345"/>
      <c r="X19" s="345"/>
      <c r="Y19" s="345"/>
      <c r="Z19" s="345"/>
      <c r="AA19" s="345"/>
      <c r="AB19" s="346"/>
      <c r="AC19" s="349"/>
      <c r="AD19" s="349"/>
      <c r="AE19" s="349"/>
      <c r="AF19" s="349"/>
      <c r="AG19" s="349"/>
      <c r="AH19" s="349"/>
      <c r="AI19" s="349"/>
      <c r="AJ19" s="476"/>
    </row>
    <row r="20" spans="1:36" ht="12.95" customHeight="1">
      <c r="A20" s="338"/>
      <c r="B20" s="350"/>
      <c r="C20" s="353" t="s">
        <v>396</v>
      </c>
      <c r="D20" s="462"/>
      <c r="E20" s="341"/>
      <c r="F20" s="341"/>
      <c r="G20" s="345"/>
      <c r="H20" s="345"/>
      <c r="I20" s="345"/>
      <c r="J20" s="345"/>
      <c r="K20" s="345"/>
      <c r="L20" s="345"/>
      <c r="M20" s="345"/>
      <c r="N20" s="345"/>
      <c r="O20" s="345"/>
      <c r="P20" s="345"/>
      <c r="Q20" s="345"/>
      <c r="R20" s="345"/>
      <c r="S20" s="345"/>
      <c r="T20" s="345"/>
      <c r="U20" s="345"/>
      <c r="V20" s="345"/>
      <c r="W20" s="345"/>
      <c r="X20" s="345"/>
      <c r="Y20" s="345"/>
      <c r="Z20" s="345"/>
      <c r="AA20" s="345"/>
      <c r="AB20" s="346"/>
      <c r="AC20" s="349"/>
      <c r="AD20" s="349"/>
      <c r="AE20" s="349"/>
      <c r="AF20" s="349"/>
      <c r="AG20" s="349"/>
      <c r="AH20" s="349"/>
      <c r="AI20" s="349"/>
      <c r="AJ20" s="476"/>
    </row>
    <row r="21" spans="1:36" ht="12.95" customHeight="1">
      <c r="A21" s="338"/>
      <c r="B21" s="350" t="s">
        <v>397</v>
      </c>
      <c r="C21" s="343" t="s">
        <v>398</v>
      </c>
      <c r="D21" s="466">
        <f ca="1">(D13/D17-1)*100</f>
        <v>30.033234297934609</v>
      </c>
      <c r="E21" s="341"/>
      <c r="F21" s="341"/>
      <c r="G21" s="345"/>
      <c r="H21" s="345"/>
      <c r="I21" s="345"/>
      <c r="J21" s="345"/>
      <c r="K21" s="345"/>
      <c r="L21" s="345"/>
      <c r="M21" s="345"/>
      <c r="N21" s="345"/>
      <c r="O21" s="345"/>
      <c r="P21" s="345"/>
      <c r="Q21" s="345"/>
      <c r="R21" s="345"/>
      <c r="S21" s="345"/>
      <c r="T21" s="345"/>
      <c r="U21" s="345"/>
      <c r="V21" s="345"/>
      <c r="W21" s="345"/>
      <c r="X21" s="345"/>
      <c r="Y21" s="345"/>
      <c r="Z21" s="345"/>
      <c r="AA21" s="345"/>
      <c r="AB21" s="346"/>
      <c r="AC21" s="349"/>
      <c r="AD21" s="349"/>
      <c r="AE21" s="349"/>
      <c r="AF21" s="349"/>
      <c r="AG21" s="349"/>
      <c r="AH21" s="349"/>
      <c r="AI21" s="349"/>
      <c r="AJ21" s="520" t="str">
        <f ca="1">_xll.BLUEMATRIX2("/servlet/excelData",$D21,$B$1,$B21)</f>
        <v>#</v>
      </c>
    </row>
    <row r="22" spans="1:36" ht="12.95" customHeight="1">
      <c r="A22" s="338"/>
      <c r="B22" s="350" t="s">
        <v>399</v>
      </c>
      <c r="C22" s="343" t="s">
        <v>400</v>
      </c>
      <c r="D22" s="466">
        <f>L304*100</f>
        <v>0</v>
      </c>
      <c r="E22" s="341"/>
      <c r="F22" s="341"/>
      <c r="G22" s="345"/>
      <c r="H22" s="345"/>
      <c r="I22" s="345"/>
      <c r="J22" s="345"/>
      <c r="K22" s="345"/>
      <c r="L22" s="345"/>
      <c r="M22" s="345"/>
      <c r="N22" s="345"/>
      <c r="O22" s="345"/>
      <c r="P22" s="345"/>
      <c r="Q22" s="345"/>
      <c r="R22" s="345"/>
      <c r="S22" s="345"/>
      <c r="T22" s="345"/>
      <c r="U22" s="345"/>
      <c r="V22" s="345"/>
      <c r="W22" s="345"/>
      <c r="X22" s="345"/>
      <c r="Y22" s="345"/>
      <c r="Z22" s="345"/>
      <c r="AA22" s="345"/>
      <c r="AB22" s="346"/>
      <c r="AC22" s="349"/>
      <c r="AD22" s="349"/>
      <c r="AE22" s="349"/>
      <c r="AF22" s="349"/>
      <c r="AG22" s="349"/>
      <c r="AH22" s="349"/>
      <c r="AI22" s="349"/>
      <c r="AJ22" s="520" t="str">
        <f>_xll.BLUEMATRIX2("/servlet/excelData",$D22,$B$1,$B22)</f>
        <v>#</v>
      </c>
    </row>
    <row r="23" spans="1:36" ht="12.95" customHeight="1">
      <c r="A23" s="338"/>
      <c r="B23" s="350" t="s">
        <v>401</v>
      </c>
      <c r="C23" s="343" t="s">
        <v>402</v>
      </c>
      <c r="D23" s="466">
        <f ca="1">D21+D22</f>
        <v>30.033234297934609</v>
      </c>
      <c r="E23" s="341"/>
      <c r="F23" s="341"/>
      <c r="G23" s="345"/>
      <c r="H23" s="345"/>
      <c r="I23" s="345"/>
      <c r="J23" s="345"/>
      <c r="K23" s="345"/>
      <c r="L23" s="345"/>
      <c r="M23" s="345"/>
      <c r="N23" s="345"/>
      <c r="O23" s="345"/>
      <c r="P23" s="345"/>
      <c r="Q23" s="345"/>
      <c r="R23" s="345"/>
      <c r="S23" s="345"/>
      <c r="T23" s="345"/>
      <c r="U23" s="345"/>
      <c r="V23" s="345"/>
      <c r="W23" s="345"/>
      <c r="X23" s="345"/>
      <c r="Y23" s="345"/>
      <c r="Z23" s="345"/>
      <c r="AA23" s="345"/>
      <c r="AB23" s="346"/>
      <c r="AC23" s="349"/>
      <c r="AD23" s="349"/>
      <c r="AE23" s="349"/>
      <c r="AF23" s="349"/>
      <c r="AG23" s="349"/>
      <c r="AH23" s="349"/>
      <c r="AI23" s="349"/>
      <c r="AJ23" s="520" t="str">
        <f ca="1">_xll.BLUEMATRIX2("/servlet/excelData",$D23,$B$1,$B23)</f>
        <v>#</v>
      </c>
    </row>
    <row r="24" spans="1:36" ht="12.95" customHeight="1">
      <c r="A24" s="338"/>
      <c r="B24" s="350"/>
      <c r="C24" s="343"/>
      <c r="D24" s="462"/>
      <c r="E24" s="341"/>
      <c r="F24" s="341"/>
      <c r="G24" s="345"/>
      <c r="H24" s="345"/>
      <c r="I24" s="345"/>
      <c r="J24" s="345"/>
      <c r="K24" s="345"/>
      <c r="L24" s="345"/>
      <c r="M24" s="345"/>
      <c r="N24" s="345"/>
      <c r="O24" s="345"/>
      <c r="P24" s="345"/>
      <c r="Q24" s="345"/>
      <c r="R24" s="345"/>
      <c r="S24" s="345"/>
      <c r="T24" s="345"/>
      <c r="U24" s="345"/>
      <c r="V24" s="345"/>
      <c r="W24" s="345"/>
      <c r="X24" s="345"/>
      <c r="Y24" s="345"/>
      <c r="Z24" s="345"/>
      <c r="AA24" s="345"/>
      <c r="AB24" s="346"/>
      <c r="AC24" s="349"/>
      <c r="AD24" s="349"/>
      <c r="AE24" s="349"/>
      <c r="AF24" s="349"/>
      <c r="AG24" s="349"/>
      <c r="AH24" s="349"/>
      <c r="AI24" s="349"/>
      <c r="AJ24" s="477"/>
    </row>
    <row r="25" spans="1:36" ht="12.95" customHeight="1">
      <c r="A25" s="338"/>
      <c r="B25" s="350"/>
      <c r="C25" s="353" t="s">
        <v>403</v>
      </c>
      <c r="D25" s="462"/>
      <c r="E25" s="341"/>
      <c r="F25" s="341"/>
      <c r="G25" s="345"/>
      <c r="H25" s="345"/>
      <c r="I25" s="345"/>
      <c r="J25" s="345"/>
      <c r="K25" s="345"/>
      <c r="L25" s="345"/>
      <c r="M25" s="345"/>
      <c r="N25" s="345"/>
      <c r="O25" s="345"/>
      <c r="P25" s="345"/>
      <c r="Q25" s="345"/>
      <c r="R25" s="345"/>
      <c r="S25" s="345"/>
      <c r="T25" s="345"/>
      <c r="U25" s="345"/>
      <c r="V25" s="345"/>
      <c r="W25" s="345"/>
      <c r="X25" s="345"/>
      <c r="Y25" s="345"/>
      <c r="Z25" s="345"/>
      <c r="AA25" s="345"/>
      <c r="AB25" s="346"/>
      <c r="AC25" s="349"/>
      <c r="AD25" s="349"/>
      <c r="AE25" s="349"/>
      <c r="AF25" s="349"/>
      <c r="AG25" s="349"/>
      <c r="AH25" s="349"/>
      <c r="AI25" s="349"/>
      <c r="AJ25" s="477"/>
    </row>
    <row r="26" spans="1:36" ht="12.95" customHeight="1">
      <c r="A26" s="338"/>
      <c r="B26" s="324" t="s">
        <v>404</v>
      </c>
      <c r="C26" s="350" t="s">
        <v>405</v>
      </c>
      <c r="D26" s="463"/>
      <c r="E26" s="341"/>
      <c r="F26" s="341"/>
      <c r="G26" s="345"/>
      <c r="H26" s="345"/>
      <c r="I26" s="345"/>
      <c r="J26" s="345"/>
      <c r="K26" s="345"/>
      <c r="L26" s="345"/>
      <c r="M26" s="345"/>
      <c r="N26" s="345"/>
      <c r="O26" s="345"/>
      <c r="P26" s="345"/>
      <c r="Q26" s="345"/>
      <c r="R26" s="345"/>
      <c r="S26" s="345"/>
      <c r="T26" s="345"/>
      <c r="U26" s="345"/>
      <c r="V26" s="345"/>
      <c r="W26" s="345"/>
      <c r="X26" s="345"/>
      <c r="Y26" s="345"/>
      <c r="Z26" s="345"/>
      <c r="AA26" s="345"/>
      <c r="AB26" s="346"/>
      <c r="AC26" s="349"/>
      <c r="AD26" s="349"/>
      <c r="AE26" s="349"/>
      <c r="AF26" s="349"/>
      <c r="AG26" s="349"/>
      <c r="AH26" s="349"/>
      <c r="AI26" s="349"/>
      <c r="AJ26" s="520" t="str">
        <f>_xll.BLUEMATRIX2("/servlet/excelData",$D26,$B$1,$B26)</f>
        <v>#</v>
      </c>
    </row>
    <row r="27" spans="1:36" ht="12.95" customHeight="1">
      <c r="A27" s="338"/>
      <c r="B27" s="350" t="s">
        <v>406</v>
      </c>
      <c r="C27" s="343" t="s">
        <v>407</v>
      </c>
      <c r="D27" s="463"/>
      <c r="E27" s="341"/>
      <c r="F27" s="341"/>
      <c r="G27" s="345"/>
      <c r="H27" s="345"/>
      <c r="I27" s="345"/>
      <c r="J27" s="345"/>
      <c r="K27" s="345"/>
      <c r="L27" s="345"/>
      <c r="M27" s="345"/>
      <c r="N27" s="345"/>
      <c r="O27" s="345"/>
      <c r="P27" s="345"/>
      <c r="Q27" s="345"/>
      <c r="R27" s="345"/>
      <c r="S27" s="345"/>
      <c r="T27" s="345"/>
      <c r="U27" s="345"/>
      <c r="V27" s="345"/>
      <c r="W27" s="345"/>
      <c r="X27" s="345"/>
      <c r="Y27" s="345"/>
      <c r="Z27" s="345"/>
      <c r="AA27" s="345"/>
      <c r="AB27" s="346"/>
      <c r="AC27" s="349"/>
      <c r="AD27" s="349"/>
      <c r="AE27" s="349"/>
      <c r="AF27" s="349"/>
      <c r="AG27" s="349"/>
      <c r="AH27" s="349"/>
      <c r="AI27" s="349"/>
      <c r="AJ27" s="520" t="str">
        <f>_xll.BLUEMATRIX2("/servlet/excelData",$D27,$B$1,$B27)</f>
        <v>#</v>
      </c>
    </row>
    <row r="28" spans="1:36" ht="12.95" customHeight="1">
      <c r="A28" s="338"/>
      <c r="B28" s="350" t="s">
        <v>408</v>
      </c>
      <c r="C28" s="343" t="s">
        <v>409</v>
      </c>
      <c r="D28" s="463">
        <f>D15*D17</f>
        <v>551.52752350000003</v>
      </c>
      <c r="E28" s="341"/>
      <c r="F28" s="341"/>
      <c r="G28" s="345"/>
      <c r="H28" s="345"/>
      <c r="I28" s="345"/>
      <c r="J28" s="345"/>
      <c r="K28" s="345"/>
      <c r="L28" s="345"/>
      <c r="M28" s="345"/>
      <c r="N28" s="345"/>
      <c r="O28" s="345"/>
      <c r="P28" s="345"/>
      <c r="Q28" s="345"/>
      <c r="R28" s="345"/>
      <c r="S28" s="345"/>
      <c r="T28" s="345"/>
      <c r="U28" s="345"/>
      <c r="V28" s="345"/>
      <c r="W28" s="345"/>
      <c r="X28" s="345"/>
      <c r="Y28" s="345"/>
      <c r="Z28" s="345"/>
      <c r="AA28" s="345"/>
      <c r="AB28" s="346"/>
      <c r="AC28" s="349"/>
      <c r="AD28" s="349"/>
      <c r="AE28" s="349"/>
      <c r="AF28" s="349"/>
      <c r="AG28" s="349"/>
      <c r="AH28" s="349"/>
      <c r="AI28" s="349"/>
      <c r="AJ28" s="520" t="str">
        <f>_xll.BLUEMATRIX2("/servlet/excelData",$D28,$B$1,$B28)</f>
        <v>#</v>
      </c>
    </row>
    <row r="29" spans="1:36" ht="12.95" customHeight="1">
      <c r="A29" s="338"/>
      <c r="B29" s="350" t="s">
        <v>391</v>
      </c>
      <c r="C29" s="343" t="s">
        <v>410</v>
      </c>
      <c r="D29" s="463"/>
      <c r="E29" s="341"/>
      <c r="F29" s="341"/>
      <c r="G29" s="345"/>
      <c r="H29" s="345"/>
      <c r="I29" s="345"/>
      <c r="J29" s="345"/>
      <c r="K29" s="345"/>
      <c r="L29" s="345"/>
      <c r="M29" s="345"/>
      <c r="N29" s="345"/>
      <c r="O29" s="345"/>
      <c r="P29" s="345"/>
      <c r="Q29" s="345"/>
      <c r="R29" s="345"/>
      <c r="S29" s="345"/>
      <c r="T29" s="345"/>
      <c r="U29" s="345"/>
      <c r="V29" s="345"/>
      <c r="W29" s="345"/>
      <c r="X29" s="345"/>
      <c r="Y29" s="345"/>
      <c r="Z29" s="345"/>
      <c r="AA29" s="345"/>
      <c r="AB29" s="346"/>
      <c r="AC29" s="349"/>
      <c r="AD29" s="349"/>
      <c r="AE29" s="349"/>
      <c r="AF29" s="349"/>
      <c r="AG29" s="349"/>
      <c r="AH29" s="349"/>
      <c r="AI29" s="349"/>
      <c r="AJ29" s="520" t="str">
        <f>_xll.BLUEMATRIX2("/servlet/excelData",$D29,$B$1,$B29)</f>
        <v>#</v>
      </c>
    </row>
    <row r="30" spans="1:36" ht="12.95" customHeight="1">
      <c r="A30" s="338"/>
      <c r="B30" s="350" t="s">
        <v>411</v>
      </c>
      <c r="C30" s="343" t="s">
        <v>412</v>
      </c>
      <c r="D30" s="463"/>
      <c r="E30" s="341"/>
      <c r="F30" s="341"/>
      <c r="G30" s="345"/>
      <c r="H30" s="345"/>
      <c r="I30" s="345"/>
      <c r="J30" s="345"/>
      <c r="K30" s="345"/>
      <c r="L30" s="345"/>
      <c r="M30" s="345"/>
      <c r="N30" s="345"/>
      <c r="O30" s="345"/>
      <c r="P30" s="345"/>
      <c r="Q30" s="345"/>
      <c r="R30" s="345"/>
      <c r="S30" s="345"/>
      <c r="T30" s="345"/>
      <c r="U30" s="345"/>
      <c r="V30" s="345"/>
      <c r="W30" s="345"/>
      <c r="X30" s="345"/>
      <c r="Y30" s="345"/>
      <c r="Z30" s="345"/>
      <c r="AA30" s="345"/>
      <c r="AB30" s="346"/>
      <c r="AC30" s="349"/>
      <c r="AD30" s="349"/>
      <c r="AE30" s="349"/>
      <c r="AF30" s="349"/>
      <c r="AG30" s="349"/>
      <c r="AH30" s="349"/>
      <c r="AI30" s="349"/>
      <c r="AJ30" s="520" t="str">
        <f>_xll.BLUEMATRIX2("/servlet/excelData",$D30,$B$1,$B30)</f>
        <v>#</v>
      </c>
    </row>
    <row r="31" spans="1:36" ht="12.95" customHeight="1">
      <c r="A31" s="338" t="s">
        <v>413</v>
      </c>
      <c r="B31" s="350"/>
      <c r="C31" s="343"/>
      <c r="D31" s="464"/>
      <c r="E31" s="341"/>
      <c r="F31" s="341"/>
      <c r="G31" s="345"/>
      <c r="H31" s="345"/>
      <c r="I31" s="345"/>
      <c r="J31" s="345"/>
      <c r="K31" s="345"/>
      <c r="L31" s="345"/>
      <c r="M31" s="345"/>
      <c r="N31" s="345"/>
      <c r="O31" s="345"/>
      <c r="P31" s="345"/>
      <c r="Q31" s="345"/>
      <c r="R31" s="345"/>
      <c r="S31" s="345"/>
      <c r="T31" s="345"/>
      <c r="U31" s="345"/>
      <c r="V31" s="345"/>
      <c r="W31" s="345"/>
      <c r="X31" s="345"/>
      <c r="Y31" s="345"/>
      <c r="Z31" s="345"/>
      <c r="AA31" s="345"/>
      <c r="AB31" s="346"/>
      <c r="AC31" s="349"/>
      <c r="AD31" s="349"/>
      <c r="AE31" s="349"/>
      <c r="AF31" s="349"/>
      <c r="AG31" s="349"/>
      <c r="AH31" s="349"/>
      <c r="AI31" s="349"/>
      <c r="AJ31" s="477"/>
    </row>
    <row r="32" spans="1:36" ht="12.95" customHeight="1">
      <c r="A32" s="338"/>
      <c r="B32" s="350"/>
      <c r="C32" s="343"/>
      <c r="D32" s="465"/>
      <c r="E32" s="341"/>
      <c r="F32" s="341"/>
      <c r="G32" s="345"/>
      <c r="H32" s="345"/>
      <c r="I32" s="345"/>
      <c r="J32" s="345"/>
      <c r="K32" s="345"/>
      <c r="L32" s="345"/>
      <c r="M32" s="345"/>
      <c r="N32" s="345"/>
      <c r="O32" s="345"/>
      <c r="P32" s="345"/>
      <c r="Q32" s="345"/>
      <c r="R32" s="345"/>
      <c r="S32" s="345"/>
      <c r="T32" s="345"/>
      <c r="U32" s="345"/>
      <c r="V32" s="345"/>
      <c r="W32" s="345"/>
      <c r="X32" s="345"/>
      <c r="Y32" s="345"/>
      <c r="Z32" s="345"/>
      <c r="AA32" s="345"/>
      <c r="AB32" s="346"/>
      <c r="AC32" s="349"/>
      <c r="AD32" s="349"/>
      <c r="AE32" s="349"/>
      <c r="AF32" s="349"/>
      <c r="AG32" s="349"/>
      <c r="AH32" s="349"/>
      <c r="AI32" s="349"/>
      <c r="AJ32" s="477"/>
    </row>
    <row r="33" spans="1:36" ht="12.95" customHeight="1">
      <c r="A33" s="348"/>
      <c r="B33" s="350"/>
      <c r="C33" s="343"/>
      <c r="D33" s="354"/>
      <c r="E33" s="341"/>
      <c r="F33" s="341"/>
      <c r="G33" s="345"/>
      <c r="H33" s="345"/>
      <c r="I33" s="345"/>
      <c r="J33" s="345"/>
      <c r="K33" s="345"/>
      <c r="L33" s="345"/>
      <c r="M33" s="345"/>
      <c r="N33" s="345"/>
      <c r="O33" s="345"/>
      <c r="P33" s="345"/>
      <c r="Q33" s="345"/>
      <c r="R33" s="345"/>
      <c r="S33" s="345"/>
      <c r="T33" s="345"/>
      <c r="U33" s="345"/>
      <c r="V33" s="345"/>
      <c r="W33" s="345"/>
      <c r="X33" s="345"/>
      <c r="Y33" s="345"/>
      <c r="Z33" s="345"/>
      <c r="AA33" s="345"/>
      <c r="AB33" s="346"/>
      <c r="AC33" s="349"/>
      <c r="AD33" s="349"/>
      <c r="AE33" s="349"/>
      <c r="AF33" s="349"/>
      <c r="AG33" s="349"/>
      <c r="AH33" s="349"/>
      <c r="AI33" s="349"/>
      <c r="AJ33" s="477"/>
    </row>
    <row r="34" spans="1:36" ht="12.95" customHeight="1">
      <c r="A34" s="348"/>
      <c r="B34" s="348"/>
      <c r="C34" s="353" t="s">
        <v>414</v>
      </c>
      <c r="D34" s="354"/>
      <c r="F34" s="341"/>
      <c r="G34" s="345"/>
      <c r="H34" s="345"/>
      <c r="I34" s="345"/>
      <c r="J34" s="345"/>
      <c r="K34" s="345"/>
      <c r="L34" s="345"/>
      <c r="M34" s="345"/>
      <c r="N34" s="345"/>
      <c r="O34" s="345"/>
      <c r="P34" s="345"/>
      <c r="Q34" s="345"/>
      <c r="R34" s="345"/>
      <c r="S34" s="345"/>
      <c r="T34" s="345"/>
      <c r="U34" s="345"/>
      <c r="V34" s="345"/>
      <c r="W34" s="345"/>
      <c r="X34" s="345"/>
      <c r="Y34" s="345"/>
      <c r="Z34" s="345"/>
      <c r="AA34" s="345"/>
      <c r="AB34" s="346"/>
      <c r="AC34" s="349"/>
      <c r="AD34" s="349"/>
      <c r="AE34" s="349"/>
      <c r="AF34" s="349"/>
      <c r="AG34" s="349"/>
      <c r="AH34" s="349"/>
      <c r="AI34" s="349"/>
      <c r="AJ34" s="477"/>
    </row>
    <row r="35" spans="1:36" ht="12.95" customHeight="1" outlineLevel="1">
      <c r="A35" s="348" t="s">
        <v>415</v>
      </c>
      <c r="B35" s="341" t="s">
        <v>416</v>
      </c>
      <c r="C35" s="343" t="s">
        <v>417</v>
      </c>
      <c r="D35" s="466">
        <f ca="1">HY!$D$654</f>
        <v>0.65016617148967304</v>
      </c>
      <c r="E35" s="341"/>
      <c r="F35" s="341"/>
      <c r="G35" s="345"/>
      <c r="H35" s="345"/>
      <c r="I35" s="345"/>
      <c r="J35" s="345"/>
      <c r="K35" s="345"/>
      <c r="L35" s="345"/>
      <c r="M35" s="345"/>
      <c r="N35" s="345"/>
      <c r="O35" s="345"/>
      <c r="P35" s="345"/>
      <c r="Q35" s="345"/>
      <c r="R35" s="345"/>
      <c r="S35" s="345"/>
      <c r="T35" s="345"/>
      <c r="U35" s="345"/>
      <c r="V35" s="345"/>
      <c r="W35" s="345"/>
      <c r="X35" s="345"/>
      <c r="Y35" s="345"/>
      <c r="Z35" s="345"/>
      <c r="AA35" s="345"/>
      <c r="AB35" s="346"/>
      <c r="AC35" s="349"/>
      <c r="AD35" s="349"/>
      <c r="AE35" s="349"/>
      <c r="AF35" s="349"/>
      <c r="AG35" s="349"/>
      <c r="AH35" s="349"/>
      <c r="AI35" s="349"/>
      <c r="AJ35" s="520" t="str">
        <f ca="1">_xll.BLUEMATRIX2("/servlet/excelData",$D35,$B$1,$B35)</f>
        <v>#</v>
      </c>
    </row>
    <row r="36" spans="1:36" ht="12.95" customHeight="1" outlineLevel="1">
      <c r="A36" s="348" t="s">
        <v>418</v>
      </c>
      <c r="B36" s="341" t="s">
        <v>419</v>
      </c>
      <c r="C36" s="343" t="s">
        <v>420</v>
      </c>
      <c r="D36" s="466"/>
      <c r="E36" s="341"/>
      <c r="F36" s="341"/>
      <c r="G36" s="345"/>
      <c r="H36" s="345"/>
      <c r="I36" s="345"/>
      <c r="J36" s="345"/>
      <c r="K36" s="345"/>
      <c r="L36" s="345"/>
      <c r="M36" s="345"/>
      <c r="N36" s="345"/>
      <c r="O36" s="345"/>
      <c r="P36" s="345"/>
      <c r="Q36" s="345"/>
      <c r="R36" s="345"/>
      <c r="S36" s="345"/>
      <c r="T36" s="345"/>
      <c r="U36" s="345"/>
      <c r="V36" s="345"/>
      <c r="W36" s="345"/>
      <c r="X36" s="345"/>
      <c r="Y36" s="345"/>
      <c r="Z36" s="345"/>
      <c r="AA36" s="345"/>
      <c r="AB36" s="346"/>
      <c r="AC36" s="349"/>
      <c r="AD36" s="349"/>
      <c r="AE36" s="349"/>
      <c r="AF36" s="349"/>
      <c r="AG36" s="349"/>
      <c r="AH36" s="349"/>
      <c r="AI36" s="349"/>
      <c r="AJ36" s="520" t="str">
        <f>_xll.BLUEMATRIX2("/servlet/excelData",$D36,$B$1,$B36)</f>
        <v>#</v>
      </c>
    </row>
    <row r="37" spans="1:36" ht="12.95" customHeight="1" outlineLevel="1">
      <c r="A37" s="348" t="s">
        <v>421</v>
      </c>
      <c r="B37" s="341" t="s">
        <v>422</v>
      </c>
      <c r="C37" s="343" t="s">
        <v>423</v>
      </c>
      <c r="D37" s="466"/>
      <c r="E37" s="341"/>
      <c r="F37" s="341"/>
      <c r="G37" s="345"/>
      <c r="H37" s="345"/>
      <c r="I37" s="345"/>
      <c r="J37" s="345"/>
      <c r="K37" s="345"/>
      <c r="L37" s="345"/>
      <c r="M37" s="345"/>
      <c r="N37" s="345"/>
      <c r="O37" s="345"/>
      <c r="P37" s="345"/>
      <c r="Q37" s="345"/>
      <c r="R37" s="345"/>
      <c r="S37" s="345"/>
      <c r="T37" s="345"/>
      <c r="U37" s="345"/>
      <c r="V37" s="345"/>
      <c r="W37" s="345"/>
      <c r="X37" s="345"/>
      <c r="Y37" s="345"/>
      <c r="Z37" s="345"/>
      <c r="AA37" s="345"/>
      <c r="AB37" s="346"/>
      <c r="AC37" s="349"/>
      <c r="AD37" s="349"/>
      <c r="AE37" s="349"/>
      <c r="AF37" s="349"/>
      <c r="AG37" s="349"/>
      <c r="AH37" s="349"/>
      <c r="AI37" s="349"/>
      <c r="AJ37" s="520" t="str">
        <f>_xll.BLUEMATRIX2("/servlet/excelData",$D37,$B$1,$B37)</f>
        <v>#</v>
      </c>
    </row>
    <row r="38" spans="1:36" ht="12.95" customHeight="1" outlineLevel="1">
      <c r="A38" s="348" t="s">
        <v>424</v>
      </c>
      <c r="B38" s="341" t="s">
        <v>425</v>
      </c>
      <c r="C38" s="343" t="s">
        <v>426</v>
      </c>
      <c r="D38" s="466"/>
      <c r="E38" s="341"/>
      <c r="F38" s="341"/>
      <c r="G38" s="345"/>
      <c r="H38" s="345"/>
      <c r="I38" s="345"/>
      <c r="J38" s="355"/>
      <c r="K38" s="345"/>
      <c r="L38" s="355"/>
      <c r="M38" s="355"/>
      <c r="N38" s="355"/>
      <c r="O38" s="355"/>
      <c r="P38" s="355"/>
      <c r="Q38" s="355"/>
      <c r="R38" s="345"/>
      <c r="S38" s="345"/>
      <c r="T38" s="345"/>
      <c r="U38" s="345"/>
      <c r="V38" s="345"/>
      <c r="W38" s="345"/>
      <c r="X38" s="345"/>
      <c r="Y38" s="345"/>
      <c r="Z38" s="345"/>
      <c r="AA38" s="345"/>
      <c r="AB38" s="345"/>
      <c r="AC38" s="345"/>
      <c r="AD38" s="345"/>
      <c r="AE38" s="345"/>
      <c r="AF38" s="345"/>
      <c r="AG38" s="345"/>
      <c r="AH38" s="345"/>
      <c r="AI38" s="349"/>
      <c r="AJ38" s="520" t="str">
        <f>_xll.BLUEMATRIX2("/servlet/excelData",$D38,$B$1,$B38)</f>
        <v>#</v>
      </c>
    </row>
    <row r="39" spans="1:36" ht="12.95" customHeight="1" outlineLevel="1">
      <c r="A39" s="348" t="s">
        <v>427</v>
      </c>
      <c r="B39" s="341" t="s">
        <v>383</v>
      </c>
      <c r="C39" s="343" t="s">
        <v>428</v>
      </c>
      <c r="D39" s="466"/>
      <c r="E39" s="341"/>
      <c r="F39" s="341"/>
      <c r="G39" s="345"/>
      <c r="H39" s="345"/>
      <c r="I39" s="345"/>
      <c r="J39" s="345"/>
      <c r="K39" s="345"/>
      <c r="L39" s="345"/>
      <c r="M39" s="345"/>
      <c r="N39" s="345"/>
      <c r="O39" s="345"/>
      <c r="P39" s="345"/>
      <c r="Q39" s="345"/>
      <c r="R39" s="345"/>
      <c r="S39" s="345"/>
      <c r="T39" s="345"/>
      <c r="U39" s="345"/>
      <c r="V39" s="345"/>
      <c r="W39" s="345"/>
      <c r="X39" s="345"/>
      <c r="Y39" s="345"/>
      <c r="Z39" s="345"/>
      <c r="AA39" s="345"/>
      <c r="AB39" s="346"/>
      <c r="AC39" s="349"/>
      <c r="AD39" s="349"/>
      <c r="AE39" s="349"/>
      <c r="AF39" s="349"/>
      <c r="AG39" s="349"/>
      <c r="AH39" s="349"/>
      <c r="AI39" s="349"/>
      <c r="AJ39" s="520" t="str">
        <f>_xll.BLUEMATRIX2("/servlet/excelData",$D39,$B$1,$B39)</f>
        <v>#</v>
      </c>
    </row>
    <row r="40" spans="1:36" ht="12.95" customHeight="1" outlineLevel="1">
      <c r="A40" s="348" t="s">
        <v>429</v>
      </c>
      <c r="B40" s="341" t="s">
        <v>430</v>
      </c>
      <c r="C40" s="343" t="s">
        <v>431</v>
      </c>
      <c r="E40" s="341"/>
      <c r="F40" s="341"/>
      <c r="G40" s="345"/>
      <c r="H40" s="345"/>
      <c r="I40" s="345"/>
      <c r="J40" s="345"/>
      <c r="K40" s="345"/>
      <c r="L40" s="345"/>
      <c r="M40" s="345"/>
      <c r="N40" s="345"/>
      <c r="O40" s="345"/>
      <c r="P40" s="345"/>
      <c r="Q40" s="345"/>
      <c r="R40" s="345"/>
      <c r="S40" s="345"/>
      <c r="T40" s="345"/>
      <c r="U40" s="345"/>
      <c r="V40" s="345"/>
      <c r="W40" s="345"/>
      <c r="X40" s="345"/>
      <c r="Y40" s="345"/>
      <c r="Z40" s="345"/>
      <c r="AA40" s="345"/>
      <c r="AB40" s="346"/>
      <c r="AC40" s="349"/>
      <c r="AD40" s="349"/>
      <c r="AE40" s="349"/>
      <c r="AF40" s="349"/>
      <c r="AG40" s="349"/>
      <c r="AH40" s="349"/>
      <c r="AI40" s="349"/>
      <c r="AJ40" s="520" t="str">
        <f>_xll.BLUEMATRIX2("/servlet/excelData",$D16,$B$1,$B40)</f>
        <v>#</v>
      </c>
    </row>
    <row r="41" spans="1:36" ht="12.95" customHeight="1" outlineLevel="1">
      <c r="A41" s="348" t="s">
        <v>432</v>
      </c>
      <c r="B41" s="341" t="s">
        <v>433</v>
      </c>
      <c r="C41" s="343" t="s">
        <v>434</v>
      </c>
      <c r="D41" s="466"/>
      <c r="E41" s="341"/>
      <c r="F41" s="341"/>
      <c r="G41" s="345"/>
      <c r="H41" s="345"/>
      <c r="I41" s="345"/>
      <c r="J41" s="345"/>
      <c r="K41" s="345"/>
      <c r="L41" s="345"/>
      <c r="M41" s="345"/>
      <c r="N41" s="345"/>
      <c r="O41" s="345"/>
      <c r="P41" s="345"/>
      <c r="Q41" s="345"/>
      <c r="R41" s="345"/>
      <c r="S41" s="345"/>
      <c r="T41" s="345"/>
      <c r="U41" s="345"/>
      <c r="V41" s="345"/>
      <c r="W41" s="345"/>
      <c r="X41" s="345"/>
      <c r="Y41" s="345"/>
      <c r="Z41" s="345"/>
      <c r="AA41" s="345"/>
      <c r="AB41" s="346"/>
      <c r="AC41" s="349"/>
      <c r="AD41" s="349"/>
      <c r="AE41" s="349"/>
      <c r="AF41" s="349"/>
      <c r="AG41" s="349"/>
      <c r="AH41" s="349"/>
      <c r="AI41" s="349"/>
      <c r="AJ41" s="520" t="str">
        <f>_xll.BLUEMATRIX2("/servlet/excelData",$D41,$B$1,$B41)</f>
        <v>#</v>
      </c>
    </row>
    <row r="42" spans="1:36" ht="12.95" customHeight="1" outlineLevel="1">
      <c r="A42" s="348" t="s">
        <v>435</v>
      </c>
      <c r="B42" s="341" t="s">
        <v>436</v>
      </c>
      <c r="C42" s="343" t="s">
        <v>437</v>
      </c>
      <c r="D42" s="466"/>
      <c r="E42" s="341"/>
      <c r="F42" s="341"/>
      <c r="G42" s="345"/>
      <c r="H42" s="345"/>
      <c r="I42" s="345"/>
      <c r="J42" s="345"/>
      <c r="K42" s="345"/>
      <c r="L42" s="345"/>
      <c r="M42" s="345"/>
      <c r="N42" s="345"/>
      <c r="O42" s="345"/>
      <c r="P42" s="345"/>
      <c r="Q42" s="345"/>
      <c r="R42" s="345"/>
      <c r="S42" s="345"/>
      <c r="T42" s="345"/>
      <c r="U42" s="345"/>
      <c r="V42" s="345"/>
      <c r="W42" s="345"/>
      <c r="X42" s="345"/>
      <c r="Y42" s="345"/>
      <c r="Z42" s="345"/>
      <c r="AA42" s="345"/>
      <c r="AB42" s="346"/>
      <c r="AC42" s="349"/>
      <c r="AD42" s="349"/>
      <c r="AE42" s="349"/>
      <c r="AF42" s="349"/>
      <c r="AG42" s="349"/>
      <c r="AH42" s="349"/>
      <c r="AI42" s="349"/>
      <c r="AJ42" s="520" t="str">
        <f>_xll.BLUEMATRIX2("/servlet/excelData",$D42,$B$1,$B42)</f>
        <v>#</v>
      </c>
    </row>
    <row r="43" spans="1:36" ht="12.95" customHeight="1" outlineLevel="1">
      <c r="A43" s="348" t="s">
        <v>438</v>
      </c>
      <c r="B43" s="341" t="s">
        <v>439</v>
      </c>
      <c r="C43" s="343" t="s">
        <v>440</v>
      </c>
      <c r="D43" s="466"/>
      <c r="E43" s="341"/>
      <c r="F43" s="341"/>
      <c r="G43" s="345"/>
      <c r="H43" s="345"/>
      <c r="I43" s="345"/>
      <c r="J43" s="345"/>
      <c r="K43" s="345"/>
      <c r="L43" s="345"/>
      <c r="M43" s="345"/>
      <c r="N43" s="345"/>
      <c r="O43" s="345"/>
      <c r="P43" s="345"/>
      <c r="Q43" s="345"/>
      <c r="R43" s="345"/>
      <c r="S43" s="345"/>
      <c r="T43" s="345"/>
      <c r="U43" s="345"/>
      <c r="V43" s="345"/>
      <c r="W43" s="345"/>
      <c r="X43" s="345"/>
      <c r="Y43" s="345"/>
      <c r="Z43" s="345"/>
      <c r="AA43" s="345"/>
      <c r="AB43" s="346"/>
      <c r="AC43" s="349"/>
      <c r="AD43" s="349"/>
      <c r="AE43" s="349"/>
      <c r="AF43" s="349"/>
      <c r="AG43" s="349"/>
      <c r="AH43" s="349"/>
      <c r="AI43" s="349"/>
      <c r="AJ43" s="520" t="str">
        <f>_xll.BLUEMATRIX2("/servlet/excelData",$D43,$B$1,$B43)</f>
        <v>#</v>
      </c>
    </row>
    <row r="44" spans="1:36" ht="12.95" customHeight="1">
      <c r="A44" s="348"/>
      <c r="B44" s="348"/>
      <c r="C44" s="343"/>
      <c r="D44" s="356"/>
      <c r="E44" s="341"/>
      <c r="F44" s="341"/>
      <c r="G44" s="345"/>
      <c r="H44" s="345"/>
      <c r="I44" s="345"/>
      <c r="J44" s="345"/>
      <c r="K44" s="345"/>
      <c r="L44" s="345"/>
      <c r="M44" s="345"/>
      <c r="N44" s="345"/>
      <c r="O44" s="345"/>
      <c r="P44" s="345"/>
      <c r="Q44" s="345"/>
      <c r="R44" s="345"/>
      <c r="S44" s="345"/>
      <c r="T44" s="345"/>
      <c r="U44" s="345"/>
      <c r="V44" s="345"/>
      <c r="W44" s="345"/>
      <c r="X44" s="345"/>
      <c r="Y44" s="345"/>
      <c r="Z44" s="345"/>
      <c r="AA44" s="345"/>
      <c r="AB44" s="346"/>
      <c r="AC44" s="349"/>
      <c r="AD44" s="349"/>
      <c r="AE44" s="349"/>
      <c r="AF44" s="349"/>
      <c r="AG44" s="349"/>
      <c r="AH44" s="349"/>
      <c r="AI44" s="349"/>
      <c r="AJ44" s="476"/>
    </row>
    <row r="45" spans="1:36" ht="12.95" customHeight="1">
      <c r="A45" s="348"/>
      <c r="B45" s="348"/>
      <c r="C45" s="353" t="s">
        <v>441</v>
      </c>
      <c r="D45" s="357"/>
      <c r="E45" s="358"/>
      <c r="F45" s="358"/>
      <c r="G45" s="359"/>
      <c r="H45" s="345"/>
      <c r="I45" s="345"/>
      <c r="J45" s="345"/>
      <c r="K45" s="345"/>
      <c r="L45" s="345"/>
      <c r="M45" s="345"/>
      <c r="N45" s="345"/>
      <c r="O45" s="345"/>
      <c r="P45" s="345"/>
      <c r="Q45" s="345"/>
      <c r="R45" s="345"/>
      <c r="S45" s="345"/>
      <c r="T45" s="345"/>
      <c r="U45" s="345"/>
      <c r="V45" s="345"/>
      <c r="W45" s="345"/>
      <c r="X45" s="345"/>
      <c r="Y45" s="345"/>
      <c r="Z45" s="345"/>
      <c r="AA45" s="345"/>
      <c r="AB45" s="346"/>
      <c r="AC45" s="349"/>
      <c r="AD45" s="349"/>
      <c r="AE45" s="349"/>
      <c r="AF45" s="349"/>
      <c r="AG45" s="349"/>
      <c r="AH45" s="349"/>
      <c r="AI45" s="349"/>
      <c r="AJ45" s="476"/>
    </row>
    <row r="46" spans="1:36" ht="12.95" customHeight="1" outlineLevel="1">
      <c r="A46" s="348" t="s">
        <v>442</v>
      </c>
      <c r="B46" s="348"/>
      <c r="C46" s="350" t="s">
        <v>443</v>
      </c>
      <c r="D46" s="461" t="s">
        <v>70</v>
      </c>
      <c r="E46" s="341"/>
      <c r="F46" s="341"/>
      <c r="G46" s="345"/>
      <c r="H46" s="345"/>
      <c r="I46" s="345"/>
      <c r="J46" s="345"/>
      <c r="K46" s="345"/>
      <c r="L46" s="345"/>
      <c r="M46" s="345"/>
      <c r="N46" s="345"/>
      <c r="O46" s="345"/>
      <c r="P46" s="345"/>
      <c r="Q46" s="345"/>
      <c r="R46" s="345"/>
      <c r="S46" s="345"/>
      <c r="T46" s="345"/>
      <c r="U46" s="345"/>
      <c r="V46" s="345"/>
      <c r="W46" s="345"/>
      <c r="X46" s="345"/>
      <c r="Y46" s="345"/>
      <c r="Z46" s="345"/>
      <c r="AA46" s="345"/>
      <c r="AB46" s="346"/>
      <c r="AC46" s="349"/>
      <c r="AD46" s="349"/>
      <c r="AE46" s="349"/>
      <c r="AF46" s="349"/>
      <c r="AG46" s="349"/>
      <c r="AH46" s="349"/>
      <c r="AI46" s="349"/>
      <c r="AJ46" s="476"/>
    </row>
    <row r="47" spans="1:36" ht="12.95" customHeight="1" outlineLevel="1">
      <c r="A47" s="348" t="s">
        <v>444</v>
      </c>
      <c r="B47" s="348"/>
      <c r="C47" s="350" t="s">
        <v>445</v>
      </c>
      <c r="D47" s="461" t="s">
        <v>77</v>
      </c>
      <c r="E47" s="341"/>
      <c r="F47" s="341"/>
      <c r="G47" s="345"/>
      <c r="H47" s="345"/>
      <c r="I47" s="345"/>
      <c r="J47" s="345"/>
      <c r="K47" s="345"/>
      <c r="L47" s="345"/>
      <c r="M47" s="345"/>
      <c r="N47" s="345"/>
      <c r="O47" s="345"/>
      <c r="P47" s="345"/>
      <c r="Q47" s="345"/>
      <c r="R47" s="345"/>
      <c r="S47" s="345"/>
      <c r="T47" s="345"/>
      <c r="U47" s="345"/>
      <c r="V47" s="345"/>
      <c r="W47" s="345"/>
      <c r="X47" s="345"/>
      <c r="Y47" s="345"/>
      <c r="Z47" s="345"/>
      <c r="AA47" s="345"/>
      <c r="AB47" s="346"/>
      <c r="AC47" s="349"/>
      <c r="AD47" s="349"/>
      <c r="AE47" s="349"/>
      <c r="AF47" s="349"/>
      <c r="AG47" s="349"/>
      <c r="AH47" s="349"/>
      <c r="AI47" s="349"/>
      <c r="AJ47" s="476"/>
    </row>
    <row r="48" spans="1:36" ht="12.95" customHeight="1" outlineLevel="1">
      <c r="A48" s="348" t="s">
        <v>446</v>
      </c>
      <c r="B48" s="348"/>
      <c r="C48" s="350" t="s">
        <v>447</v>
      </c>
      <c r="D48" s="461" t="s">
        <v>78</v>
      </c>
      <c r="E48" s="341"/>
      <c r="F48" s="341"/>
      <c r="G48" s="345"/>
      <c r="H48" s="345"/>
      <c r="I48" s="345"/>
      <c r="J48" s="345"/>
      <c r="K48" s="345"/>
      <c r="L48" s="345"/>
      <c r="M48" s="345"/>
      <c r="N48" s="345"/>
      <c r="O48" s="345"/>
      <c r="P48" s="345"/>
      <c r="Q48" s="345"/>
      <c r="R48" s="345"/>
      <c r="S48" s="345"/>
      <c r="T48" s="345"/>
      <c r="U48" s="345"/>
      <c r="V48" s="345"/>
      <c r="W48" s="345"/>
      <c r="X48" s="345"/>
      <c r="Y48" s="345"/>
      <c r="Z48" s="345"/>
      <c r="AA48" s="345"/>
      <c r="AB48" s="346"/>
      <c r="AC48" s="349"/>
      <c r="AD48" s="349"/>
      <c r="AE48" s="349"/>
      <c r="AF48" s="349"/>
      <c r="AG48" s="349"/>
      <c r="AH48" s="349"/>
      <c r="AI48" s="349"/>
      <c r="AJ48" s="476"/>
    </row>
    <row r="49" spans="1:36" ht="12.95" customHeight="1" outlineLevel="1">
      <c r="A49" s="348" t="s">
        <v>448</v>
      </c>
      <c r="B49" s="348"/>
      <c r="C49" s="350" t="s">
        <v>449</v>
      </c>
      <c r="D49" s="461" t="s">
        <v>149</v>
      </c>
      <c r="E49" s="341"/>
      <c r="F49" s="341"/>
      <c r="G49" s="345"/>
      <c r="H49" s="345"/>
      <c r="I49" s="345"/>
      <c r="J49" s="345"/>
      <c r="K49" s="345"/>
      <c r="L49" s="345"/>
      <c r="M49" s="345"/>
      <c r="N49" s="345"/>
      <c r="O49" s="345"/>
      <c r="P49" s="345"/>
      <c r="Q49" s="345"/>
      <c r="R49" s="345"/>
      <c r="S49" s="345"/>
      <c r="T49" s="345"/>
      <c r="U49" s="345"/>
      <c r="V49" s="345"/>
      <c r="W49" s="345"/>
      <c r="X49" s="345"/>
      <c r="Y49" s="345"/>
      <c r="Z49" s="345"/>
      <c r="AA49" s="345"/>
      <c r="AB49" s="346"/>
      <c r="AC49" s="349"/>
      <c r="AD49" s="349"/>
      <c r="AE49" s="349"/>
      <c r="AF49" s="349"/>
      <c r="AG49" s="349"/>
      <c r="AH49" s="349"/>
      <c r="AI49" s="349"/>
      <c r="AJ49" s="476"/>
    </row>
    <row r="50" spans="1:36" ht="12.95" customHeight="1" outlineLevel="1">
      <c r="A50" s="348" t="s">
        <v>450</v>
      </c>
      <c r="B50" s="348"/>
      <c r="C50" s="350" t="s">
        <v>451</v>
      </c>
      <c r="D50" s="461" t="s">
        <v>147</v>
      </c>
      <c r="E50" s="341"/>
      <c r="F50" s="341"/>
      <c r="G50" s="345"/>
      <c r="H50" s="345"/>
      <c r="I50" s="345"/>
      <c r="J50" s="345"/>
      <c r="K50" s="345"/>
      <c r="L50" s="345"/>
      <c r="M50" s="345"/>
      <c r="N50" s="345"/>
      <c r="O50" s="345"/>
      <c r="P50" s="345"/>
      <c r="Q50" s="345"/>
      <c r="R50" s="345"/>
      <c r="S50" s="345"/>
      <c r="T50" s="345"/>
      <c r="U50" s="345"/>
      <c r="V50" s="345"/>
      <c r="W50" s="345"/>
      <c r="X50" s="345"/>
      <c r="Y50" s="345"/>
      <c r="Z50" s="345"/>
      <c r="AA50" s="345"/>
      <c r="AB50" s="346"/>
      <c r="AC50" s="349"/>
      <c r="AD50" s="349"/>
      <c r="AE50" s="349"/>
      <c r="AF50" s="349"/>
      <c r="AG50" s="349"/>
      <c r="AH50" s="349"/>
      <c r="AI50" s="349"/>
      <c r="AJ50" s="476"/>
    </row>
    <row r="51" spans="1:36" ht="12.95" customHeight="1" outlineLevel="1">
      <c r="A51" s="348" t="s">
        <v>452</v>
      </c>
      <c r="B51" s="348"/>
      <c r="C51" s="350" t="s">
        <v>453</v>
      </c>
      <c r="D51" s="461" t="s">
        <v>110</v>
      </c>
      <c r="E51" s="341"/>
      <c r="F51" s="341"/>
      <c r="G51" s="345"/>
      <c r="H51" s="345"/>
      <c r="I51" s="345"/>
      <c r="J51" s="345"/>
      <c r="K51" s="345"/>
      <c r="L51" s="345"/>
      <c r="M51" s="345"/>
      <c r="N51" s="345"/>
      <c r="O51" s="345"/>
      <c r="P51" s="345"/>
      <c r="Q51" s="345"/>
      <c r="R51" s="345"/>
      <c r="S51" s="345"/>
      <c r="T51" s="345"/>
      <c r="U51" s="345"/>
      <c r="V51" s="345"/>
      <c r="W51" s="345"/>
      <c r="X51" s="345"/>
      <c r="Y51" s="345"/>
      <c r="Z51" s="345"/>
      <c r="AA51" s="345"/>
      <c r="AB51" s="346"/>
      <c r="AC51" s="349"/>
      <c r="AD51" s="349"/>
      <c r="AE51" s="349"/>
      <c r="AF51" s="349"/>
      <c r="AG51" s="349"/>
      <c r="AH51" s="349"/>
      <c r="AI51" s="349"/>
      <c r="AJ51" s="476"/>
    </row>
    <row r="52" spans="1:36" ht="12.95" customHeight="1" outlineLevel="1">
      <c r="A52" s="348" t="s">
        <v>454</v>
      </c>
      <c r="B52" s="348"/>
      <c r="C52" s="350" t="s">
        <v>455</v>
      </c>
      <c r="D52" s="461" t="s">
        <v>456</v>
      </c>
      <c r="E52" s="341"/>
      <c r="F52" s="341"/>
      <c r="G52" s="345"/>
      <c r="H52" s="345"/>
      <c r="I52" s="345"/>
      <c r="J52" s="345"/>
      <c r="K52" s="345"/>
      <c r="L52" s="345"/>
      <c r="M52" s="345"/>
      <c r="N52" s="345"/>
      <c r="O52" s="345"/>
      <c r="P52" s="345"/>
      <c r="Q52" s="345"/>
      <c r="R52" s="345"/>
      <c r="S52" s="345"/>
      <c r="T52" s="345"/>
      <c r="U52" s="345"/>
      <c r="V52" s="345"/>
      <c r="W52" s="345"/>
      <c r="X52" s="345"/>
      <c r="Y52" s="345"/>
      <c r="Z52" s="345"/>
      <c r="AA52" s="345"/>
      <c r="AB52" s="346"/>
      <c r="AC52" s="349"/>
      <c r="AD52" s="349"/>
      <c r="AE52" s="349"/>
      <c r="AF52" s="349"/>
      <c r="AG52" s="349"/>
      <c r="AH52" s="349"/>
      <c r="AI52" s="349"/>
      <c r="AJ52" s="476"/>
    </row>
    <row r="53" spans="1:36" ht="12.95" customHeight="1" outlineLevel="1">
      <c r="A53" s="348" t="s">
        <v>457</v>
      </c>
      <c r="B53" s="348"/>
      <c r="C53" s="350" t="s">
        <v>458</v>
      </c>
      <c r="D53" s="461"/>
      <c r="E53" s="341"/>
      <c r="F53" s="341"/>
      <c r="G53" s="345"/>
      <c r="H53" s="345"/>
      <c r="I53" s="345"/>
      <c r="J53" s="345"/>
      <c r="K53" s="345"/>
      <c r="L53" s="345"/>
      <c r="M53" s="345"/>
      <c r="N53" s="345"/>
      <c r="O53" s="345"/>
      <c r="P53" s="345"/>
      <c r="Q53" s="345"/>
      <c r="R53" s="345"/>
      <c r="S53" s="345"/>
      <c r="T53" s="345"/>
      <c r="U53" s="345"/>
      <c r="V53" s="345"/>
      <c r="W53" s="345"/>
      <c r="X53" s="345"/>
      <c r="Y53" s="345"/>
      <c r="Z53" s="345"/>
      <c r="AA53" s="345"/>
      <c r="AB53" s="346"/>
      <c r="AC53" s="349"/>
      <c r="AD53" s="349"/>
      <c r="AE53" s="349"/>
      <c r="AF53" s="349"/>
      <c r="AG53" s="349"/>
      <c r="AH53" s="349"/>
      <c r="AI53" s="349"/>
      <c r="AJ53" s="476"/>
    </row>
    <row r="54" spans="1:36" ht="12.95" customHeight="1" outlineLevel="1">
      <c r="A54" s="348" t="s">
        <v>459</v>
      </c>
      <c r="B54" s="348"/>
      <c r="C54" s="350" t="s">
        <v>460</v>
      </c>
      <c r="D54" s="461"/>
      <c r="E54" s="341"/>
      <c r="F54" s="341"/>
      <c r="G54" s="345"/>
      <c r="H54" s="345"/>
      <c r="I54" s="345"/>
      <c r="J54" s="345"/>
      <c r="K54" s="345"/>
      <c r="L54" s="345"/>
      <c r="M54" s="345"/>
      <c r="N54" s="345"/>
      <c r="O54" s="345"/>
      <c r="P54" s="345"/>
      <c r="Q54" s="345"/>
      <c r="R54" s="345"/>
      <c r="S54" s="345"/>
      <c r="T54" s="345"/>
      <c r="U54" s="345"/>
      <c r="V54" s="345"/>
      <c r="W54" s="345"/>
      <c r="X54" s="345"/>
      <c r="Y54" s="345"/>
      <c r="Z54" s="345"/>
      <c r="AA54" s="345"/>
      <c r="AB54" s="346"/>
      <c r="AC54" s="349"/>
      <c r="AD54" s="349"/>
      <c r="AE54" s="349"/>
      <c r="AF54" s="349"/>
      <c r="AG54" s="349"/>
      <c r="AH54" s="349"/>
      <c r="AI54" s="349"/>
      <c r="AJ54" s="476"/>
    </row>
    <row r="55" spans="1:36" ht="12.95" customHeight="1" outlineLevel="1">
      <c r="A55" s="348" t="s">
        <v>461</v>
      </c>
      <c r="B55" s="348"/>
      <c r="C55" s="350" t="s">
        <v>462</v>
      </c>
      <c r="D55" s="461"/>
      <c r="E55" s="341"/>
      <c r="F55" s="341"/>
      <c r="G55" s="345"/>
      <c r="H55" s="345"/>
      <c r="I55" s="345"/>
      <c r="J55" s="345"/>
      <c r="K55" s="345"/>
      <c r="L55" s="345"/>
      <c r="M55" s="345"/>
      <c r="N55" s="345"/>
      <c r="O55" s="345"/>
      <c r="P55" s="345"/>
      <c r="Q55" s="345"/>
      <c r="R55" s="345"/>
      <c r="S55" s="345"/>
      <c r="T55" s="345"/>
      <c r="U55" s="345"/>
      <c r="V55" s="345"/>
      <c r="W55" s="345"/>
      <c r="X55" s="345"/>
      <c r="Y55" s="345"/>
      <c r="Z55" s="345"/>
      <c r="AA55" s="345"/>
      <c r="AB55" s="346"/>
      <c r="AC55" s="349"/>
      <c r="AD55" s="349"/>
      <c r="AE55" s="349"/>
      <c r="AF55" s="349"/>
      <c r="AG55" s="349"/>
      <c r="AH55" s="349"/>
      <c r="AI55" s="349"/>
      <c r="AJ55" s="476"/>
    </row>
    <row r="56" spans="1:36" ht="12.95" customHeight="1" outlineLevel="1">
      <c r="A56" s="348"/>
      <c r="B56" s="348"/>
      <c r="C56" s="350"/>
      <c r="D56" s="358"/>
      <c r="E56" s="341"/>
      <c r="F56" s="341"/>
      <c r="G56" s="345"/>
      <c r="H56" s="345"/>
      <c r="I56" s="345"/>
      <c r="J56" s="345"/>
      <c r="K56" s="345"/>
      <c r="L56" s="345"/>
      <c r="M56" s="345"/>
      <c r="N56" s="345"/>
      <c r="O56" s="345"/>
      <c r="P56" s="345"/>
      <c r="Q56" s="345"/>
      <c r="R56" s="345"/>
      <c r="S56" s="345"/>
      <c r="T56" s="345"/>
      <c r="U56" s="345"/>
      <c r="V56" s="345"/>
      <c r="W56" s="345"/>
      <c r="X56" s="345"/>
      <c r="Y56" s="345"/>
      <c r="Z56" s="345"/>
      <c r="AA56" s="345"/>
      <c r="AB56" s="346"/>
      <c r="AC56" s="349"/>
      <c r="AD56" s="349"/>
      <c r="AE56" s="349"/>
      <c r="AF56" s="349"/>
      <c r="AG56" s="349"/>
      <c r="AH56" s="349"/>
      <c r="AI56" s="349"/>
      <c r="AJ56" s="476"/>
    </row>
    <row r="57" spans="1:36" ht="12.95" customHeight="1" outlineLevel="1">
      <c r="A57" s="348" t="s">
        <v>463</v>
      </c>
      <c r="B57" s="348"/>
      <c r="C57" s="343" t="s">
        <v>464</v>
      </c>
      <c r="D57" s="468" t="s">
        <v>26</v>
      </c>
      <c r="E57" s="341" t="s">
        <v>375</v>
      </c>
      <c r="F57" s="341"/>
      <c r="G57" s="345"/>
      <c r="H57" s="345"/>
      <c r="I57" s="345"/>
      <c r="J57" s="345"/>
      <c r="K57" s="345"/>
      <c r="L57" s="345"/>
      <c r="M57" s="345"/>
      <c r="N57" s="345"/>
      <c r="O57" s="345"/>
      <c r="P57" s="345"/>
      <c r="Q57" s="345"/>
      <c r="R57" s="345"/>
      <c r="S57" s="345"/>
      <c r="T57" s="345"/>
      <c r="U57" s="345"/>
      <c r="V57" s="345"/>
      <c r="W57" s="345"/>
      <c r="X57" s="345"/>
      <c r="Y57" s="345"/>
      <c r="Z57" s="345"/>
      <c r="AA57" s="345"/>
      <c r="AB57" s="346"/>
      <c r="AC57" s="349"/>
      <c r="AD57" s="349"/>
      <c r="AE57" s="349"/>
      <c r="AF57" s="349"/>
      <c r="AG57" s="349"/>
      <c r="AH57" s="349"/>
      <c r="AI57" s="349"/>
      <c r="AJ57" s="476"/>
    </row>
    <row r="58" spans="1:36" ht="12.95" customHeight="1" outlineLevel="1">
      <c r="A58" s="348"/>
      <c r="B58" s="348"/>
      <c r="C58" s="343"/>
      <c r="D58" s="341"/>
      <c r="E58" s="341"/>
      <c r="F58" s="341"/>
      <c r="G58" s="345"/>
      <c r="H58" s="345"/>
      <c r="I58" s="345"/>
      <c r="J58" s="345"/>
      <c r="K58" s="345"/>
      <c r="L58" s="345"/>
      <c r="M58" s="345"/>
      <c r="N58" s="345"/>
      <c r="O58" s="345"/>
      <c r="P58" s="345"/>
      <c r="Q58" s="345"/>
      <c r="R58" s="345"/>
      <c r="S58" s="345"/>
      <c r="T58" s="345"/>
      <c r="U58" s="345"/>
      <c r="V58" s="345"/>
      <c r="W58" s="345"/>
      <c r="X58" s="345"/>
      <c r="Y58" s="345"/>
      <c r="Z58" s="345"/>
      <c r="AA58" s="345"/>
      <c r="AB58" s="346"/>
      <c r="AC58" s="349"/>
      <c r="AD58" s="349"/>
      <c r="AE58" s="349"/>
      <c r="AF58" s="349"/>
      <c r="AG58" s="349"/>
      <c r="AH58" s="349"/>
      <c r="AI58" s="349"/>
      <c r="AJ58" s="476"/>
    </row>
    <row r="59" spans="1:36" ht="12.95" customHeight="1" outlineLevel="1">
      <c r="A59" s="348" t="s">
        <v>465</v>
      </c>
      <c r="B59" s="348"/>
      <c r="C59" s="343" t="s">
        <v>464</v>
      </c>
      <c r="D59" s="468" t="s">
        <v>466</v>
      </c>
      <c r="E59" s="341" t="s">
        <v>375</v>
      </c>
      <c r="F59" s="341"/>
      <c r="G59" s="345"/>
      <c r="H59" s="345"/>
      <c r="I59" s="345"/>
      <c r="J59" s="345"/>
      <c r="K59" s="345"/>
      <c r="L59" s="345"/>
      <c r="M59" s="345"/>
      <c r="N59" s="345"/>
      <c r="O59" s="345"/>
      <c r="P59" s="345"/>
      <c r="Q59" s="345"/>
      <c r="R59" s="345"/>
      <c r="S59" s="345"/>
      <c r="T59" s="345"/>
      <c r="U59" s="345"/>
      <c r="V59" s="345"/>
      <c r="W59" s="345"/>
      <c r="X59" s="345"/>
      <c r="Y59" s="345"/>
      <c r="Z59" s="345"/>
      <c r="AA59" s="345"/>
      <c r="AB59" s="346"/>
      <c r="AC59" s="349"/>
      <c r="AD59" s="349"/>
      <c r="AE59" s="349"/>
      <c r="AF59" s="349"/>
      <c r="AG59" s="349"/>
      <c r="AH59" s="349"/>
      <c r="AI59" s="349"/>
      <c r="AJ59" s="476"/>
    </row>
    <row r="60" spans="1:36" ht="12.95" customHeight="1">
      <c r="A60" s="348"/>
      <c r="B60" s="348"/>
      <c r="C60" s="343"/>
      <c r="D60" s="358"/>
      <c r="E60" s="341"/>
      <c r="F60" s="341"/>
      <c r="G60" s="345"/>
      <c r="H60" s="345"/>
      <c r="I60" s="345"/>
      <c r="J60" s="345"/>
      <c r="K60" s="345"/>
      <c r="L60" s="345"/>
      <c r="M60" s="345"/>
      <c r="N60" s="345"/>
      <c r="O60" s="345"/>
      <c r="P60" s="345"/>
      <c r="Q60" s="345"/>
      <c r="R60" s="345"/>
      <c r="S60" s="345"/>
      <c r="T60" s="345"/>
      <c r="U60" s="345"/>
      <c r="V60" s="345"/>
      <c r="W60" s="345"/>
      <c r="X60" s="345"/>
      <c r="Y60" s="345"/>
      <c r="Z60" s="345"/>
      <c r="AA60" s="345"/>
      <c r="AB60" s="346"/>
      <c r="AC60" s="349"/>
      <c r="AD60" s="349"/>
      <c r="AE60" s="349"/>
      <c r="AF60" s="349"/>
      <c r="AG60" s="349"/>
      <c r="AH60" s="349"/>
      <c r="AI60" s="349"/>
      <c r="AJ60" s="476"/>
    </row>
    <row r="61" spans="1:36" ht="12.95" customHeight="1">
      <c r="A61" s="348"/>
      <c r="B61" s="348"/>
      <c r="C61" s="353" t="s">
        <v>467</v>
      </c>
      <c r="D61" s="358"/>
      <c r="E61" s="341"/>
      <c r="F61" s="341"/>
      <c r="G61" s="345"/>
      <c r="H61" s="345"/>
      <c r="I61" s="345"/>
      <c r="J61" s="345"/>
      <c r="K61" s="345"/>
      <c r="L61" s="345"/>
      <c r="M61" s="345"/>
      <c r="N61" s="345"/>
      <c r="O61" s="345"/>
      <c r="P61" s="345"/>
      <c r="Q61" s="345"/>
      <c r="R61" s="345"/>
      <c r="S61" s="345"/>
      <c r="T61" s="345"/>
      <c r="U61" s="345"/>
      <c r="V61" s="345"/>
      <c r="W61" s="345"/>
      <c r="X61" s="345"/>
      <c r="Y61" s="345"/>
      <c r="Z61" s="345"/>
      <c r="AA61" s="345"/>
      <c r="AB61" s="346"/>
      <c r="AC61" s="349"/>
      <c r="AD61" s="349"/>
      <c r="AE61" s="349"/>
      <c r="AF61" s="349"/>
      <c r="AG61" s="349"/>
      <c r="AH61" s="349"/>
      <c r="AI61" s="349"/>
      <c r="AJ61" s="476"/>
    </row>
    <row r="62" spans="1:36" outlineLevel="1">
      <c r="A62" s="360" t="s">
        <v>468</v>
      </c>
      <c r="B62" s="360"/>
      <c r="C62" s="469" t="s">
        <v>469</v>
      </c>
      <c r="D62" s="470" t="s">
        <v>470</v>
      </c>
      <c r="E62" s="361"/>
      <c r="F62" s="361"/>
      <c r="G62" s="361"/>
      <c r="H62" s="361"/>
      <c r="I62" s="361"/>
      <c r="J62" s="361"/>
      <c r="K62" s="361"/>
      <c r="L62" s="361"/>
      <c r="M62" s="361"/>
      <c r="N62" s="361"/>
      <c r="O62" s="361"/>
      <c r="P62" s="361"/>
      <c r="Q62" s="361"/>
      <c r="R62" s="361"/>
      <c r="S62" s="345"/>
      <c r="T62" s="345"/>
      <c r="U62" s="345"/>
      <c r="V62" s="345"/>
      <c r="W62" s="345"/>
      <c r="X62" s="345"/>
      <c r="Y62" s="345"/>
      <c r="Z62" s="345"/>
      <c r="AA62" s="345"/>
      <c r="AB62" s="346"/>
      <c r="AC62" s="349"/>
      <c r="AD62" s="349"/>
      <c r="AE62" s="349"/>
      <c r="AF62" s="349"/>
      <c r="AG62" s="349"/>
      <c r="AH62" s="349"/>
      <c r="AI62" s="349"/>
      <c r="AJ62" s="520" t="str">
        <f>_xll.BLUEMATRIX2("/servlet/excelData",$D62,$B$1,$B62)</f>
        <v>#</v>
      </c>
    </row>
    <row r="63" spans="1:36" outlineLevel="1">
      <c r="A63" s="360" t="s">
        <v>468</v>
      </c>
      <c r="B63" s="360"/>
      <c r="C63" s="469" t="s">
        <v>471</v>
      </c>
      <c r="D63" s="470" t="s">
        <v>472</v>
      </c>
      <c r="E63" s="361"/>
      <c r="F63" s="361"/>
      <c r="G63" s="361"/>
      <c r="H63" s="361"/>
      <c r="I63" s="361"/>
      <c r="J63" s="361"/>
      <c r="K63" s="361"/>
      <c r="L63" s="361"/>
      <c r="M63" s="361"/>
      <c r="N63" s="361"/>
      <c r="O63" s="361"/>
      <c r="P63" s="361"/>
      <c r="Q63" s="361"/>
      <c r="R63" s="361"/>
      <c r="S63" s="345"/>
      <c r="T63" s="345"/>
      <c r="U63" s="345"/>
      <c r="V63" s="345"/>
      <c r="W63" s="345"/>
      <c r="X63" s="345"/>
      <c r="Y63" s="345"/>
      <c r="Z63" s="345"/>
      <c r="AA63" s="345"/>
      <c r="AB63" s="346"/>
      <c r="AC63" s="349"/>
      <c r="AD63" s="349"/>
      <c r="AE63" s="349"/>
      <c r="AF63" s="349"/>
      <c r="AG63" s="349"/>
      <c r="AH63" s="349"/>
      <c r="AI63" s="349"/>
      <c r="AJ63" s="520" t="str">
        <f>_xll.BLUEMATRIX2("/servlet/excelData",$D63,$B$1,$B63)</f>
        <v>#</v>
      </c>
    </row>
    <row r="64" spans="1:36" outlineLevel="1">
      <c r="A64" s="360" t="s">
        <v>468</v>
      </c>
      <c r="B64" s="360"/>
      <c r="C64" s="469" t="s">
        <v>473</v>
      </c>
      <c r="D64" s="470" t="s">
        <v>474</v>
      </c>
      <c r="E64" s="361"/>
      <c r="F64" s="361"/>
      <c r="G64" s="361"/>
      <c r="H64" s="361"/>
      <c r="I64" s="361"/>
      <c r="J64" s="361"/>
      <c r="K64" s="361"/>
      <c r="L64" s="361"/>
      <c r="M64" s="361"/>
      <c r="N64" s="361"/>
      <c r="O64" s="361"/>
      <c r="P64" s="361"/>
      <c r="Q64" s="361"/>
      <c r="R64" s="361"/>
      <c r="S64" s="345"/>
      <c r="T64" s="345"/>
      <c r="U64" s="345"/>
      <c r="V64" s="345"/>
      <c r="W64" s="345"/>
      <c r="X64" s="345"/>
      <c r="Y64" s="345"/>
      <c r="Z64" s="345"/>
      <c r="AA64" s="345"/>
      <c r="AB64" s="346"/>
      <c r="AC64" s="349"/>
      <c r="AD64" s="349"/>
      <c r="AE64" s="349"/>
      <c r="AF64" s="349"/>
      <c r="AG64" s="349"/>
      <c r="AH64" s="349"/>
      <c r="AI64" s="349"/>
      <c r="AJ64" s="520" t="str">
        <f>_xll.BLUEMATRIX2("/servlet/excelData",$D64,$B$1,$B64)</f>
        <v>#</v>
      </c>
    </row>
    <row r="65" spans="1:36" outlineLevel="1">
      <c r="A65" s="360" t="s">
        <v>468</v>
      </c>
      <c r="B65" s="360"/>
      <c r="C65" s="469" t="s">
        <v>475</v>
      </c>
      <c r="D65" s="470" t="s">
        <v>476</v>
      </c>
      <c r="E65" s="361"/>
      <c r="F65" s="361"/>
      <c r="G65" s="361"/>
      <c r="H65" s="361"/>
      <c r="I65" s="361"/>
      <c r="J65" s="361"/>
      <c r="K65" s="361"/>
      <c r="L65" s="361"/>
      <c r="M65" s="361"/>
      <c r="N65" s="361"/>
      <c r="O65" s="361"/>
      <c r="P65" s="361"/>
      <c r="Q65" s="361"/>
      <c r="R65" s="361"/>
      <c r="S65" s="345"/>
      <c r="T65" s="345"/>
      <c r="U65" s="345"/>
      <c r="V65" s="345"/>
      <c r="W65" s="345"/>
      <c r="X65" s="345"/>
      <c r="Y65" s="345"/>
      <c r="Z65" s="345"/>
      <c r="AA65" s="345"/>
      <c r="AB65" s="346"/>
      <c r="AC65" s="349"/>
      <c r="AD65" s="349"/>
      <c r="AE65" s="349"/>
      <c r="AF65" s="349"/>
      <c r="AG65" s="349"/>
      <c r="AH65" s="349"/>
      <c r="AI65" s="349"/>
      <c r="AJ65" s="520" t="str">
        <f>_xll.BLUEMATRIX2("/servlet/excelData",$D65,$B$1,$B65)</f>
        <v>#</v>
      </c>
    </row>
    <row r="66" spans="1:36" outlineLevel="1">
      <c r="A66" s="360" t="s">
        <v>468</v>
      </c>
      <c r="B66" s="360"/>
      <c r="C66" s="469" t="s">
        <v>477</v>
      </c>
      <c r="D66" s="470" t="s">
        <v>478</v>
      </c>
      <c r="E66" s="361"/>
      <c r="F66" s="361"/>
      <c r="G66" s="361"/>
      <c r="H66" s="361"/>
      <c r="I66" s="361"/>
      <c r="J66" s="361"/>
      <c r="K66" s="361"/>
      <c r="L66" s="361"/>
      <c r="M66" s="361"/>
      <c r="N66" s="361"/>
      <c r="O66" s="361"/>
      <c r="P66" s="361"/>
      <c r="Q66" s="361"/>
      <c r="R66" s="361"/>
      <c r="S66" s="345"/>
      <c r="T66" s="345"/>
      <c r="U66" s="345"/>
      <c r="V66" s="345"/>
      <c r="W66" s="345"/>
      <c r="X66" s="345"/>
      <c r="Y66" s="345"/>
      <c r="Z66" s="345"/>
      <c r="AA66" s="345"/>
      <c r="AB66" s="346"/>
      <c r="AC66" s="349"/>
      <c r="AD66" s="349"/>
      <c r="AE66" s="349"/>
      <c r="AF66" s="349"/>
      <c r="AG66" s="349"/>
      <c r="AH66" s="349"/>
      <c r="AI66" s="349"/>
      <c r="AJ66" s="520" t="str">
        <f>_xll.BLUEMATRIX2("/servlet/excelData",$D66,$B$1,$B66)</f>
        <v>#</v>
      </c>
    </row>
    <row r="67" spans="1:36" ht="12.95" customHeight="1" outlineLevel="1">
      <c r="A67" s="360"/>
      <c r="B67" s="360"/>
      <c r="C67" s="345"/>
      <c r="D67" s="358"/>
      <c r="E67" s="341"/>
      <c r="F67" s="341"/>
      <c r="G67" s="345"/>
      <c r="H67" s="345"/>
      <c r="I67" s="345"/>
      <c r="J67" s="345"/>
      <c r="K67" s="345"/>
      <c r="L67" s="345"/>
      <c r="M67" s="345"/>
      <c r="N67" s="345"/>
      <c r="O67" s="345"/>
      <c r="P67" s="345"/>
      <c r="Q67" s="345"/>
      <c r="R67" s="345"/>
      <c r="S67" s="345"/>
      <c r="T67" s="345"/>
      <c r="U67" s="345"/>
      <c r="V67" s="345"/>
      <c r="W67" s="345"/>
      <c r="X67" s="345"/>
      <c r="Y67" s="345"/>
      <c r="Z67" s="345"/>
      <c r="AA67" s="345"/>
      <c r="AB67" s="346"/>
      <c r="AC67" s="349"/>
      <c r="AD67" s="349"/>
      <c r="AE67" s="349"/>
      <c r="AF67" s="349"/>
      <c r="AG67" s="349"/>
      <c r="AH67" s="349"/>
      <c r="AI67" s="349"/>
      <c r="AJ67" s="476"/>
    </row>
    <row r="68" spans="1:36" outlineLevel="1">
      <c r="A68" s="360" t="s">
        <v>479</v>
      </c>
      <c r="B68" s="360"/>
      <c r="C68" s="469" t="s">
        <v>480</v>
      </c>
      <c r="D68" s="470" t="s">
        <v>481</v>
      </c>
      <c r="E68" s="361"/>
      <c r="F68" s="361"/>
      <c r="G68" s="361"/>
      <c r="H68" s="361"/>
      <c r="I68" s="361"/>
      <c r="J68" s="361"/>
      <c r="K68" s="361"/>
      <c r="L68" s="361"/>
      <c r="M68" s="361"/>
      <c r="N68" s="361"/>
      <c r="O68" s="361"/>
      <c r="P68" s="361"/>
      <c r="Q68" s="361"/>
      <c r="R68" s="361"/>
      <c r="S68" s="345"/>
      <c r="T68" s="345"/>
      <c r="U68" s="345"/>
      <c r="V68" s="345"/>
      <c r="W68" s="345"/>
      <c r="X68" s="345"/>
      <c r="Y68" s="345"/>
      <c r="Z68" s="345"/>
      <c r="AA68" s="345"/>
      <c r="AB68" s="346"/>
      <c r="AC68" s="349"/>
      <c r="AD68" s="349"/>
      <c r="AE68" s="349"/>
      <c r="AF68" s="349"/>
      <c r="AG68" s="349"/>
      <c r="AH68" s="349"/>
      <c r="AI68" s="349"/>
      <c r="AJ68" s="520" t="str">
        <f>_xll.BLUEMATRIX2("/servlet/excelData",$D68,$B$1,$B68)</f>
        <v>#</v>
      </c>
    </row>
    <row r="69" spans="1:36" outlineLevel="1">
      <c r="A69" s="360" t="s">
        <v>479</v>
      </c>
      <c r="B69" s="360"/>
      <c r="C69" s="469" t="s">
        <v>482</v>
      </c>
      <c r="D69" s="470" t="s">
        <v>483</v>
      </c>
      <c r="E69" s="361"/>
      <c r="F69" s="361"/>
      <c r="G69" s="361"/>
      <c r="H69" s="361"/>
      <c r="I69" s="361"/>
      <c r="J69" s="361"/>
      <c r="K69" s="361"/>
      <c r="L69" s="361"/>
      <c r="M69" s="361"/>
      <c r="N69" s="361"/>
      <c r="O69" s="361"/>
      <c r="P69" s="361"/>
      <c r="Q69" s="361"/>
      <c r="R69" s="361"/>
      <c r="S69" s="345"/>
      <c r="T69" s="345"/>
      <c r="U69" s="345"/>
      <c r="V69" s="345"/>
      <c r="W69" s="345"/>
      <c r="X69" s="345"/>
      <c r="Y69" s="345"/>
      <c r="Z69" s="345"/>
      <c r="AA69" s="345"/>
      <c r="AB69" s="346"/>
      <c r="AC69" s="349"/>
      <c r="AD69" s="349"/>
      <c r="AE69" s="349"/>
      <c r="AF69" s="349"/>
      <c r="AG69" s="349"/>
      <c r="AH69" s="349"/>
      <c r="AI69" s="349"/>
      <c r="AJ69" s="520" t="str">
        <f>_xll.BLUEMATRIX2("/servlet/excelData",$D69,$B$1,$B69)</f>
        <v>#</v>
      </c>
    </row>
    <row r="70" spans="1:36" outlineLevel="1">
      <c r="A70" s="360" t="s">
        <v>479</v>
      </c>
      <c r="B70" s="360"/>
      <c r="C70" s="469" t="s">
        <v>484</v>
      </c>
      <c r="D70" s="470" t="s">
        <v>485</v>
      </c>
      <c r="E70" s="361"/>
      <c r="F70" s="361"/>
      <c r="G70" s="361"/>
      <c r="H70" s="361"/>
      <c r="I70" s="361"/>
      <c r="J70" s="361"/>
      <c r="K70" s="361"/>
      <c r="L70" s="361"/>
      <c r="M70" s="361"/>
      <c r="N70" s="361"/>
      <c r="O70" s="361"/>
      <c r="P70" s="361"/>
      <c r="Q70" s="361"/>
      <c r="R70" s="361"/>
      <c r="S70" s="345"/>
      <c r="T70" s="345"/>
      <c r="U70" s="345"/>
      <c r="V70" s="345"/>
      <c r="W70" s="345"/>
      <c r="X70" s="345"/>
      <c r="Y70" s="345"/>
      <c r="Z70" s="345"/>
      <c r="AA70" s="345"/>
      <c r="AB70" s="346"/>
      <c r="AC70" s="349"/>
      <c r="AD70" s="349"/>
      <c r="AE70" s="349"/>
      <c r="AF70" s="349"/>
      <c r="AG70" s="349"/>
      <c r="AH70" s="349"/>
      <c r="AI70" s="349"/>
      <c r="AJ70" s="520" t="str">
        <f>_xll.BLUEMATRIX2("/servlet/excelData",$D70,$B$1,$B70)</f>
        <v>#</v>
      </c>
    </row>
    <row r="71" spans="1:36" outlineLevel="1">
      <c r="A71" s="360" t="s">
        <v>479</v>
      </c>
      <c r="B71" s="360"/>
      <c r="C71" s="469" t="s">
        <v>486</v>
      </c>
      <c r="D71" s="471"/>
      <c r="E71" s="361"/>
      <c r="F71" s="361"/>
      <c r="G71" s="361"/>
      <c r="H71" s="361"/>
      <c r="I71" s="361"/>
      <c r="J71" s="361"/>
      <c r="K71" s="361"/>
      <c r="L71" s="361"/>
      <c r="M71" s="361"/>
      <c r="N71" s="361"/>
      <c r="O71" s="361"/>
      <c r="P71" s="361"/>
      <c r="Q71" s="361"/>
      <c r="R71" s="361"/>
      <c r="S71" s="345"/>
      <c r="T71" s="345"/>
      <c r="U71" s="345"/>
      <c r="V71" s="345"/>
      <c r="W71" s="345"/>
      <c r="X71" s="345"/>
      <c r="Y71" s="345"/>
      <c r="Z71" s="345"/>
      <c r="AA71" s="345"/>
      <c r="AB71" s="346"/>
      <c r="AC71" s="349"/>
      <c r="AD71" s="349"/>
      <c r="AE71" s="349"/>
      <c r="AF71" s="349"/>
      <c r="AG71" s="349"/>
      <c r="AH71" s="349"/>
      <c r="AI71" s="349"/>
      <c r="AJ71" s="520" t="str">
        <f>_xll.BLUEMATRIX2("/servlet/excelData",$D71,$B$1,$B71)</f>
        <v>#</v>
      </c>
    </row>
    <row r="72" spans="1:36" outlineLevel="1">
      <c r="A72" s="360" t="s">
        <v>479</v>
      </c>
      <c r="B72" s="360"/>
      <c r="C72" s="469" t="s">
        <v>487</v>
      </c>
      <c r="D72" s="471"/>
      <c r="E72" s="361"/>
      <c r="F72" s="361"/>
      <c r="G72" s="361"/>
      <c r="H72" s="361"/>
      <c r="I72" s="361"/>
      <c r="J72" s="361"/>
      <c r="K72" s="361"/>
      <c r="L72" s="361"/>
      <c r="M72" s="361"/>
      <c r="N72" s="361"/>
      <c r="O72" s="361"/>
      <c r="P72" s="361"/>
      <c r="Q72" s="361"/>
      <c r="R72" s="361"/>
      <c r="S72" s="345"/>
      <c r="T72" s="345"/>
      <c r="U72" s="345"/>
      <c r="V72" s="345"/>
      <c r="W72" s="345"/>
      <c r="X72" s="345"/>
      <c r="Y72" s="345"/>
      <c r="Z72" s="345"/>
      <c r="AA72" s="345"/>
      <c r="AB72" s="346"/>
      <c r="AC72" s="349"/>
      <c r="AD72" s="349"/>
      <c r="AE72" s="349"/>
      <c r="AF72" s="349"/>
      <c r="AG72" s="349"/>
      <c r="AH72" s="349"/>
      <c r="AI72" s="349"/>
      <c r="AJ72" s="520" t="str">
        <f>_xll.BLUEMATRIX2("/servlet/excelData",$D72,$B$1,$B72)</f>
        <v>#</v>
      </c>
    </row>
    <row r="73" spans="1:36" ht="12.95" customHeight="1" outlineLevel="1">
      <c r="A73" s="360"/>
      <c r="B73" s="360"/>
      <c r="C73" s="343"/>
      <c r="D73" s="358"/>
      <c r="E73" s="341"/>
      <c r="F73" s="341"/>
      <c r="G73" s="345"/>
      <c r="H73" s="345"/>
      <c r="I73" s="345"/>
      <c r="J73" s="345"/>
      <c r="K73" s="345"/>
      <c r="L73" s="345"/>
      <c r="M73" s="345"/>
      <c r="N73" s="345"/>
      <c r="O73" s="345"/>
      <c r="P73" s="345"/>
      <c r="Q73" s="345"/>
      <c r="R73" s="345"/>
      <c r="S73" s="345"/>
      <c r="T73" s="345"/>
      <c r="U73" s="345"/>
      <c r="V73" s="345"/>
      <c r="W73" s="345"/>
      <c r="X73" s="345"/>
      <c r="Y73" s="345"/>
      <c r="Z73" s="345"/>
      <c r="AA73" s="345"/>
      <c r="AB73" s="346"/>
      <c r="AC73" s="349"/>
      <c r="AD73" s="349"/>
      <c r="AE73" s="349"/>
      <c r="AF73" s="349"/>
      <c r="AG73" s="349"/>
      <c r="AH73" s="349"/>
      <c r="AI73" s="349"/>
      <c r="AJ73" s="476"/>
    </row>
    <row r="74" spans="1:36" ht="12.95" customHeight="1" outlineLevel="1">
      <c r="A74" s="360" t="s">
        <v>488</v>
      </c>
      <c r="B74" s="360"/>
      <c r="C74" s="350" t="s">
        <v>489</v>
      </c>
      <c r="D74" s="362"/>
      <c r="E74" s="361"/>
      <c r="F74" s="361"/>
      <c r="G74" s="361"/>
      <c r="H74" s="361"/>
      <c r="I74" s="361"/>
      <c r="J74" s="361"/>
      <c r="K74" s="361"/>
      <c r="L74" s="361"/>
      <c r="M74" s="361"/>
      <c r="N74" s="361"/>
      <c r="O74" s="361"/>
      <c r="P74" s="361"/>
      <c r="Q74" s="361"/>
      <c r="R74" s="361"/>
      <c r="S74" s="345"/>
      <c r="T74" s="345"/>
      <c r="U74" s="345"/>
      <c r="V74" s="345"/>
      <c r="W74" s="345"/>
      <c r="X74" s="345"/>
      <c r="Y74" s="345"/>
      <c r="Z74" s="345"/>
      <c r="AA74" s="345"/>
      <c r="AB74" s="346"/>
      <c r="AC74" s="349"/>
      <c r="AD74" s="349"/>
      <c r="AE74" s="349"/>
      <c r="AF74" s="349"/>
      <c r="AG74" s="349"/>
      <c r="AH74" s="349"/>
      <c r="AI74" s="349"/>
      <c r="AJ74" s="520" t="str">
        <f>_xll.BLUEMATRIX2("/servlet/excelData",$D74,$B$1,$B74)</f>
        <v>#</v>
      </c>
    </row>
    <row r="75" spans="1:36" ht="12.95" customHeight="1" outlineLevel="1">
      <c r="A75" s="348"/>
      <c r="B75" s="348"/>
      <c r="C75" s="343"/>
      <c r="D75" s="358"/>
      <c r="E75" s="341"/>
      <c r="F75" s="341"/>
      <c r="G75" s="345"/>
      <c r="H75" s="345"/>
      <c r="I75" s="345"/>
      <c r="J75" s="345"/>
      <c r="K75" s="345"/>
      <c r="L75" s="345"/>
      <c r="M75" s="345"/>
      <c r="N75" s="345"/>
      <c r="O75" s="345"/>
      <c r="P75" s="345"/>
      <c r="Q75" s="345"/>
      <c r="R75" s="345"/>
      <c r="S75" s="345"/>
      <c r="T75" s="345"/>
      <c r="U75" s="345"/>
      <c r="V75" s="345"/>
      <c r="W75" s="345"/>
      <c r="X75" s="345"/>
      <c r="Y75" s="345"/>
      <c r="Z75" s="345"/>
      <c r="AA75" s="345"/>
      <c r="AB75" s="346"/>
      <c r="AC75" s="349"/>
      <c r="AD75" s="349"/>
      <c r="AE75" s="349"/>
      <c r="AF75" s="349"/>
      <c r="AG75" s="349"/>
      <c r="AH75" s="349"/>
      <c r="AI75" s="349"/>
      <c r="AJ75" s="476"/>
    </row>
    <row r="76" spans="1:36" ht="12.95" customHeight="1" outlineLevel="1">
      <c r="A76" s="360" t="s">
        <v>490</v>
      </c>
      <c r="B76" s="360"/>
      <c r="C76" s="343" t="s">
        <v>491</v>
      </c>
      <c r="D76" s="363"/>
      <c r="E76" s="361"/>
      <c r="F76" s="361"/>
      <c r="G76" s="361"/>
      <c r="H76" s="361"/>
      <c r="I76" s="361"/>
      <c r="J76" s="361"/>
      <c r="K76" s="361"/>
      <c r="L76" s="361"/>
      <c r="M76" s="361"/>
      <c r="N76" s="361"/>
      <c r="O76" s="361"/>
      <c r="P76" s="361"/>
      <c r="Q76" s="361"/>
      <c r="R76" s="361"/>
      <c r="S76" s="345"/>
      <c r="T76" s="345"/>
      <c r="U76" s="345"/>
      <c r="V76" s="345"/>
      <c r="W76" s="345"/>
      <c r="X76" s="345"/>
      <c r="Y76" s="345"/>
      <c r="Z76" s="345"/>
      <c r="AA76" s="345"/>
      <c r="AB76" s="346"/>
      <c r="AC76" s="349"/>
      <c r="AD76" s="349"/>
      <c r="AE76" s="349"/>
      <c r="AF76" s="349"/>
      <c r="AG76" s="349"/>
      <c r="AH76" s="349"/>
      <c r="AI76" s="349"/>
      <c r="AJ76" s="476"/>
    </row>
    <row r="77" spans="1:36" ht="12.95" customHeight="1">
      <c r="A77" s="348"/>
      <c r="B77" s="348"/>
      <c r="C77" s="343"/>
      <c r="D77" s="358"/>
      <c r="E77" s="341"/>
      <c r="F77" s="341"/>
      <c r="G77" s="345"/>
      <c r="H77" s="345"/>
      <c r="I77" s="345"/>
      <c r="J77" s="345"/>
      <c r="K77" s="345"/>
      <c r="L77" s="345"/>
      <c r="M77" s="345"/>
      <c r="N77" s="345"/>
      <c r="O77" s="345"/>
      <c r="P77" s="345"/>
      <c r="Q77" s="345"/>
      <c r="R77" s="345"/>
      <c r="S77" s="345"/>
      <c r="T77" s="345"/>
      <c r="U77" s="345"/>
      <c r="V77" s="345"/>
      <c r="W77" s="345"/>
      <c r="X77" s="345"/>
      <c r="Y77" s="345"/>
      <c r="Z77" s="345"/>
      <c r="AA77" s="345"/>
      <c r="AB77" s="346"/>
      <c r="AC77" s="349"/>
      <c r="AD77" s="349"/>
      <c r="AE77" s="349"/>
      <c r="AF77" s="349"/>
      <c r="AG77" s="349"/>
      <c r="AH77" s="349"/>
      <c r="AI77" s="349"/>
      <c r="AJ77" s="476"/>
    </row>
    <row r="78" spans="1:36" ht="12.95" customHeight="1">
      <c r="A78" s="348"/>
      <c r="B78" s="348"/>
      <c r="C78" s="353" t="s">
        <v>492</v>
      </c>
      <c r="D78" s="358"/>
      <c r="E78" s="341"/>
      <c r="F78" s="341"/>
      <c r="G78" s="345"/>
      <c r="H78" s="345"/>
      <c r="I78" s="345"/>
      <c r="J78" s="345"/>
      <c r="K78" s="345"/>
      <c r="L78" s="345"/>
      <c r="M78" s="345"/>
      <c r="N78" s="345"/>
      <c r="O78" s="345"/>
      <c r="P78" s="345"/>
      <c r="Q78" s="345"/>
      <c r="R78" s="345"/>
      <c r="S78" s="345"/>
      <c r="T78" s="345"/>
      <c r="U78" s="345"/>
      <c r="V78" s="345"/>
      <c r="W78" s="345"/>
      <c r="X78" s="345"/>
      <c r="Y78" s="345"/>
      <c r="Z78" s="345"/>
      <c r="AA78" s="345"/>
      <c r="AB78" s="346"/>
      <c r="AC78" s="349"/>
      <c r="AD78" s="349"/>
      <c r="AE78" s="349"/>
      <c r="AF78" s="349"/>
      <c r="AG78" s="349"/>
      <c r="AH78" s="349"/>
      <c r="AI78" s="349"/>
      <c r="AJ78" s="476"/>
    </row>
    <row r="79" spans="1:36" ht="12.95" customHeight="1" outlineLevel="1">
      <c r="A79" s="360" t="s">
        <v>493</v>
      </c>
      <c r="B79" s="360"/>
      <c r="C79" s="350" t="s">
        <v>494</v>
      </c>
      <c r="D79" s="363"/>
      <c r="E79" s="341"/>
      <c r="F79" s="341"/>
      <c r="G79" s="345"/>
      <c r="H79" s="345"/>
      <c r="I79" s="345"/>
      <c r="J79" s="345"/>
      <c r="K79" s="345"/>
      <c r="L79" s="345"/>
      <c r="M79" s="345"/>
      <c r="N79" s="345"/>
      <c r="O79" s="345"/>
      <c r="P79" s="345"/>
      <c r="Q79" s="345"/>
      <c r="R79" s="345"/>
      <c r="S79" s="345"/>
      <c r="T79" s="345"/>
      <c r="U79" s="345"/>
      <c r="V79" s="345"/>
      <c r="W79" s="345"/>
      <c r="X79" s="345"/>
      <c r="Y79" s="345"/>
      <c r="Z79" s="345"/>
      <c r="AA79" s="345"/>
      <c r="AB79" s="346"/>
      <c r="AC79" s="349"/>
      <c r="AD79" s="349"/>
      <c r="AE79" s="349"/>
      <c r="AF79" s="349"/>
      <c r="AG79" s="349"/>
      <c r="AH79" s="349"/>
      <c r="AI79" s="349"/>
      <c r="AJ79" s="476"/>
    </row>
    <row r="80" spans="1:36" ht="12.95" customHeight="1" outlineLevel="1">
      <c r="A80" s="360" t="s">
        <v>495</v>
      </c>
      <c r="B80" s="360"/>
      <c r="C80" s="350" t="s">
        <v>496</v>
      </c>
      <c r="D80" s="363"/>
      <c r="E80" s="341"/>
      <c r="F80" s="341"/>
      <c r="G80" s="345"/>
      <c r="H80" s="345"/>
      <c r="I80" s="345"/>
      <c r="J80" s="345"/>
      <c r="K80" s="345"/>
      <c r="L80" s="345"/>
      <c r="M80" s="345"/>
      <c r="N80" s="345"/>
      <c r="O80" s="345"/>
      <c r="P80" s="345"/>
      <c r="Q80" s="345"/>
      <c r="R80" s="345"/>
      <c r="S80" s="345"/>
      <c r="T80" s="345"/>
      <c r="U80" s="345"/>
      <c r="V80" s="345"/>
      <c r="W80" s="345"/>
      <c r="X80" s="345"/>
      <c r="Y80" s="345"/>
      <c r="Z80" s="345"/>
      <c r="AA80" s="345"/>
      <c r="AB80" s="346"/>
      <c r="AC80" s="349"/>
      <c r="AD80" s="349"/>
      <c r="AE80" s="349"/>
      <c r="AF80" s="349"/>
      <c r="AG80" s="349"/>
      <c r="AH80" s="349"/>
      <c r="AI80" s="349"/>
      <c r="AJ80" s="476"/>
    </row>
    <row r="81" spans="1:36" ht="12.95" customHeight="1" outlineLevel="1">
      <c r="A81" s="360" t="s">
        <v>497</v>
      </c>
      <c r="B81" s="360"/>
      <c r="C81" s="350" t="s">
        <v>498</v>
      </c>
      <c r="D81" s="363"/>
      <c r="E81" s="341"/>
      <c r="F81" s="341"/>
      <c r="G81" s="345"/>
      <c r="H81" s="345"/>
      <c r="I81" s="345"/>
      <c r="J81" s="345"/>
      <c r="K81" s="345"/>
      <c r="L81" s="345"/>
      <c r="M81" s="345"/>
      <c r="N81" s="345"/>
      <c r="O81" s="345"/>
      <c r="P81" s="345"/>
      <c r="Q81" s="345"/>
      <c r="R81" s="345"/>
      <c r="S81" s="345"/>
      <c r="T81" s="345"/>
      <c r="U81" s="345"/>
      <c r="V81" s="345"/>
      <c r="W81" s="345"/>
      <c r="X81" s="345"/>
      <c r="Y81" s="345"/>
      <c r="Z81" s="345"/>
      <c r="AA81" s="345"/>
      <c r="AB81" s="346"/>
      <c r="AC81" s="349"/>
      <c r="AD81" s="349"/>
      <c r="AE81" s="349"/>
      <c r="AF81" s="349"/>
      <c r="AG81" s="349"/>
      <c r="AH81" s="349"/>
      <c r="AI81" s="349"/>
      <c r="AJ81" s="476"/>
    </row>
    <row r="82" spans="1:36" ht="12.95" customHeight="1" outlineLevel="1">
      <c r="A82" s="360" t="s">
        <v>499</v>
      </c>
      <c r="B82" s="360"/>
      <c r="C82" s="350" t="s">
        <v>500</v>
      </c>
      <c r="D82" s="363"/>
      <c r="E82" s="341"/>
      <c r="F82" s="341"/>
      <c r="G82" s="345"/>
      <c r="H82" s="345"/>
      <c r="I82" s="345"/>
      <c r="J82" s="345"/>
      <c r="K82" s="345"/>
      <c r="L82" s="345"/>
      <c r="M82" s="345"/>
      <c r="N82" s="345"/>
      <c r="O82" s="345"/>
      <c r="P82" s="345"/>
      <c r="Q82" s="345"/>
      <c r="R82" s="345"/>
      <c r="S82" s="345"/>
      <c r="T82" s="345"/>
      <c r="U82" s="345"/>
      <c r="V82" s="345"/>
      <c r="W82" s="345"/>
      <c r="X82" s="345"/>
      <c r="Y82" s="345"/>
      <c r="Z82" s="345"/>
      <c r="AA82" s="345"/>
      <c r="AB82" s="346"/>
      <c r="AC82" s="349"/>
      <c r="AD82" s="349"/>
      <c r="AE82" s="349"/>
      <c r="AF82" s="349"/>
      <c r="AG82" s="349"/>
      <c r="AH82" s="349"/>
      <c r="AI82" s="349"/>
      <c r="AJ82" s="476"/>
    </row>
    <row r="83" spans="1:36" ht="12.95" customHeight="1" outlineLevel="1">
      <c r="A83" s="360" t="s">
        <v>501</v>
      </c>
      <c r="B83" s="360"/>
      <c r="C83" s="350" t="s">
        <v>502</v>
      </c>
      <c r="D83" s="363"/>
      <c r="E83" s="341"/>
      <c r="F83" s="341"/>
      <c r="G83" s="345"/>
      <c r="H83" s="345"/>
      <c r="I83" s="345"/>
      <c r="J83" s="345"/>
      <c r="K83" s="345"/>
      <c r="L83" s="345"/>
      <c r="M83" s="345"/>
      <c r="N83" s="345"/>
      <c r="O83" s="345"/>
      <c r="P83" s="345"/>
      <c r="Q83" s="345"/>
      <c r="R83" s="345"/>
      <c r="S83" s="345"/>
      <c r="T83" s="345"/>
      <c r="U83" s="345"/>
      <c r="V83" s="345"/>
      <c r="W83" s="345"/>
      <c r="X83" s="345"/>
      <c r="Y83" s="345"/>
      <c r="Z83" s="345"/>
      <c r="AA83" s="345"/>
      <c r="AB83" s="346"/>
      <c r="AC83" s="349"/>
      <c r="AD83" s="349"/>
      <c r="AE83" s="349"/>
      <c r="AF83" s="349"/>
      <c r="AG83" s="349"/>
      <c r="AH83" s="349"/>
      <c r="AI83" s="349"/>
      <c r="AJ83" s="476"/>
    </row>
    <row r="84" spans="1:36" ht="12.95" customHeight="1" outlineLevel="1">
      <c r="A84" s="360" t="s">
        <v>503</v>
      </c>
      <c r="B84" s="360"/>
      <c r="C84" s="350" t="s">
        <v>504</v>
      </c>
      <c r="D84" s="363"/>
      <c r="E84" s="341"/>
      <c r="F84" s="341"/>
      <c r="G84" s="345"/>
      <c r="H84" s="345"/>
      <c r="I84" s="345"/>
      <c r="J84" s="345"/>
      <c r="K84" s="345"/>
      <c r="L84" s="345"/>
      <c r="M84" s="345"/>
      <c r="N84" s="345"/>
      <c r="O84" s="345"/>
      <c r="P84" s="345"/>
      <c r="Q84" s="345"/>
      <c r="R84" s="345"/>
      <c r="S84" s="345"/>
      <c r="T84" s="345"/>
      <c r="U84" s="345"/>
      <c r="V84" s="345"/>
      <c r="W84" s="345"/>
      <c r="X84" s="345"/>
      <c r="Y84" s="345"/>
      <c r="Z84" s="345"/>
      <c r="AA84" s="345"/>
      <c r="AB84" s="346"/>
      <c r="AC84" s="349"/>
      <c r="AD84" s="349"/>
      <c r="AE84" s="349"/>
      <c r="AF84" s="349"/>
      <c r="AG84" s="349"/>
      <c r="AH84" s="349"/>
      <c r="AI84" s="349"/>
      <c r="AJ84" s="476"/>
    </row>
    <row r="85" spans="1:36" ht="12.95" customHeight="1" outlineLevel="1">
      <c r="A85" s="360" t="s">
        <v>505</v>
      </c>
      <c r="B85" s="360"/>
      <c r="C85" s="350" t="s">
        <v>506</v>
      </c>
      <c r="D85" s="363"/>
      <c r="E85" s="341"/>
      <c r="F85" s="341"/>
      <c r="G85" s="345"/>
      <c r="H85" s="345"/>
      <c r="I85" s="345"/>
      <c r="J85" s="345"/>
      <c r="K85" s="345"/>
      <c r="L85" s="345"/>
      <c r="M85" s="345"/>
      <c r="N85" s="345"/>
      <c r="O85" s="345"/>
      <c r="P85" s="345"/>
      <c r="Q85" s="345"/>
      <c r="R85" s="345"/>
      <c r="S85" s="345"/>
      <c r="T85" s="345"/>
      <c r="U85" s="345"/>
      <c r="V85" s="345"/>
      <c r="W85" s="345"/>
      <c r="X85" s="345"/>
      <c r="Y85" s="345"/>
      <c r="Z85" s="345"/>
      <c r="AA85" s="345"/>
      <c r="AB85" s="346"/>
      <c r="AC85" s="349"/>
      <c r="AD85" s="349"/>
      <c r="AE85" s="349"/>
      <c r="AF85" s="349"/>
      <c r="AG85" s="349"/>
      <c r="AH85" s="349"/>
      <c r="AI85" s="349"/>
      <c r="AJ85" s="476"/>
    </row>
    <row r="86" spans="1:36" ht="12.95" customHeight="1" outlineLevel="1">
      <c r="A86" s="360" t="s">
        <v>507</v>
      </c>
      <c r="B86" s="360"/>
      <c r="C86" s="350" t="s">
        <v>508</v>
      </c>
      <c r="D86" s="363"/>
      <c r="E86" s="341"/>
      <c r="F86" s="341"/>
      <c r="G86" s="345"/>
      <c r="H86" s="345"/>
      <c r="I86" s="345"/>
      <c r="J86" s="345"/>
      <c r="K86" s="345"/>
      <c r="L86" s="345"/>
      <c r="M86" s="345"/>
      <c r="N86" s="345"/>
      <c r="O86" s="345"/>
      <c r="P86" s="345"/>
      <c r="Q86" s="345"/>
      <c r="R86" s="345"/>
      <c r="S86" s="345"/>
      <c r="T86" s="345"/>
      <c r="U86" s="345"/>
      <c r="V86" s="345"/>
      <c r="W86" s="345"/>
      <c r="X86" s="345"/>
      <c r="Y86" s="345"/>
      <c r="Z86" s="345"/>
      <c r="AA86" s="345"/>
      <c r="AB86" s="346"/>
      <c r="AC86" s="349"/>
      <c r="AD86" s="349"/>
      <c r="AE86" s="349"/>
      <c r="AF86" s="349"/>
      <c r="AG86" s="349"/>
      <c r="AH86" s="349"/>
      <c r="AI86" s="349"/>
      <c r="AJ86" s="476"/>
    </row>
    <row r="87" spans="1:36" ht="12.95" customHeight="1" outlineLevel="1">
      <c r="A87" s="360" t="s">
        <v>509</v>
      </c>
      <c r="B87" s="360"/>
      <c r="C87" s="350" t="s">
        <v>510</v>
      </c>
      <c r="D87" s="363"/>
      <c r="E87" s="341"/>
      <c r="F87" s="341"/>
      <c r="G87" s="345"/>
      <c r="H87" s="345"/>
      <c r="I87" s="345"/>
      <c r="J87" s="345"/>
      <c r="K87" s="345"/>
      <c r="L87" s="345"/>
      <c r="M87" s="345"/>
      <c r="N87" s="345"/>
      <c r="O87" s="345"/>
      <c r="P87" s="345"/>
      <c r="Q87" s="345"/>
      <c r="R87" s="345"/>
      <c r="S87" s="345"/>
      <c r="T87" s="345"/>
      <c r="U87" s="345"/>
      <c r="V87" s="345"/>
      <c r="W87" s="345"/>
      <c r="X87" s="345"/>
      <c r="Y87" s="345"/>
      <c r="Z87" s="345"/>
      <c r="AA87" s="345"/>
      <c r="AB87" s="346"/>
      <c r="AC87" s="349"/>
      <c r="AD87" s="349"/>
      <c r="AE87" s="349"/>
      <c r="AF87" s="349"/>
      <c r="AG87" s="349"/>
      <c r="AH87" s="349"/>
      <c r="AI87" s="349"/>
      <c r="AJ87" s="476"/>
    </row>
    <row r="88" spans="1:36" ht="12.95" customHeight="1" outlineLevel="1">
      <c r="A88" s="360" t="s">
        <v>511</v>
      </c>
      <c r="B88" s="360"/>
      <c r="C88" s="350" t="s">
        <v>512</v>
      </c>
      <c r="D88" s="363"/>
      <c r="E88" s="341"/>
      <c r="F88" s="341"/>
      <c r="G88" s="345"/>
      <c r="H88" s="345"/>
      <c r="I88" s="345"/>
      <c r="J88" s="345"/>
      <c r="K88" s="345"/>
      <c r="L88" s="345"/>
      <c r="M88" s="345"/>
      <c r="N88" s="345"/>
      <c r="O88" s="345"/>
      <c r="P88" s="345"/>
      <c r="Q88" s="345"/>
      <c r="R88" s="345"/>
      <c r="S88" s="345"/>
      <c r="T88" s="345"/>
      <c r="U88" s="345"/>
      <c r="V88" s="345"/>
      <c r="W88" s="345"/>
      <c r="X88" s="345"/>
      <c r="Y88" s="345"/>
      <c r="Z88" s="345"/>
      <c r="AA88" s="345"/>
      <c r="AB88" s="346"/>
      <c r="AC88" s="349"/>
      <c r="AD88" s="349"/>
      <c r="AE88" s="349"/>
      <c r="AF88" s="349"/>
      <c r="AG88" s="349"/>
      <c r="AH88" s="349"/>
      <c r="AI88" s="349"/>
      <c r="AJ88" s="476"/>
    </row>
    <row r="89" spans="1:36" ht="12.95" customHeight="1" outlineLevel="1">
      <c r="A89" s="348"/>
      <c r="B89" s="348"/>
      <c r="C89" s="350"/>
      <c r="D89" s="358"/>
      <c r="E89" s="341"/>
      <c r="F89" s="341"/>
      <c r="G89" s="345"/>
      <c r="H89" s="345"/>
      <c r="I89" s="345"/>
      <c r="J89" s="345"/>
      <c r="K89" s="345"/>
      <c r="L89" s="345"/>
      <c r="M89" s="345"/>
      <c r="N89" s="345"/>
      <c r="O89" s="345"/>
      <c r="P89" s="345"/>
      <c r="Q89" s="345"/>
      <c r="R89" s="345"/>
      <c r="S89" s="345"/>
      <c r="T89" s="345"/>
      <c r="U89" s="345"/>
      <c r="V89" s="345"/>
      <c r="W89" s="345"/>
      <c r="X89" s="345"/>
      <c r="Y89" s="345"/>
      <c r="Z89" s="345"/>
      <c r="AA89" s="345"/>
      <c r="AB89" s="346"/>
      <c r="AC89" s="349"/>
      <c r="AD89" s="349"/>
      <c r="AE89" s="349"/>
      <c r="AF89" s="349"/>
      <c r="AG89" s="349"/>
      <c r="AH89" s="349"/>
      <c r="AI89" s="349"/>
      <c r="AJ89" s="476"/>
    </row>
    <row r="90" spans="1:36" ht="12.95" customHeight="1" outlineLevel="1">
      <c r="A90" s="348"/>
      <c r="B90" s="348"/>
      <c r="C90" s="364" t="s">
        <v>513</v>
      </c>
      <c r="D90" s="358"/>
      <c r="E90" s="341"/>
      <c r="F90" s="341"/>
      <c r="G90" s="345"/>
      <c r="H90" s="345"/>
      <c r="I90" s="345"/>
      <c r="J90" s="345"/>
      <c r="K90" s="345"/>
      <c r="L90" s="345"/>
      <c r="M90" s="345"/>
      <c r="N90" s="345"/>
      <c r="O90" s="345"/>
      <c r="P90" s="345"/>
      <c r="Q90" s="345"/>
      <c r="R90" s="345"/>
      <c r="S90" s="345"/>
      <c r="T90" s="345"/>
      <c r="U90" s="345"/>
      <c r="V90" s="345"/>
      <c r="W90" s="345"/>
      <c r="X90" s="345"/>
      <c r="Y90" s="345"/>
      <c r="Z90" s="345"/>
      <c r="AA90" s="345"/>
      <c r="AB90" s="346"/>
      <c r="AC90" s="349"/>
      <c r="AD90" s="349"/>
      <c r="AE90" s="349"/>
      <c r="AF90" s="349"/>
      <c r="AG90" s="349"/>
      <c r="AH90" s="349"/>
      <c r="AI90" s="349"/>
      <c r="AJ90" s="476"/>
    </row>
    <row r="91" spans="1:36" ht="12.95" customHeight="1" outlineLevel="1">
      <c r="A91" s="360" t="s">
        <v>514</v>
      </c>
      <c r="B91" s="360"/>
      <c r="C91" s="350" t="s">
        <v>515</v>
      </c>
      <c r="D91" s="365"/>
      <c r="E91" s="341"/>
      <c r="F91" s="341"/>
      <c r="G91" s="345"/>
      <c r="H91" s="345"/>
      <c r="I91" s="345"/>
      <c r="J91" s="345"/>
      <c r="K91" s="345"/>
      <c r="L91" s="345"/>
      <c r="M91" s="345"/>
      <c r="N91" s="345"/>
      <c r="O91" s="345"/>
      <c r="P91" s="345"/>
      <c r="Q91" s="345"/>
      <c r="R91" s="345"/>
      <c r="S91" s="345"/>
      <c r="T91" s="345"/>
      <c r="U91" s="345"/>
      <c r="V91" s="345"/>
      <c r="W91" s="345"/>
      <c r="X91" s="345"/>
      <c r="Y91" s="345"/>
      <c r="Z91" s="345"/>
      <c r="AA91" s="345"/>
      <c r="AB91" s="346"/>
      <c r="AC91" s="349"/>
      <c r="AD91" s="349"/>
      <c r="AE91" s="349"/>
      <c r="AF91" s="349"/>
      <c r="AG91" s="349"/>
      <c r="AH91" s="349"/>
      <c r="AI91" s="349"/>
      <c r="AJ91" s="476"/>
    </row>
    <row r="92" spans="1:36" ht="12.95" customHeight="1" outlineLevel="1">
      <c r="A92" s="360" t="s">
        <v>516</v>
      </c>
      <c r="B92" s="360"/>
      <c r="C92" s="350" t="s">
        <v>517</v>
      </c>
      <c r="D92" s="365"/>
      <c r="E92" s="341"/>
      <c r="F92" s="341"/>
      <c r="G92" s="345"/>
      <c r="H92" s="345"/>
      <c r="I92" s="345"/>
      <c r="J92" s="345"/>
      <c r="K92" s="345"/>
      <c r="L92" s="345"/>
      <c r="M92" s="345"/>
      <c r="N92" s="345"/>
      <c r="O92" s="345"/>
      <c r="P92" s="345"/>
      <c r="Q92" s="345"/>
      <c r="R92" s="345"/>
      <c r="S92" s="345"/>
      <c r="T92" s="345"/>
      <c r="U92" s="345"/>
      <c r="V92" s="345"/>
      <c r="W92" s="345"/>
      <c r="X92" s="345"/>
      <c r="Y92" s="345"/>
      <c r="Z92" s="345"/>
      <c r="AA92" s="345"/>
      <c r="AB92" s="346"/>
      <c r="AC92" s="349"/>
      <c r="AD92" s="349"/>
      <c r="AE92" s="349"/>
      <c r="AF92" s="349"/>
      <c r="AG92" s="349"/>
      <c r="AH92" s="349"/>
      <c r="AI92" s="349"/>
      <c r="AJ92" s="476"/>
    </row>
    <row r="93" spans="1:36" ht="12.95" customHeight="1" outlineLevel="1">
      <c r="A93" s="360" t="s">
        <v>518</v>
      </c>
      <c r="B93" s="360"/>
      <c r="C93" s="350" t="s">
        <v>519</v>
      </c>
      <c r="D93" s="365"/>
      <c r="E93" s="341"/>
      <c r="F93" s="341"/>
      <c r="G93" s="345"/>
      <c r="H93" s="345"/>
      <c r="I93" s="345"/>
      <c r="J93" s="345"/>
      <c r="K93" s="345"/>
      <c r="L93" s="345"/>
      <c r="M93" s="345"/>
      <c r="N93" s="345"/>
      <c r="O93" s="345"/>
      <c r="P93" s="345"/>
      <c r="Q93" s="345"/>
      <c r="R93" s="345"/>
      <c r="S93" s="345"/>
      <c r="T93" s="345"/>
      <c r="U93" s="345"/>
      <c r="V93" s="345"/>
      <c r="W93" s="345"/>
      <c r="X93" s="345"/>
      <c r="Y93" s="345"/>
      <c r="Z93" s="345"/>
      <c r="AA93" s="345"/>
      <c r="AB93" s="346"/>
      <c r="AC93" s="349"/>
      <c r="AD93" s="349"/>
      <c r="AE93" s="349"/>
      <c r="AF93" s="349"/>
      <c r="AG93" s="349"/>
      <c r="AH93" s="349"/>
      <c r="AI93" s="349"/>
      <c r="AJ93" s="476"/>
    </row>
    <row r="94" spans="1:36" ht="12.95" customHeight="1" outlineLevel="1">
      <c r="A94" s="360" t="s">
        <v>520</v>
      </c>
      <c r="B94" s="360"/>
      <c r="C94" s="350" t="s">
        <v>521</v>
      </c>
      <c r="D94" s="365"/>
      <c r="E94" s="341"/>
      <c r="F94" s="341"/>
      <c r="G94" s="345"/>
      <c r="H94" s="345"/>
      <c r="I94" s="345"/>
      <c r="J94" s="345"/>
      <c r="K94" s="345"/>
      <c r="L94" s="345"/>
      <c r="M94" s="345"/>
      <c r="N94" s="345"/>
      <c r="O94" s="345"/>
      <c r="P94" s="345"/>
      <c r="Q94" s="345"/>
      <c r="R94" s="345"/>
      <c r="S94" s="345"/>
      <c r="T94" s="345"/>
      <c r="U94" s="345"/>
      <c r="V94" s="345"/>
      <c r="W94" s="345"/>
      <c r="X94" s="345"/>
      <c r="Y94" s="345"/>
      <c r="Z94" s="345"/>
      <c r="AA94" s="345"/>
      <c r="AB94" s="346"/>
      <c r="AC94" s="349"/>
      <c r="AD94" s="349"/>
      <c r="AE94" s="349"/>
      <c r="AF94" s="349"/>
      <c r="AG94" s="349"/>
      <c r="AH94" s="349"/>
      <c r="AI94" s="349"/>
      <c r="AJ94" s="476"/>
    </row>
    <row r="95" spans="1:36" ht="12.95" customHeight="1" outlineLevel="1">
      <c r="A95" s="360" t="s">
        <v>522</v>
      </c>
      <c r="B95" s="360"/>
      <c r="C95" s="350" t="s">
        <v>523</v>
      </c>
      <c r="D95" s="365"/>
      <c r="E95" s="341"/>
      <c r="F95" s="341"/>
      <c r="G95" s="345"/>
      <c r="H95" s="345"/>
      <c r="I95" s="345"/>
      <c r="J95" s="345"/>
      <c r="K95" s="345"/>
      <c r="L95" s="345"/>
      <c r="M95" s="345"/>
      <c r="N95" s="345"/>
      <c r="O95" s="345"/>
      <c r="P95" s="345"/>
      <c r="Q95" s="345"/>
      <c r="R95" s="345"/>
      <c r="S95" s="345"/>
      <c r="T95" s="345"/>
      <c r="U95" s="345"/>
      <c r="V95" s="345"/>
      <c r="W95" s="345"/>
      <c r="X95" s="345"/>
      <c r="Y95" s="345"/>
      <c r="Z95" s="345"/>
      <c r="AA95" s="345"/>
      <c r="AB95" s="346"/>
      <c r="AC95" s="349"/>
      <c r="AD95" s="349"/>
      <c r="AE95" s="349"/>
      <c r="AF95" s="349"/>
      <c r="AG95" s="349"/>
      <c r="AH95" s="349"/>
      <c r="AI95" s="349"/>
      <c r="AJ95" s="476"/>
    </row>
    <row r="96" spans="1:36" ht="12.95" customHeight="1" outlineLevel="1">
      <c r="A96" s="360" t="s">
        <v>524</v>
      </c>
      <c r="B96" s="360"/>
      <c r="C96" s="350" t="s">
        <v>525</v>
      </c>
      <c r="D96" s="365"/>
      <c r="E96" s="341"/>
      <c r="F96" s="341"/>
      <c r="G96" s="345"/>
      <c r="H96" s="345"/>
      <c r="I96" s="345"/>
      <c r="J96" s="345"/>
      <c r="K96" s="345"/>
      <c r="L96" s="345"/>
      <c r="M96" s="345"/>
      <c r="N96" s="345"/>
      <c r="O96" s="345"/>
      <c r="P96" s="345"/>
      <c r="Q96" s="345"/>
      <c r="R96" s="345"/>
      <c r="S96" s="345"/>
      <c r="T96" s="345"/>
      <c r="U96" s="345"/>
      <c r="V96" s="345"/>
      <c r="W96" s="345"/>
      <c r="X96" s="345"/>
      <c r="Y96" s="345"/>
      <c r="Z96" s="345"/>
      <c r="AA96" s="345"/>
      <c r="AB96" s="346"/>
      <c r="AC96" s="349"/>
      <c r="AD96" s="349"/>
      <c r="AE96" s="349"/>
      <c r="AF96" s="349"/>
      <c r="AG96" s="349"/>
      <c r="AH96" s="349"/>
      <c r="AI96" s="349"/>
      <c r="AJ96" s="476"/>
    </row>
    <row r="97" spans="1:36" ht="12.95" customHeight="1" outlineLevel="1">
      <c r="A97" s="360" t="s">
        <v>526</v>
      </c>
      <c r="B97" s="360"/>
      <c r="C97" s="350" t="s">
        <v>527</v>
      </c>
      <c r="D97" s="365"/>
      <c r="E97" s="341"/>
      <c r="F97" s="341"/>
      <c r="G97" s="345"/>
      <c r="H97" s="345"/>
      <c r="I97" s="345"/>
      <c r="J97" s="345"/>
      <c r="K97" s="345"/>
      <c r="L97" s="345"/>
      <c r="M97" s="345"/>
      <c r="N97" s="345"/>
      <c r="O97" s="345"/>
      <c r="P97" s="345"/>
      <c r="Q97" s="345"/>
      <c r="R97" s="345"/>
      <c r="S97" s="345"/>
      <c r="T97" s="345"/>
      <c r="U97" s="345"/>
      <c r="V97" s="345"/>
      <c r="W97" s="345"/>
      <c r="X97" s="345"/>
      <c r="Y97" s="345"/>
      <c r="Z97" s="345"/>
      <c r="AA97" s="345"/>
      <c r="AB97" s="346"/>
      <c r="AC97" s="349"/>
      <c r="AD97" s="349"/>
      <c r="AE97" s="349"/>
      <c r="AF97" s="349"/>
      <c r="AG97" s="349"/>
      <c r="AH97" s="349"/>
      <c r="AI97" s="349"/>
      <c r="AJ97" s="476"/>
    </row>
    <row r="98" spans="1:36" ht="12.95" customHeight="1" outlineLevel="1">
      <c r="A98" s="360" t="s">
        <v>528</v>
      </c>
      <c r="B98" s="360"/>
      <c r="C98" s="350" t="s">
        <v>529</v>
      </c>
      <c r="D98" s="365"/>
      <c r="E98" s="341"/>
      <c r="F98" s="341"/>
      <c r="G98" s="345"/>
      <c r="H98" s="345"/>
      <c r="I98" s="345"/>
      <c r="J98" s="345"/>
      <c r="K98" s="345"/>
      <c r="L98" s="345"/>
      <c r="M98" s="345"/>
      <c r="N98" s="345"/>
      <c r="O98" s="345"/>
      <c r="P98" s="345"/>
      <c r="Q98" s="345"/>
      <c r="R98" s="345"/>
      <c r="S98" s="345"/>
      <c r="T98" s="345"/>
      <c r="U98" s="345"/>
      <c r="V98" s="345"/>
      <c r="W98" s="345"/>
      <c r="X98" s="345"/>
      <c r="Y98" s="345"/>
      <c r="Z98" s="345"/>
      <c r="AA98" s="345"/>
      <c r="AB98" s="346"/>
      <c r="AC98" s="349"/>
      <c r="AD98" s="349"/>
      <c r="AE98" s="349"/>
      <c r="AF98" s="349"/>
      <c r="AG98" s="349"/>
      <c r="AH98" s="349"/>
      <c r="AI98" s="349"/>
      <c r="AJ98" s="476"/>
    </row>
    <row r="99" spans="1:36" ht="12.95" customHeight="1" outlineLevel="1">
      <c r="A99" s="360" t="s">
        <v>530</v>
      </c>
      <c r="B99" s="360"/>
      <c r="C99" s="350" t="s">
        <v>531</v>
      </c>
      <c r="D99" s="365"/>
      <c r="E99" s="341"/>
      <c r="F99" s="341"/>
      <c r="G99" s="345"/>
      <c r="H99" s="345"/>
      <c r="I99" s="345"/>
      <c r="J99" s="345"/>
      <c r="K99" s="345"/>
      <c r="L99" s="345"/>
      <c r="M99" s="345"/>
      <c r="N99" s="345"/>
      <c r="O99" s="345"/>
      <c r="P99" s="345"/>
      <c r="Q99" s="345"/>
      <c r="R99" s="345"/>
      <c r="S99" s="345"/>
      <c r="T99" s="345"/>
      <c r="U99" s="345"/>
      <c r="V99" s="345"/>
      <c r="W99" s="345"/>
      <c r="X99" s="345"/>
      <c r="Y99" s="345"/>
      <c r="Z99" s="345"/>
      <c r="AA99" s="345"/>
      <c r="AB99" s="346"/>
      <c r="AC99" s="349"/>
      <c r="AD99" s="349"/>
      <c r="AE99" s="349"/>
      <c r="AF99" s="349"/>
      <c r="AG99" s="349"/>
      <c r="AH99" s="349"/>
      <c r="AI99" s="349"/>
      <c r="AJ99" s="476"/>
    </row>
    <row r="100" spans="1:36" ht="12.95" customHeight="1" outlineLevel="1">
      <c r="A100" s="360" t="s">
        <v>532</v>
      </c>
      <c r="B100" s="360"/>
      <c r="C100" s="350" t="s">
        <v>533</v>
      </c>
      <c r="D100" s="365"/>
      <c r="E100" s="341"/>
      <c r="F100" s="341"/>
      <c r="G100" s="345"/>
      <c r="H100" s="345"/>
      <c r="I100" s="345"/>
      <c r="J100" s="345"/>
      <c r="K100" s="345"/>
      <c r="L100" s="345"/>
      <c r="M100" s="345"/>
      <c r="N100" s="345"/>
      <c r="O100" s="345"/>
      <c r="P100" s="345"/>
      <c r="Q100" s="345"/>
      <c r="R100" s="345"/>
      <c r="S100" s="345"/>
      <c r="T100" s="345"/>
      <c r="U100" s="345"/>
      <c r="V100" s="345"/>
      <c r="W100" s="345"/>
      <c r="X100" s="345"/>
      <c r="Y100" s="345"/>
      <c r="Z100" s="345"/>
      <c r="AA100" s="345"/>
      <c r="AB100" s="346"/>
      <c r="AC100" s="349"/>
      <c r="AD100" s="349"/>
      <c r="AE100" s="349"/>
      <c r="AF100" s="349"/>
      <c r="AG100" s="349"/>
      <c r="AH100" s="349"/>
      <c r="AI100" s="349"/>
      <c r="AJ100" s="476"/>
    </row>
    <row r="101" spans="1:36" ht="12.95" customHeight="1">
      <c r="A101" s="360"/>
      <c r="B101" s="360"/>
      <c r="C101" s="350"/>
      <c r="D101" s="341"/>
      <c r="E101" s="341"/>
      <c r="F101" s="341"/>
      <c r="G101" s="345"/>
      <c r="H101" s="345"/>
      <c r="I101" s="345"/>
      <c r="J101" s="345"/>
      <c r="K101" s="345"/>
      <c r="L101" s="345"/>
      <c r="M101" s="345"/>
      <c r="N101" s="345"/>
      <c r="O101" s="345"/>
      <c r="P101" s="345"/>
      <c r="Q101" s="345"/>
      <c r="R101" s="345"/>
      <c r="S101" s="345"/>
      <c r="T101" s="345"/>
      <c r="U101" s="345"/>
      <c r="V101" s="345"/>
      <c r="W101" s="345"/>
      <c r="X101" s="345"/>
      <c r="Y101" s="345"/>
      <c r="Z101" s="345"/>
      <c r="AA101" s="345"/>
      <c r="AB101" s="346"/>
      <c r="AC101" s="349"/>
      <c r="AD101" s="349"/>
      <c r="AE101" s="349"/>
      <c r="AF101" s="349"/>
      <c r="AG101" s="349"/>
      <c r="AH101" s="349"/>
      <c r="AI101" s="349"/>
      <c r="AJ101" s="476"/>
    </row>
    <row r="102" spans="1:36" ht="12.95" customHeight="1">
      <c r="A102" s="360"/>
      <c r="B102" s="360"/>
      <c r="C102" s="366" t="s">
        <v>534</v>
      </c>
      <c r="D102" s="341"/>
      <c r="E102" s="341"/>
      <c r="F102" s="341"/>
      <c r="G102" s="345"/>
      <c r="H102" s="345"/>
      <c r="I102" s="345"/>
      <c r="J102" s="345"/>
      <c r="K102" s="345"/>
      <c r="L102" s="345"/>
      <c r="M102" s="345"/>
      <c r="N102" s="345"/>
      <c r="O102" s="345"/>
      <c r="P102" s="345"/>
      <c r="Q102" s="345"/>
      <c r="R102" s="345"/>
      <c r="S102" s="345"/>
      <c r="T102" s="345"/>
      <c r="U102" s="345"/>
      <c r="V102" s="345"/>
      <c r="W102" s="345"/>
      <c r="X102" s="345"/>
      <c r="Y102" s="345"/>
      <c r="Z102" s="345"/>
      <c r="AA102" s="345"/>
      <c r="AB102" s="346"/>
      <c r="AC102" s="349"/>
      <c r="AD102" s="349"/>
      <c r="AE102" s="349"/>
      <c r="AF102" s="349"/>
      <c r="AG102" s="349"/>
      <c r="AH102" s="349"/>
      <c r="AI102" s="349"/>
      <c r="AJ102" s="476"/>
    </row>
    <row r="103" spans="1:36" ht="12.95" customHeight="1" outlineLevel="1">
      <c r="A103" s="360" t="s">
        <v>535</v>
      </c>
      <c r="B103" s="360"/>
      <c r="C103" s="350" t="s">
        <v>536</v>
      </c>
      <c r="D103" s="363"/>
      <c r="E103" s="341"/>
      <c r="F103" s="341"/>
      <c r="G103" s="345"/>
      <c r="H103" s="345"/>
      <c r="I103" s="345"/>
      <c r="J103" s="345"/>
      <c r="K103" s="345"/>
      <c r="L103" s="345"/>
      <c r="M103" s="345"/>
      <c r="N103" s="345"/>
      <c r="O103" s="345"/>
      <c r="P103" s="345"/>
      <c r="Q103" s="345"/>
      <c r="R103" s="345"/>
      <c r="S103" s="345"/>
      <c r="T103" s="345"/>
      <c r="U103" s="345"/>
      <c r="V103" s="345"/>
      <c r="W103" s="345"/>
      <c r="X103" s="345"/>
      <c r="Y103" s="345"/>
      <c r="Z103" s="345"/>
      <c r="AA103" s="345"/>
      <c r="AB103" s="346"/>
      <c r="AC103" s="349"/>
      <c r="AD103" s="349"/>
      <c r="AE103" s="349"/>
      <c r="AF103" s="349"/>
      <c r="AG103" s="349"/>
      <c r="AH103" s="349"/>
      <c r="AI103" s="349"/>
      <c r="AJ103" s="476"/>
    </row>
    <row r="104" spans="1:36" ht="12.95" customHeight="1" outlineLevel="1">
      <c r="A104" s="360" t="s">
        <v>537</v>
      </c>
      <c r="B104" s="360"/>
      <c r="C104" s="350" t="s">
        <v>538</v>
      </c>
      <c r="D104" s="363"/>
      <c r="E104" s="341"/>
      <c r="F104" s="341"/>
      <c r="G104" s="345"/>
      <c r="H104" s="345"/>
      <c r="I104" s="345"/>
      <c r="J104" s="345"/>
      <c r="K104" s="345"/>
      <c r="L104" s="345"/>
      <c r="M104" s="345"/>
      <c r="N104" s="345"/>
      <c r="O104" s="345"/>
      <c r="P104" s="345"/>
      <c r="Q104" s="345"/>
      <c r="R104" s="345"/>
      <c r="S104" s="345"/>
      <c r="T104" s="345"/>
      <c r="U104" s="345"/>
      <c r="V104" s="345"/>
      <c r="W104" s="345"/>
      <c r="X104" s="345"/>
      <c r="Y104" s="345"/>
      <c r="Z104" s="345"/>
      <c r="AA104" s="345"/>
      <c r="AB104" s="346"/>
      <c r="AC104" s="349"/>
      <c r="AD104" s="349"/>
      <c r="AE104" s="349"/>
      <c r="AF104" s="349"/>
      <c r="AG104" s="349"/>
      <c r="AH104" s="349"/>
      <c r="AI104" s="349"/>
      <c r="AJ104" s="476"/>
    </row>
    <row r="105" spans="1:36" ht="12.95" customHeight="1" outlineLevel="1">
      <c r="A105" s="360" t="s">
        <v>539</v>
      </c>
      <c r="B105" s="360"/>
      <c r="C105" s="350" t="s">
        <v>540</v>
      </c>
      <c r="D105" s="363"/>
      <c r="E105" s="341"/>
      <c r="F105" s="341"/>
      <c r="G105" s="345"/>
      <c r="H105" s="345"/>
      <c r="I105" s="345"/>
      <c r="J105" s="345"/>
      <c r="K105" s="345"/>
      <c r="L105" s="345"/>
      <c r="M105" s="345"/>
      <c r="N105" s="345"/>
      <c r="O105" s="345"/>
      <c r="P105" s="345"/>
      <c r="Q105" s="345"/>
      <c r="R105" s="345"/>
      <c r="S105" s="345"/>
      <c r="T105" s="345"/>
      <c r="U105" s="345"/>
      <c r="V105" s="345"/>
      <c r="W105" s="345"/>
      <c r="X105" s="345"/>
      <c r="Y105" s="345"/>
      <c r="Z105" s="345"/>
      <c r="AA105" s="345"/>
      <c r="AB105" s="346"/>
      <c r="AC105" s="349"/>
      <c r="AD105" s="349"/>
      <c r="AE105" s="349"/>
      <c r="AF105" s="349"/>
      <c r="AG105" s="349"/>
      <c r="AH105" s="349"/>
      <c r="AI105" s="349"/>
      <c r="AJ105" s="476"/>
    </row>
    <row r="106" spans="1:36" ht="12.95" customHeight="1" outlineLevel="1">
      <c r="A106" s="360" t="s">
        <v>541</v>
      </c>
      <c r="B106" s="360"/>
      <c r="C106" s="350" t="s">
        <v>542</v>
      </c>
      <c r="D106" s="363"/>
      <c r="E106" s="341"/>
      <c r="F106" s="341"/>
      <c r="G106" s="345"/>
      <c r="H106" s="345"/>
      <c r="I106" s="345"/>
      <c r="J106" s="345"/>
      <c r="K106" s="345"/>
      <c r="L106" s="345"/>
      <c r="M106" s="345"/>
      <c r="N106" s="345"/>
      <c r="O106" s="345"/>
      <c r="P106" s="345"/>
      <c r="Q106" s="345"/>
      <c r="R106" s="345"/>
      <c r="S106" s="345"/>
      <c r="T106" s="345"/>
      <c r="U106" s="345"/>
      <c r="V106" s="345"/>
      <c r="W106" s="345"/>
      <c r="X106" s="345"/>
      <c r="Y106" s="345"/>
      <c r="Z106" s="345"/>
      <c r="AA106" s="345"/>
      <c r="AB106" s="346"/>
      <c r="AC106" s="349"/>
      <c r="AD106" s="349"/>
      <c r="AE106" s="349"/>
      <c r="AF106" s="349"/>
      <c r="AG106" s="349"/>
      <c r="AH106" s="349"/>
      <c r="AI106" s="349"/>
      <c r="AJ106" s="476"/>
    </row>
    <row r="107" spans="1:36" ht="12.95" customHeight="1" outlineLevel="1">
      <c r="A107" s="360" t="s">
        <v>543</v>
      </c>
      <c r="B107" s="360"/>
      <c r="C107" s="350" t="s">
        <v>544</v>
      </c>
      <c r="D107" s="363"/>
      <c r="E107" s="341"/>
      <c r="F107" s="341"/>
      <c r="G107" s="345"/>
      <c r="H107" s="345"/>
      <c r="I107" s="345"/>
      <c r="J107" s="345"/>
      <c r="K107" s="345"/>
      <c r="L107" s="345"/>
      <c r="M107" s="345"/>
      <c r="N107" s="345"/>
      <c r="O107" s="345"/>
      <c r="P107" s="345"/>
      <c r="Q107" s="345"/>
      <c r="R107" s="345"/>
      <c r="S107" s="345"/>
      <c r="T107" s="345"/>
      <c r="U107" s="345"/>
      <c r="V107" s="345"/>
      <c r="W107" s="345"/>
      <c r="X107" s="345"/>
      <c r="Y107" s="345"/>
      <c r="Z107" s="345"/>
      <c r="AA107" s="345"/>
      <c r="AB107" s="346"/>
      <c r="AC107" s="349"/>
      <c r="AD107" s="349"/>
      <c r="AE107" s="349"/>
      <c r="AF107" s="349"/>
      <c r="AG107" s="349"/>
      <c r="AH107" s="349"/>
      <c r="AI107" s="349"/>
      <c r="AJ107" s="476"/>
    </row>
    <row r="108" spans="1:36" ht="12.95" customHeight="1" outlineLevel="1">
      <c r="A108" s="360" t="s">
        <v>545</v>
      </c>
      <c r="B108" s="360"/>
      <c r="C108" s="350" t="s">
        <v>546</v>
      </c>
      <c r="D108" s="363"/>
      <c r="E108" s="341"/>
      <c r="F108" s="341"/>
      <c r="G108" s="345"/>
      <c r="H108" s="345"/>
      <c r="I108" s="345"/>
      <c r="J108" s="345"/>
      <c r="K108" s="345"/>
      <c r="L108" s="345"/>
      <c r="M108" s="345"/>
      <c r="N108" s="345"/>
      <c r="O108" s="345"/>
      <c r="P108" s="345"/>
      <c r="Q108" s="345"/>
      <c r="R108" s="345"/>
      <c r="S108" s="345"/>
      <c r="T108" s="345"/>
      <c r="U108" s="345"/>
      <c r="V108" s="345"/>
      <c r="W108" s="345"/>
      <c r="X108" s="345"/>
      <c r="Y108" s="345"/>
      <c r="Z108" s="345"/>
      <c r="AA108" s="345"/>
      <c r="AB108" s="346"/>
      <c r="AC108" s="349"/>
      <c r="AD108" s="349"/>
      <c r="AE108" s="349"/>
      <c r="AF108" s="349"/>
      <c r="AG108" s="349"/>
      <c r="AH108" s="349"/>
      <c r="AI108" s="349"/>
      <c r="AJ108" s="476"/>
    </row>
    <row r="109" spans="1:36" ht="12.95" customHeight="1" outlineLevel="1">
      <c r="A109" s="360" t="s">
        <v>547</v>
      </c>
      <c r="B109" s="360"/>
      <c r="C109" s="350" t="s">
        <v>548</v>
      </c>
      <c r="D109" s="352"/>
      <c r="E109" s="341"/>
      <c r="F109" s="341"/>
      <c r="G109" s="345"/>
      <c r="H109" s="345"/>
      <c r="I109" s="345"/>
      <c r="J109" s="345"/>
      <c r="K109" s="345"/>
      <c r="L109" s="345"/>
      <c r="M109" s="345"/>
      <c r="N109" s="345"/>
      <c r="O109" s="345"/>
      <c r="P109" s="345"/>
      <c r="Q109" s="345"/>
      <c r="R109" s="345"/>
      <c r="S109" s="345"/>
      <c r="T109" s="345"/>
      <c r="U109" s="345"/>
      <c r="V109" s="345"/>
      <c r="W109" s="345"/>
      <c r="X109" s="345"/>
      <c r="Y109" s="345"/>
      <c r="Z109" s="345"/>
      <c r="AA109" s="345"/>
      <c r="AB109" s="346"/>
      <c r="AC109" s="349"/>
      <c r="AD109" s="349"/>
      <c r="AE109" s="349"/>
      <c r="AF109" s="349"/>
      <c r="AG109" s="349"/>
      <c r="AH109" s="349"/>
      <c r="AI109" s="349"/>
      <c r="AJ109" s="476"/>
    </row>
    <row r="110" spans="1:36" ht="12.95" customHeight="1" outlineLevel="1">
      <c r="A110" s="360"/>
      <c r="B110" s="360"/>
      <c r="C110" s="350"/>
      <c r="D110" s="367"/>
      <c r="E110" s="341"/>
      <c r="F110" s="341"/>
      <c r="G110" s="345"/>
      <c r="H110" s="345"/>
      <c r="I110" s="345"/>
      <c r="J110" s="345"/>
      <c r="K110" s="345"/>
      <c r="L110" s="345"/>
      <c r="M110" s="345"/>
      <c r="N110" s="345"/>
      <c r="O110" s="345"/>
      <c r="P110" s="345"/>
      <c r="Q110" s="345"/>
      <c r="R110" s="345"/>
      <c r="S110" s="345"/>
      <c r="T110" s="345"/>
      <c r="U110" s="345"/>
      <c r="V110" s="345"/>
      <c r="W110" s="345"/>
      <c r="X110" s="345"/>
      <c r="Y110" s="345"/>
      <c r="Z110" s="345"/>
      <c r="AA110" s="345"/>
      <c r="AB110" s="346"/>
      <c r="AC110" s="349"/>
      <c r="AD110" s="349"/>
      <c r="AE110" s="349"/>
      <c r="AF110" s="349"/>
      <c r="AG110" s="349"/>
      <c r="AH110" s="349"/>
      <c r="AI110" s="349"/>
      <c r="AJ110" s="476"/>
    </row>
    <row r="111" spans="1:36" ht="12.95" customHeight="1">
      <c r="A111" s="334" t="s">
        <v>361</v>
      </c>
      <c r="B111" s="334"/>
      <c r="C111" s="345"/>
      <c r="D111" s="367"/>
      <c r="E111" s="345"/>
      <c r="F111" s="345"/>
      <c r="G111" s="345"/>
      <c r="H111" s="345"/>
      <c r="I111" s="345"/>
      <c r="J111" s="345"/>
      <c r="K111" s="345"/>
      <c r="L111" s="345"/>
      <c r="M111" s="345"/>
      <c r="N111" s="345"/>
      <c r="O111" s="345"/>
      <c r="P111" s="345"/>
      <c r="Q111" s="345"/>
      <c r="R111" s="345"/>
      <c r="S111" s="345"/>
      <c r="T111" s="345"/>
      <c r="U111" s="345"/>
      <c r="V111" s="345"/>
      <c r="W111" s="345"/>
      <c r="X111" s="345"/>
      <c r="Y111" s="345"/>
      <c r="Z111" s="345"/>
      <c r="AA111" s="339"/>
      <c r="AB111" s="346"/>
      <c r="AC111" s="346"/>
      <c r="AD111" s="346"/>
      <c r="AE111" s="346"/>
      <c r="AF111" s="346"/>
      <c r="AG111" s="346"/>
      <c r="AH111" s="346"/>
      <c r="AI111" s="346"/>
      <c r="AJ111" s="475"/>
    </row>
    <row r="112" spans="1:36" ht="12.95" customHeight="1">
      <c r="A112" s="348"/>
      <c r="B112" s="348"/>
      <c r="C112" s="345"/>
      <c r="D112" s="367"/>
      <c r="E112" s="345"/>
      <c r="F112" s="345"/>
      <c r="G112" s="345"/>
      <c r="H112" s="345"/>
      <c r="I112" s="345"/>
      <c r="J112" s="345"/>
      <c r="K112" s="345"/>
      <c r="L112" s="345"/>
      <c r="M112" s="345"/>
      <c r="N112" s="345"/>
      <c r="O112" s="345"/>
      <c r="P112" s="345"/>
      <c r="Q112" s="345"/>
      <c r="R112" s="345"/>
      <c r="S112" s="345"/>
      <c r="T112" s="345"/>
      <c r="U112" s="345"/>
      <c r="V112" s="345"/>
      <c r="W112" s="345"/>
      <c r="X112" s="345"/>
      <c r="Y112" s="345"/>
      <c r="Z112" s="345"/>
      <c r="AA112" s="339"/>
      <c r="AB112" s="346"/>
      <c r="AC112" s="346"/>
      <c r="AD112" s="346"/>
      <c r="AE112" s="346"/>
      <c r="AF112" s="346"/>
      <c r="AG112" s="346"/>
      <c r="AH112" s="346"/>
      <c r="AI112" s="346"/>
      <c r="AJ112" s="475"/>
    </row>
    <row r="113" spans="1:49" ht="15" customHeight="1">
      <c r="A113" s="368"/>
      <c r="B113" s="368"/>
      <c r="C113" s="369" t="s">
        <v>549</v>
      </c>
      <c r="D113" s="370"/>
      <c r="E113" s="370"/>
      <c r="F113" s="370"/>
      <c r="G113" s="370"/>
      <c r="H113" s="370"/>
      <c r="I113" s="370"/>
      <c r="J113" s="370"/>
      <c r="K113" s="370"/>
      <c r="L113" s="370"/>
      <c r="M113" s="370"/>
      <c r="N113" s="370"/>
      <c r="O113" s="370"/>
      <c r="P113" s="370"/>
      <c r="Q113" s="370"/>
      <c r="R113" s="370"/>
      <c r="S113" s="370"/>
      <c r="T113" s="370"/>
      <c r="U113" s="370"/>
      <c r="V113" s="370"/>
      <c r="W113" s="370"/>
      <c r="X113" s="370"/>
      <c r="Y113" s="370"/>
      <c r="Z113" s="370"/>
      <c r="AA113" s="370"/>
      <c r="AB113" s="370"/>
      <c r="AC113" s="370"/>
      <c r="AD113" s="370"/>
      <c r="AE113" s="370"/>
      <c r="AF113" s="370"/>
      <c r="AG113" s="370"/>
      <c r="AH113" s="370"/>
      <c r="AI113" s="328"/>
      <c r="AJ113" s="478"/>
    </row>
    <row r="114" spans="1:49" ht="12.95" customHeight="1">
      <c r="A114" s="348" t="s">
        <v>550</v>
      </c>
      <c r="B114" s="348"/>
      <c r="C114" s="371" t="s">
        <v>551</v>
      </c>
      <c r="D114" s="372"/>
      <c r="E114" s="372" t="str">
        <f t="shared" ref="E114:Q114" si="2">E117&amp;E115&amp;E116</f>
        <v>FY2018A</v>
      </c>
      <c r="F114" s="372" t="str">
        <f t="shared" si="2"/>
        <v>FY2019A</v>
      </c>
      <c r="G114" s="372" t="str">
        <f t="shared" si="2"/>
        <v>FY2020A</v>
      </c>
      <c r="H114" s="372" t="str">
        <f t="shared" si="2"/>
        <v>FY2021A</v>
      </c>
      <c r="I114" s="372" t="str">
        <f t="shared" si="2"/>
        <v>FY2022A</v>
      </c>
      <c r="J114" s="372" t="str">
        <f t="shared" si="2"/>
        <v>FY2023A</v>
      </c>
      <c r="K114" s="372" t="str">
        <f t="shared" si="2"/>
        <v>FY2024A</v>
      </c>
      <c r="L114" s="372" t="str">
        <f t="shared" si="2"/>
        <v>FY2025A</v>
      </c>
      <c r="M114" s="372" t="str">
        <f t="shared" si="2"/>
        <v>FY2026A</v>
      </c>
      <c r="N114" s="372" t="str">
        <f t="shared" si="2"/>
        <v>FY2027F</v>
      </c>
      <c r="O114" s="372" t="str">
        <f t="shared" si="2"/>
        <v>FY2028F</v>
      </c>
      <c r="P114" s="372" t="str">
        <f t="shared" si="2"/>
        <v>FY2029F</v>
      </c>
      <c r="Q114" s="372" t="str">
        <f t="shared" si="2"/>
        <v>FY2030F</v>
      </c>
      <c r="R114" s="372"/>
      <c r="S114" s="372"/>
      <c r="T114" s="372" t="str">
        <f t="shared" ref="T114:AH114" si="3">T117&amp;T115&amp;T116</f>
        <v/>
      </c>
      <c r="U114" s="372" t="str">
        <f t="shared" si="3"/>
        <v/>
      </c>
      <c r="V114" s="372" t="str">
        <f t="shared" si="3"/>
        <v/>
      </c>
      <c r="W114" s="372" t="str">
        <f t="shared" si="3"/>
        <v/>
      </c>
      <c r="X114" s="372" t="str">
        <f t="shared" si="3"/>
        <v/>
      </c>
      <c r="Y114" s="372" t="str">
        <f t="shared" si="3"/>
        <v/>
      </c>
      <c r="Z114" s="372" t="str">
        <f t="shared" si="3"/>
        <v/>
      </c>
      <c r="AA114" s="372" t="str">
        <f t="shared" si="3"/>
        <v/>
      </c>
      <c r="AB114" s="372" t="str">
        <f t="shared" si="3"/>
        <v/>
      </c>
      <c r="AC114" s="372" t="str">
        <f t="shared" si="3"/>
        <v/>
      </c>
      <c r="AD114" s="372" t="str">
        <f t="shared" si="3"/>
        <v/>
      </c>
      <c r="AE114" s="372" t="str">
        <f t="shared" si="3"/>
        <v/>
      </c>
      <c r="AF114" s="372" t="str">
        <f t="shared" si="3"/>
        <v/>
      </c>
      <c r="AG114" s="372" t="str">
        <f t="shared" si="3"/>
        <v/>
      </c>
      <c r="AH114" s="372" t="str">
        <f t="shared" si="3"/>
        <v/>
      </c>
      <c r="AI114" s="373" t="s">
        <v>552</v>
      </c>
      <c r="AJ114" s="478"/>
    </row>
    <row r="115" spans="1:49" ht="12.95" customHeight="1">
      <c r="A115" s="348" t="s">
        <v>553</v>
      </c>
      <c r="B115" s="348"/>
      <c r="C115" s="375" t="s">
        <v>554</v>
      </c>
      <c r="D115" s="376"/>
      <c r="E115" s="376" t="s">
        <v>555</v>
      </c>
      <c r="F115" s="376" t="s">
        <v>556</v>
      </c>
      <c r="G115" s="376" t="s">
        <v>557</v>
      </c>
      <c r="H115" s="376" t="s">
        <v>558</v>
      </c>
      <c r="I115" s="376" t="s">
        <v>559</v>
      </c>
      <c r="J115" s="376" t="s">
        <v>560</v>
      </c>
      <c r="K115" s="376" t="s">
        <v>561</v>
      </c>
      <c r="L115" s="376" t="s">
        <v>562</v>
      </c>
      <c r="M115" s="376" t="s">
        <v>563</v>
      </c>
      <c r="N115" s="376" t="s">
        <v>564</v>
      </c>
      <c r="O115" s="376" t="s">
        <v>565</v>
      </c>
      <c r="P115" s="376" t="s">
        <v>566</v>
      </c>
      <c r="Q115" s="376" t="s">
        <v>567</v>
      </c>
      <c r="R115" s="376"/>
      <c r="S115" s="376"/>
      <c r="T115" s="376"/>
      <c r="U115" s="376"/>
      <c r="V115" s="376"/>
      <c r="W115" s="376"/>
      <c r="X115" s="376"/>
      <c r="Y115" s="376"/>
      <c r="Z115" s="376"/>
      <c r="AA115" s="376"/>
      <c r="AB115" s="376"/>
      <c r="AC115" s="376"/>
      <c r="AD115" s="376"/>
      <c r="AE115" s="376"/>
      <c r="AF115" s="376"/>
      <c r="AG115" s="376"/>
      <c r="AH115" s="376"/>
      <c r="AI115" s="322"/>
      <c r="AJ115" s="472"/>
    </row>
    <row r="116" spans="1:49" ht="12.95" customHeight="1">
      <c r="A116" s="348" t="s">
        <v>568</v>
      </c>
      <c r="B116" s="348"/>
      <c r="C116" s="375" t="s">
        <v>569</v>
      </c>
      <c r="D116" s="376"/>
      <c r="E116" s="376" t="s">
        <v>16</v>
      </c>
      <c r="F116" s="376" t="s">
        <v>16</v>
      </c>
      <c r="G116" s="376" t="s">
        <v>16</v>
      </c>
      <c r="H116" s="376" t="s">
        <v>16</v>
      </c>
      <c r="I116" s="376" t="s">
        <v>16</v>
      </c>
      <c r="J116" s="376" t="s">
        <v>16</v>
      </c>
      <c r="K116" s="376" t="s">
        <v>16</v>
      </c>
      <c r="L116" s="376" t="s">
        <v>16</v>
      </c>
      <c r="M116" s="376" t="s">
        <v>16</v>
      </c>
      <c r="N116" s="376" t="s">
        <v>570</v>
      </c>
      <c r="O116" s="376" t="s">
        <v>570</v>
      </c>
      <c r="P116" s="376" t="s">
        <v>570</v>
      </c>
      <c r="Q116" s="376" t="s">
        <v>570</v>
      </c>
      <c r="R116" s="376"/>
      <c r="S116" s="376"/>
      <c r="T116" s="376"/>
      <c r="U116" s="376"/>
      <c r="V116" s="376"/>
      <c r="W116" s="376"/>
      <c r="X116" s="376"/>
      <c r="Y116" s="376"/>
      <c r="Z116" s="376"/>
      <c r="AA116" s="376"/>
      <c r="AB116" s="376"/>
      <c r="AC116" s="376"/>
      <c r="AD116" s="376"/>
      <c r="AE116" s="376"/>
      <c r="AF116" s="376"/>
      <c r="AG116" s="376"/>
      <c r="AH116" s="376"/>
      <c r="AI116" s="322"/>
      <c r="AJ116" s="472"/>
    </row>
    <row r="117" spans="1:49" ht="12.95" customHeight="1">
      <c r="A117" s="348" t="s">
        <v>571</v>
      </c>
      <c r="B117" s="348"/>
      <c r="C117" s="375" t="s">
        <v>572</v>
      </c>
      <c r="D117" s="376"/>
      <c r="E117" s="376" t="s">
        <v>12</v>
      </c>
      <c r="F117" s="376" t="s">
        <v>12</v>
      </c>
      <c r="G117" s="376" t="s">
        <v>12</v>
      </c>
      <c r="H117" s="376" t="s">
        <v>12</v>
      </c>
      <c r="I117" s="376" t="s">
        <v>12</v>
      </c>
      <c r="J117" s="376" t="s">
        <v>12</v>
      </c>
      <c r="K117" s="376" t="s">
        <v>12</v>
      </c>
      <c r="L117" s="376" t="s">
        <v>12</v>
      </c>
      <c r="M117" s="376" t="s">
        <v>12</v>
      </c>
      <c r="N117" s="376" t="s">
        <v>12</v>
      </c>
      <c r="O117" s="376" t="s">
        <v>12</v>
      </c>
      <c r="P117" s="376" t="s">
        <v>12</v>
      </c>
      <c r="Q117" s="376" t="s">
        <v>12</v>
      </c>
      <c r="R117" s="376"/>
      <c r="S117" s="376"/>
      <c r="T117" s="376"/>
      <c r="U117" s="376"/>
      <c r="V117" s="376"/>
      <c r="W117" s="376"/>
      <c r="X117" s="376"/>
      <c r="Y117" s="376"/>
      <c r="Z117" s="376"/>
      <c r="AA117" s="376"/>
      <c r="AB117" s="376"/>
      <c r="AC117" s="376"/>
      <c r="AD117" s="376"/>
      <c r="AE117" s="376"/>
      <c r="AF117" s="376"/>
      <c r="AG117" s="376"/>
      <c r="AH117" s="376"/>
      <c r="AI117" s="322"/>
      <c r="AJ117" s="472"/>
    </row>
    <row r="118" spans="1:49" ht="12.6" customHeight="1">
      <c r="A118" s="348" t="s">
        <v>573</v>
      </c>
      <c r="B118" s="348"/>
      <c r="C118" s="375" t="s">
        <v>574</v>
      </c>
      <c r="D118" s="376"/>
      <c r="E118" s="376" t="s">
        <v>575</v>
      </c>
      <c r="F118" s="376" t="s">
        <v>575</v>
      </c>
      <c r="G118" s="376" t="s">
        <v>575</v>
      </c>
      <c r="H118" s="376" t="s">
        <v>575</v>
      </c>
      <c r="I118" s="376" t="s">
        <v>575</v>
      </c>
      <c r="J118" s="376" t="s">
        <v>575</v>
      </c>
      <c r="K118" s="376" t="s">
        <v>575</v>
      </c>
      <c r="L118" s="376" t="s">
        <v>575</v>
      </c>
      <c r="M118" s="376" t="s">
        <v>575</v>
      </c>
      <c r="N118" s="376" t="s">
        <v>575</v>
      </c>
      <c r="O118" s="376" t="s">
        <v>575</v>
      </c>
      <c r="P118" s="376" t="s">
        <v>575</v>
      </c>
      <c r="Q118" s="376" t="s">
        <v>575</v>
      </c>
      <c r="R118" s="376"/>
      <c r="S118" s="376"/>
      <c r="T118" s="376"/>
      <c r="U118" s="376"/>
      <c r="V118" s="376"/>
      <c r="W118" s="376"/>
      <c r="X118" s="376"/>
      <c r="Y118" s="376"/>
      <c r="Z118" s="376"/>
      <c r="AA118" s="376"/>
      <c r="AB118" s="376"/>
      <c r="AC118" s="376"/>
      <c r="AD118" s="376"/>
      <c r="AE118" s="376"/>
      <c r="AF118" s="376"/>
      <c r="AG118" s="376"/>
      <c r="AH118" s="376"/>
      <c r="AI118" s="322"/>
      <c r="AJ118" s="472"/>
    </row>
    <row r="119" spans="1:49" ht="12.6" customHeight="1">
      <c r="A119" s="348"/>
      <c r="B119" s="348"/>
      <c r="C119" s="375"/>
      <c r="D119" s="376"/>
      <c r="E119" s="376"/>
      <c r="F119" s="376"/>
      <c r="G119" s="376"/>
      <c r="H119" s="376"/>
      <c r="I119" s="376"/>
      <c r="J119" s="376"/>
      <c r="K119" s="376"/>
      <c r="L119" s="376"/>
      <c r="M119" s="376"/>
      <c r="N119" s="376"/>
      <c r="O119" s="376"/>
      <c r="P119" s="376"/>
      <c r="Q119" s="376"/>
      <c r="R119" s="376"/>
      <c r="S119" s="376"/>
      <c r="T119" s="376"/>
      <c r="U119" s="376"/>
      <c r="V119" s="376"/>
      <c r="W119" s="376"/>
      <c r="X119" s="376"/>
      <c r="Y119" s="376"/>
      <c r="Z119" s="376"/>
      <c r="AA119" s="376"/>
      <c r="AB119" s="376"/>
      <c r="AC119" s="376"/>
      <c r="AD119" s="376"/>
      <c r="AE119" s="376"/>
      <c r="AF119" s="376"/>
      <c r="AG119" s="376"/>
      <c r="AH119" s="376"/>
      <c r="AI119" s="322"/>
      <c r="AJ119" s="472"/>
    </row>
    <row r="120" spans="1:49" ht="12.95" customHeight="1">
      <c r="A120" s="348"/>
      <c r="B120" s="348"/>
      <c r="C120" s="493" t="s">
        <v>576</v>
      </c>
      <c r="D120" s="494"/>
      <c r="E120" s="495"/>
      <c r="F120" s="494"/>
      <c r="G120" s="495"/>
      <c r="H120" s="494"/>
      <c r="I120" s="495"/>
      <c r="J120" s="494"/>
      <c r="K120" s="495"/>
      <c r="L120" s="494"/>
      <c r="M120" s="494"/>
      <c r="N120" s="494"/>
      <c r="O120" s="494"/>
      <c r="P120" s="494"/>
      <c r="Q120" s="494"/>
      <c r="R120" s="376"/>
      <c r="S120" s="376"/>
      <c r="T120" s="376"/>
      <c r="U120" s="376"/>
      <c r="V120" s="376"/>
      <c r="W120" s="376"/>
      <c r="X120" s="376"/>
      <c r="Y120" s="376"/>
      <c r="Z120" s="376"/>
      <c r="AA120" s="376"/>
      <c r="AB120" s="376"/>
      <c r="AC120" s="376"/>
      <c r="AD120" s="376"/>
      <c r="AE120" s="376"/>
      <c r="AF120" s="376"/>
      <c r="AG120" s="376"/>
      <c r="AH120" s="376"/>
      <c r="AI120" s="322"/>
      <c r="AJ120" s="472"/>
    </row>
    <row r="121" spans="1:49" ht="12.95" customHeight="1" thickBot="1">
      <c r="A121" s="348"/>
      <c r="B121" s="348"/>
      <c r="C121" s="499" t="s">
        <v>577</v>
      </c>
      <c r="D121" s="496"/>
      <c r="E121" s="497"/>
      <c r="F121" s="496"/>
      <c r="G121" s="497"/>
      <c r="H121" s="496"/>
      <c r="I121" s="497"/>
      <c r="J121" s="496"/>
      <c r="K121" s="497"/>
      <c r="L121" s="496"/>
      <c r="M121" s="496"/>
      <c r="N121" s="496"/>
      <c r="O121" s="496"/>
      <c r="P121" s="496"/>
      <c r="Q121" s="496"/>
      <c r="R121" s="498"/>
      <c r="S121" s="498"/>
      <c r="T121" s="498"/>
      <c r="U121" s="498"/>
      <c r="V121" s="498"/>
      <c r="W121" s="498"/>
      <c r="X121" s="498"/>
      <c r="Y121" s="498"/>
      <c r="Z121" s="498"/>
      <c r="AA121" s="498"/>
      <c r="AB121" s="498"/>
      <c r="AC121" s="498"/>
      <c r="AD121" s="498"/>
      <c r="AE121" s="498"/>
      <c r="AF121" s="498"/>
      <c r="AG121" s="498"/>
      <c r="AH121" s="498"/>
      <c r="AI121" s="322"/>
      <c r="AJ121" s="472"/>
    </row>
    <row r="122" spans="1:49" ht="12.95" customHeight="1">
      <c r="A122" s="348"/>
      <c r="B122" s="350" t="s">
        <v>578</v>
      </c>
      <c r="C122" s="380" t="s">
        <v>273</v>
      </c>
      <c r="D122" s="379"/>
      <c r="E122" s="379"/>
      <c r="F122" s="526"/>
      <c r="G122" s="527"/>
      <c r="H122" s="527"/>
      <c r="I122" s="527">
        <f t="shared" ref="I122:Q122" si="4">+I142</f>
        <v>575.4200442999371</v>
      </c>
      <c r="J122" s="527">
        <f t="shared" si="4"/>
        <v>862.6</v>
      </c>
      <c r="K122" s="527">
        <f t="shared" si="4"/>
        <v>870.5</v>
      </c>
      <c r="L122" s="527">
        <f t="shared" si="4"/>
        <v>825.2</v>
      </c>
      <c r="M122" s="527">
        <f t="shared" si="4"/>
        <v>822.7</v>
      </c>
      <c r="N122" s="527">
        <f t="shared" si="4"/>
        <v>840.93399999999997</v>
      </c>
      <c r="O122" s="527">
        <f t="shared" si="4"/>
        <v>859.61222999999995</v>
      </c>
      <c r="P122" s="527">
        <f t="shared" si="4"/>
        <v>899.31188750000001</v>
      </c>
      <c r="Q122" s="528">
        <f t="shared" si="4"/>
        <v>935.82404444699989</v>
      </c>
      <c r="R122" s="376"/>
      <c r="S122" s="376"/>
      <c r="T122" s="376"/>
      <c r="U122" s="376"/>
      <c r="V122" s="376"/>
      <c r="W122" s="376"/>
      <c r="X122" s="376"/>
      <c r="Y122" s="376"/>
      <c r="Z122" s="376"/>
      <c r="AA122" s="376"/>
      <c r="AB122" s="376"/>
      <c r="AC122" s="376"/>
      <c r="AD122" s="376"/>
      <c r="AE122" s="376"/>
      <c r="AF122" s="376"/>
      <c r="AG122" s="376"/>
      <c r="AH122" s="376"/>
      <c r="AI122" s="521" t="str">
        <f>_xll.BLUEMATRIX2("ExcelToolkitService",C122,$B$1,"[DivisionName:21]DIVISION")</f>
        <v>#</v>
      </c>
      <c r="AJ122" s="479"/>
      <c r="AK122" s="378" t="str">
        <f>_xll.BLUEMATRIX2("/servlet/excelData",E122,$B$1,$B122&amp;":"&amp;E$115&amp;":"&amp;$AI$114)</f>
        <v>#</v>
      </c>
      <c r="AL122" s="378" t="str">
        <f>_xll.BLUEMATRIX2("/servlet/excelData",F122,$B$1,$B122&amp;":"&amp;F$115&amp;":"&amp;$AI$114)</f>
        <v>#</v>
      </c>
      <c r="AM122" s="378" t="str">
        <f>_xll.BLUEMATRIX2("/servlet/excelData",G122,$B$1,$B122&amp;":"&amp;G$115&amp;":"&amp;$AI$114)</f>
        <v>#</v>
      </c>
      <c r="AN122" s="378" t="str">
        <f>_xll.BLUEMATRIX2("/servlet/excelData",H122,$B$1,$B122&amp;":"&amp;H$115&amp;":"&amp;$AI$114)</f>
        <v>#</v>
      </c>
      <c r="AO122" s="378" t="str">
        <f>_xll.BLUEMATRIX2("/servlet/excelData",I122,$B$1,$B122&amp;":"&amp;I$115&amp;":"&amp;$AI$114)</f>
        <v>#</v>
      </c>
      <c r="AP122" s="378" t="str">
        <f>_xll.BLUEMATRIX2("/servlet/excelData",J122,$B$1,$B122&amp;":"&amp;J$115&amp;":"&amp;$AI$114)</f>
        <v>#</v>
      </c>
      <c r="AQ122" s="378" t="str">
        <f>_xll.BLUEMATRIX2("/servlet/excelData",K122,$B$1,$B122&amp;":"&amp;K$115&amp;":"&amp;$AI$114)</f>
        <v>#</v>
      </c>
      <c r="AR122" s="378" t="str">
        <f>_xll.BLUEMATRIX2("/servlet/excelData",L122,$B$1,$B122&amp;":"&amp;L$115&amp;":"&amp;$AI$114)</f>
        <v>#</v>
      </c>
      <c r="AS122" s="378" t="str">
        <f>_xll.BLUEMATRIX2("/servlet/excelData",M122,$B$1,$B122&amp;":"&amp;M$115&amp;":"&amp;$AI$114)</f>
        <v>#</v>
      </c>
      <c r="AT122" s="378" t="str">
        <f>_xll.BLUEMATRIX2("/servlet/excelData",N122,$B$1,$B122&amp;":"&amp;N$115&amp;":"&amp;$AI$114)</f>
        <v>#</v>
      </c>
      <c r="AU122" s="378" t="str">
        <f>_xll.BLUEMATRIX2("/servlet/excelData",O122,$B$1,$B122&amp;":"&amp;O$115&amp;":"&amp;$AI$114)</f>
        <v>#</v>
      </c>
      <c r="AV122" s="378" t="str">
        <f>_xll.BLUEMATRIX2("/servlet/excelData",P122,$B$1,$B122&amp;":"&amp;P$115&amp;":"&amp;$AI$114)</f>
        <v>#</v>
      </c>
      <c r="AW122" s="378" t="str">
        <f>_xll.BLUEMATRIX2("/servlet/excelData",Q122,$B$1,$B122&amp;":"&amp;Q$115&amp;":"&amp;$AI$114)</f>
        <v>#</v>
      </c>
    </row>
    <row r="123" spans="1:49" ht="12.95" customHeight="1">
      <c r="A123" s="348"/>
      <c r="B123" s="350" t="s">
        <v>579</v>
      </c>
      <c r="C123" s="380" t="s">
        <v>26</v>
      </c>
      <c r="D123" s="379"/>
      <c r="E123" s="379"/>
      <c r="F123" s="529"/>
      <c r="G123" s="522"/>
      <c r="H123" s="522"/>
      <c r="I123" s="522">
        <f t="shared" ref="I123:Q123" si="5">+I149</f>
        <v>137.9</v>
      </c>
      <c r="J123" s="522">
        <f t="shared" si="5"/>
        <v>301.8</v>
      </c>
      <c r="K123" s="522">
        <f t="shared" si="5"/>
        <v>277.8</v>
      </c>
      <c r="L123" s="522">
        <f t="shared" si="5"/>
        <v>233.7</v>
      </c>
      <c r="M123" s="522">
        <f t="shared" si="5"/>
        <v>181.6</v>
      </c>
      <c r="N123" s="522">
        <f t="shared" si="5"/>
        <v>183.18613519999997</v>
      </c>
      <c r="O123" s="522">
        <f t="shared" si="5"/>
        <v>204.83214634399997</v>
      </c>
      <c r="P123" s="522">
        <f t="shared" si="5"/>
        <v>229.34449655400005</v>
      </c>
      <c r="Q123" s="530">
        <f t="shared" si="5"/>
        <v>238.69843621886156</v>
      </c>
      <c r="R123" s="376"/>
      <c r="S123" s="376"/>
      <c r="T123" s="376"/>
      <c r="U123" s="376"/>
      <c r="V123" s="376"/>
      <c r="W123" s="376"/>
      <c r="X123" s="376"/>
      <c r="Y123" s="376"/>
      <c r="Z123" s="376"/>
      <c r="AA123" s="376"/>
      <c r="AB123" s="376"/>
      <c r="AC123" s="376"/>
      <c r="AD123" s="376"/>
      <c r="AE123" s="376"/>
      <c r="AF123" s="376"/>
      <c r="AG123" s="376"/>
      <c r="AH123" s="376"/>
      <c r="AI123" s="521" t="str">
        <f>_xll.BLUEMATRIX2("ExcelToolkitService",C123,$B$1,"[DivisionName:22]DIVISION")</f>
        <v>#</v>
      </c>
      <c r="AK123" s="378" t="str">
        <f>_xll.BLUEMATRIX2("/servlet/excelData",E123,$B$1,$B123&amp;":"&amp;E$115&amp;":"&amp;$AI$114)</f>
        <v>#</v>
      </c>
      <c r="AL123" s="378" t="str">
        <f>_xll.BLUEMATRIX2("/servlet/excelData",F123,$B$1,$B123&amp;":"&amp;F$115&amp;":"&amp;$AI$114)</f>
        <v>#</v>
      </c>
      <c r="AM123" s="378" t="str">
        <f>_xll.BLUEMATRIX2("/servlet/excelData",G123,$B$1,$B123&amp;":"&amp;G$115&amp;":"&amp;$AI$114)</f>
        <v>#</v>
      </c>
      <c r="AN123" s="378" t="str">
        <f>_xll.BLUEMATRIX2("/servlet/excelData",H123,$B$1,$B123&amp;":"&amp;H$115&amp;":"&amp;$AI$114)</f>
        <v>#</v>
      </c>
      <c r="AO123" s="378" t="str">
        <f>_xll.BLUEMATRIX2("/servlet/excelData",I123,$B$1,$B123&amp;":"&amp;I$115&amp;":"&amp;$AI$114)</f>
        <v>#</v>
      </c>
      <c r="AP123" s="378" t="str">
        <f>_xll.BLUEMATRIX2("/servlet/excelData",J123,$B$1,$B123&amp;":"&amp;J$115&amp;":"&amp;$AI$114)</f>
        <v>#</v>
      </c>
      <c r="AQ123" s="378" t="str">
        <f>_xll.BLUEMATRIX2("/servlet/excelData",K123,$B$1,$B123&amp;":"&amp;K$115&amp;":"&amp;$AI$114)</f>
        <v>#</v>
      </c>
      <c r="AR123" s="378" t="str">
        <f>_xll.BLUEMATRIX2("/servlet/excelData",L123,$B$1,$B123&amp;":"&amp;L$115&amp;":"&amp;$AI$114)</f>
        <v>#</v>
      </c>
      <c r="AS123" s="378" t="str">
        <f>_xll.BLUEMATRIX2("/servlet/excelData",M123,$B$1,$B123&amp;":"&amp;M$115&amp;":"&amp;$AI$114)</f>
        <v>#</v>
      </c>
      <c r="AT123" s="378" t="str">
        <f>_xll.BLUEMATRIX2("/servlet/excelData",N123,$B$1,$B123&amp;":"&amp;N$115&amp;":"&amp;$AI$114)</f>
        <v>#</v>
      </c>
      <c r="AU123" s="378" t="str">
        <f>_xll.BLUEMATRIX2("/servlet/excelData",O123,$B$1,$B123&amp;":"&amp;O$115&amp;":"&amp;$AI$114)</f>
        <v>#</v>
      </c>
      <c r="AV123" s="378" t="str">
        <f>_xll.BLUEMATRIX2("/servlet/excelData",P123,$B$1,$B123&amp;":"&amp;P$115&amp;":"&amp;$AI$114)</f>
        <v>#</v>
      </c>
      <c r="AW123" s="378" t="str">
        <f>_xll.BLUEMATRIX2("/servlet/excelData",Q123,$B$1,$B123&amp;":"&amp;Q$115&amp;":"&amp;$AI$114)</f>
        <v>#</v>
      </c>
    </row>
    <row r="124" spans="1:49" ht="12.95" customHeight="1">
      <c r="A124" s="348"/>
      <c r="B124" s="350" t="s">
        <v>580</v>
      </c>
      <c r="C124" s="380" t="s">
        <v>581</v>
      </c>
      <c r="D124" s="379"/>
      <c r="E124" s="379"/>
      <c r="F124" s="531"/>
      <c r="G124" s="523"/>
      <c r="H124" s="523"/>
      <c r="I124" s="523">
        <f t="shared" ref="I124:Q124" si="6">+I299</f>
        <v>1.2759712621227264</v>
      </c>
      <c r="J124" s="523">
        <f t="shared" si="6"/>
        <v>17.455813039555217</v>
      </c>
      <c r="K124" s="523">
        <f t="shared" si="6"/>
        <v>16.206150463249454</v>
      </c>
      <c r="L124" s="523">
        <f t="shared" si="6"/>
        <v>9.405355179564415</v>
      </c>
      <c r="M124" s="523">
        <f t="shared" si="6"/>
        <v>3.4449776648363422</v>
      </c>
      <c r="N124" s="523">
        <f t="shared" si="6"/>
        <v>2.7605442661047279</v>
      </c>
      <c r="O124" s="523">
        <f t="shared" si="6"/>
        <v>4.964794025917719</v>
      </c>
      <c r="P124" s="523">
        <f t="shared" si="6"/>
        <v>6.7609822146857192</v>
      </c>
      <c r="Q124" s="532">
        <f t="shared" si="6"/>
        <v>7.6180212071477165</v>
      </c>
      <c r="R124" s="376"/>
      <c r="S124" s="376"/>
      <c r="T124" s="376"/>
      <c r="U124" s="376"/>
      <c r="V124" s="376"/>
      <c r="W124" s="376"/>
      <c r="X124" s="376"/>
      <c r="Y124" s="376"/>
      <c r="Z124" s="376"/>
      <c r="AA124" s="376"/>
      <c r="AB124" s="376"/>
      <c r="AC124" s="376"/>
      <c r="AD124" s="376"/>
      <c r="AE124" s="376"/>
      <c r="AF124" s="376"/>
      <c r="AG124" s="376"/>
      <c r="AH124" s="376"/>
      <c r="AI124" s="521" t="str">
        <f>_xll.BLUEMATRIX2("ExcelToolkitService",C124,$B$1,"[DivisionName:23]DIVISION")</f>
        <v>#</v>
      </c>
      <c r="AJ124" s="479"/>
      <c r="AK124" s="378" t="str">
        <f>_xll.BLUEMATRIX2("/servlet/excelData",E124,$B$1,$B124&amp;":"&amp;E$115&amp;":"&amp;$AI$114)</f>
        <v>#</v>
      </c>
      <c r="AL124" s="378" t="str">
        <f>_xll.BLUEMATRIX2("/servlet/excelData",F124,$B$1,$B124&amp;":"&amp;F$115&amp;":"&amp;$AI$114)</f>
        <v>#</v>
      </c>
      <c r="AM124" s="378" t="str">
        <f>_xll.BLUEMATRIX2("/servlet/excelData",G124,$B$1,$B124&amp;":"&amp;G$115&amp;":"&amp;$AI$114)</f>
        <v>#</v>
      </c>
      <c r="AN124" s="378" t="str">
        <f>_xll.BLUEMATRIX2("/servlet/excelData",H124,$B$1,$B124&amp;":"&amp;H$115&amp;":"&amp;$AI$114)</f>
        <v>#</v>
      </c>
      <c r="AO124" s="378" t="str">
        <f>_xll.BLUEMATRIX2("/servlet/excelData",I124,$B$1,$B124&amp;":"&amp;I$115&amp;":"&amp;$AI$114)</f>
        <v>#</v>
      </c>
      <c r="AP124" s="378" t="str">
        <f>_xll.BLUEMATRIX2("/servlet/excelData",J124,$B$1,$B124&amp;":"&amp;J$115&amp;":"&amp;$AI$114)</f>
        <v>#</v>
      </c>
      <c r="AQ124" s="378" t="str">
        <f>_xll.BLUEMATRIX2("/servlet/excelData",K124,$B$1,$B124&amp;":"&amp;K$115&amp;":"&amp;$AI$114)</f>
        <v>#</v>
      </c>
      <c r="AR124" s="378" t="str">
        <f>_xll.BLUEMATRIX2("/servlet/excelData",L124,$B$1,$B124&amp;":"&amp;L$115&amp;":"&amp;$AI$114)</f>
        <v>#</v>
      </c>
      <c r="AS124" s="378" t="str">
        <f>_xll.BLUEMATRIX2("/servlet/excelData",M124,$B$1,$B124&amp;":"&amp;M$115&amp;":"&amp;$AI$114)</f>
        <v>#</v>
      </c>
      <c r="AT124" s="378" t="str">
        <f>_xll.BLUEMATRIX2("/servlet/excelData",N124,$B$1,$B124&amp;":"&amp;N$115&amp;":"&amp;$AI$114)</f>
        <v>#</v>
      </c>
      <c r="AU124" s="378" t="str">
        <f>_xll.BLUEMATRIX2("/servlet/excelData",O124,$B$1,$B124&amp;":"&amp;O$115&amp;":"&amp;$AI$114)</f>
        <v>#</v>
      </c>
      <c r="AV124" s="378" t="str">
        <f>_xll.BLUEMATRIX2("/servlet/excelData",P124,$B$1,$B124&amp;":"&amp;P$115&amp;":"&amp;$AI$114)</f>
        <v>#</v>
      </c>
      <c r="AW124" s="378" t="str">
        <f>_xll.BLUEMATRIX2("/servlet/excelData",Q124,$B$1,$B124&amp;":"&amp;Q$115&amp;":"&amp;$AI$114)</f>
        <v>#</v>
      </c>
    </row>
    <row r="125" spans="1:49" ht="12.95" customHeight="1" thickBot="1">
      <c r="A125" s="348"/>
      <c r="B125" s="350" t="s">
        <v>582</v>
      </c>
      <c r="C125" s="380" t="s">
        <v>583</v>
      </c>
      <c r="D125" s="379"/>
      <c r="E125" s="379"/>
      <c r="F125" s="533"/>
      <c r="G125" s="534"/>
      <c r="H125" s="534"/>
      <c r="I125" s="534">
        <f t="shared" ref="I125:Q125" si="7">+I303</f>
        <v>0</v>
      </c>
      <c r="J125" s="534">
        <f t="shared" si="7"/>
        <v>9.8231827111984273</v>
      </c>
      <c r="K125" s="534">
        <f t="shared" si="7"/>
        <v>4.297642436149312</v>
      </c>
      <c r="L125" s="534">
        <f t="shared" si="7"/>
        <v>0</v>
      </c>
      <c r="M125" s="534">
        <f t="shared" si="7"/>
        <v>0</v>
      </c>
      <c r="N125" s="534">
        <f t="shared" si="7"/>
        <v>0</v>
      </c>
      <c r="O125" s="534">
        <f t="shared" si="7"/>
        <v>0</v>
      </c>
      <c r="P125" s="534">
        <f t="shared" si="7"/>
        <v>0</v>
      </c>
      <c r="Q125" s="535">
        <f t="shared" si="7"/>
        <v>0</v>
      </c>
      <c r="R125" s="376"/>
      <c r="S125" s="376"/>
      <c r="T125" s="376"/>
      <c r="U125" s="376"/>
      <c r="V125" s="376"/>
      <c r="W125" s="376"/>
      <c r="X125" s="376"/>
      <c r="Y125" s="376"/>
      <c r="Z125" s="376"/>
      <c r="AA125" s="376"/>
      <c r="AB125" s="376"/>
      <c r="AC125" s="376"/>
      <c r="AD125" s="376"/>
      <c r="AE125" s="376"/>
      <c r="AF125" s="376"/>
      <c r="AG125" s="376"/>
      <c r="AH125" s="376"/>
      <c r="AI125" s="521" t="str">
        <f>_xll.BLUEMATRIX2("ExcelToolkitService",C125,$B$1,"[DivisionName:24]DIVISION")</f>
        <v>#</v>
      </c>
      <c r="AJ125" s="479"/>
      <c r="AK125" s="378" t="str">
        <f>_xll.BLUEMATRIX2("/servlet/excelData",E125,$B$1,$B125&amp;":"&amp;E$115&amp;":"&amp;$AI$114)</f>
        <v>#</v>
      </c>
      <c r="AL125" s="378" t="str">
        <f>_xll.BLUEMATRIX2("/servlet/excelData",F125,$B$1,$B125&amp;":"&amp;F$115&amp;":"&amp;$AI$114)</f>
        <v>#</v>
      </c>
      <c r="AM125" s="378" t="str">
        <f>_xll.BLUEMATRIX2("/servlet/excelData",G125,$B$1,$B125&amp;":"&amp;G$115&amp;":"&amp;$AI$114)</f>
        <v>#</v>
      </c>
      <c r="AN125" s="378" t="str">
        <f>_xll.BLUEMATRIX2("/servlet/excelData",H125,$B$1,$B125&amp;":"&amp;H$115&amp;":"&amp;$AI$114)</f>
        <v>#</v>
      </c>
      <c r="AO125" s="378" t="str">
        <f>_xll.BLUEMATRIX2("/servlet/excelData",I125,$B$1,$B125&amp;":"&amp;I$115&amp;":"&amp;$AI$114)</f>
        <v>#</v>
      </c>
      <c r="AP125" s="378" t="str">
        <f>_xll.BLUEMATRIX2("/servlet/excelData",J125,$B$1,$B125&amp;":"&amp;J$115&amp;":"&amp;$AI$114)</f>
        <v>#</v>
      </c>
      <c r="AQ125" s="378" t="str">
        <f>_xll.BLUEMATRIX2("/servlet/excelData",K125,$B$1,$B125&amp;":"&amp;K$115&amp;":"&amp;$AI$114)</f>
        <v>#</v>
      </c>
      <c r="AR125" s="378" t="str">
        <f>_xll.BLUEMATRIX2("/servlet/excelData",L125,$B$1,$B125&amp;":"&amp;L$115&amp;":"&amp;$AI$114)</f>
        <v>#</v>
      </c>
      <c r="AS125" s="378" t="str">
        <f>_xll.BLUEMATRIX2("/servlet/excelData",M125,$B$1,$B125&amp;":"&amp;M$115&amp;":"&amp;$AI$114)</f>
        <v>#</v>
      </c>
      <c r="AT125" s="378" t="str">
        <f>_xll.BLUEMATRIX2("/servlet/excelData",N125,$B$1,$B125&amp;":"&amp;N$115&amp;":"&amp;$AI$114)</f>
        <v>#</v>
      </c>
      <c r="AU125" s="378" t="str">
        <f>_xll.BLUEMATRIX2("/servlet/excelData",O125,$B$1,$B125&amp;":"&amp;O$115&amp;":"&amp;$AI$114)</f>
        <v>#</v>
      </c>
      <c r="AV125" s="378" t="str">
        <f>_xll.BLUEMATRIX2("/servlet/excelData",P125,$B$1,$B125&amp;":"&amp;P$115&amp;":"&amp;$AI$114)</f>
        <v>#</v>
      </c>
      <c r="AW125" s="378" t="str">
        <f>_xll.BLUEMATRIX2("/servlet/excelData",Q125,$B$1,$B125&amp;":"&amp;Q$115&amp;":"&amp;$AI$114)</f>
        <v>#</v>
      </c>
    </row>
    <row r="126" spans="1:49" ht="12.95" customHeight="1">
      <c r="A126" s="348"/>
      <c r="B126" s="350"/>
      <c r="C126" s="380"/>
      <c r="D126" s="376"/>
      <c r="E126" s="376"/>
      <c r="F126" s="376"/>
      <c r="G126" s="376"/>
      <c r="H126" s="376"/>
      <c r="I126" s="376"/>
      <c r="J126" s="376"/>
      <c r="K126" s="376"/>
      <c r="L126" s="376"/>
      <c r="M126" s="376"/>
      <c r="N126" s="376"/>
      <c r="O126" s="376"/>
      <c r="P126" s="376"/>
      <c r="Q126" s="376"/>
      <c r="R126" s="376"/>
      <c r="S126" s="376"/>
      <c r="T126" s="376"/>
      <c r="U126" s="376"/>
      <c r="V126" s="376"/>
      <c r="W126" s="376"/>
      <c r="X126" s="376"/>
      <c r="Y126" s="376"/>
      <c r="Z126" s="376"/>
      <c r="AA126" s="376"/>
      <c r="AB126" s="376"/>
      <c r="AC126" s="376"/>
      <c r="AD126" s="376"/>
      <c r="AE126" s="376"/>
      <c r="AF126" s="376"/>
      <c r="AG126" s="376"/>
      <c r="AH126" s="376"/>
      <c r="AI126" s="521"/>
      <c r="AJ126" s="477"/>
      <c r="AK126" s="351"/>
      <c r="AL126" s="351"/>
      <c r="AM126" s="351"/>
      <c r="AN126" s="351"/>
      <c r="AO126" s="351"/>
      <c r="AP126" s="351"/>
      <c r="AQ126" s="351"/>
      <c r="AR126" s="351"/>
      <c r="AS126" s="351"/>
      <c r="AT126" s="351"/>
      <c r="AU126" s="351"/>
      <c r="AV126" s="351"/>
      <c r="AW126" s="351"/>
    </row>
    <row r="127" spans="1:49" ht="12.95" customHeight="1" thickBot="1">
      <c r="A127" s="348"/>
      <c r="B127" s="350"/>
      <c r="C127" s="499" t="s">
        <v>584</v>
      </c>
      <c r="D127" s="376"/>
      <c r="E127" s="376"/>
      <c r="F127" s="376"/>
      <c r="G127" s="376"/>
      <c r="H127" s="376"/>
      <c r="I127" s="376"/>
      <c r="J127" s="376"/>
      <c r="K127" s="376"/>
      <c r="L127" s="376"/>
      <c r="M127" s="376"/>
      <c r="N127" s="376"/>
      <c r="O127" s="376"/>
      <c r="P127" s="376"/>
      <c r="Q127" s="376"/>
      <c r="R127" s="376"/>
      <c r="S127" s="376"/>
      <c r="T127" s="376"/>
      <c r="U127" s="376"/>
      <c r="V127" s="376"/>
      <c r="W127" s="376"/>
      <c r="X127" s="376"/>
      <c r="Y127" s="376"/>
      <c r="Z127" s="376"/>
      <c r="AA127" s="376"/>
      <c r="AB127" s="376"/>
      <c r="AC127" s="376"/>
      <c r="AD127" s="376"/>
      <c r="AE127" s="376"/>
      <c r="AF127" s="376"/>
      <c r="AG127" s="376"/>
      <c r="AH127" s="376"/>
      <c r="AI127" s="521"/>
      <c r="AJ127" s="477"/>
      <c r="AK127" s="351"/>
      <c r="AL127" s="351"/>
      <c r="AM127" s="351"/>
      <c r="AN127" s="351"/>
      <c r="AO127" s="351"/>
      <c r="AP127" s="351"/>
      <c r="AQ127" s="351"/>
      <c r="AR127" s="351"/>
      <c r="AS127" s="351"/>
      <c r="AT127" s="351"/>
      <c r="AU127" s="351"/>
      <c r="AV127" s="351"/>
      <c r="AW127" s="351"/>
    </row>
    <row r="128" spans="1:49" ht="12.95" customHeight="1">
      <c r="A128" s="348"/>
      <c r="B128" s="350"/>
      <c r="C128" s="380" t="s">
        <v>585</v>
      </c>
      <c r="D128" s="379"/>
      <c r="E128" s="379"/>
      <c r="F128" s="509"/>
      <c r="G128" s="503"/>
      <c r="H128" s="503"/>
      <c r="I128" s="503">
        <v>575.4200442999371</v>
      </c>
      <c r="J128" s="503">
        <v>862.6</v>
      </c>
      <c r="K128" s="503">
        <v>870.5</v>
      </c>
      <c r="L128" s="503">
        <v>825.2</v>
      </c>
      <c r="M128" s="503">
        <v>822.7</v>
      </c>
      <c r="N128" s="503">
        <v>840.93399999999997</v>
      </c>
      <c r="O128" s="503">
        <v>859.61222999999995</v>
      </c>
      <c r="P128" s="503">
        <v>899.31188750000001</v>
      </c>
      <c r="Q128" s="504">
        <v>935.82404444699989</v>
      </c>
      <c r="R128" s="376"/>
      <c r="S128" s="376"/>
      <c r="T128" s="376"/>
      <c r="U128" s="376"/>
      <c r="V128" s="376"/>
      <c r="W128" s="376"/>
      <c r="X128" s="376"/>
      <c r="Y128" s="376"/>
      <c r="Z128" s="376"/>
      <c r="AA128" s="376"/>
      <c r="AB128" s="376"/>
      <c r="AC128" s="376"/>
      <c r="AD128" s="376"/>
      <c r="AE128" s="376"/>
      <c r="AF128" s="376"/>
      <c r="AG128" s="376"/>
      <c r="AH128" s="376"/>
      <c r="AI128" s="521"/>
      <c r="AJ128" s="477"/>
      <c r="AK128" s="351"/>
      <c r="AL128" s="351"/>
      <c r="AM128" s="351"/>
      <c r="AN128" s="351"/>
      <c r="AO128" s="351"/>
      <c r="AP128" s="351"/>
      <c r="AQ128" s="351"/>
      <c r="AR128" s="351"/>
      <c r="AS128" s="351"/>
      <c r="AT128" s="351"/>
      <c r="AU128" s="351"/>
      <c r="AV128" s="351"/>
      <c r="AW128" s="351"/>
    </row>
    <row r="129" spans="1:49" ht="12.95" customHeight="1">
      <c r="A129" s="348"/>
      <c r="B129" s="350"/>
      <c r="C129" s="380" t="s">
        <v>586</v>
      </c>
      <c r="D129" s="379"/>
      <c r="E129" s="379"/>
      <c r="F129" s="510"/>
      <c r="G129" s="524"/>
      <c r="H129" s="524"/>
      <c r="I129" s="524">
        <v>137.9</v>
      </c>
      <c r="J129" s="524">
        <v>301.8</v>
      </c>
      <c r="K129" s="524">
        <v>277.8</v>
      </c>
      <c r="L129" s="524">
        <v>233.7</v>
      </c>
      <c r="M129" s="524">
        <v>181.6</v>
      </c>
      <c r="N129" s="524">
        <v>183.18613519999997</v>
      </c>
      <c r="O129" s="524">
        <v>204.83214634399997</v>
      </c>
      <c r="P129" s="524">
        <v>229.34449655400005</v>
      </c>
      <c r="Q129" s="505">
        <v>238.69843621886156</v>
      </c>
      <c r="R129" s="376"/>
      <c r="S129" s="376"/>
      <c r="T129" s="376"/>
      <c r="U129" s="376"/>
      <c r="V129" s="376"/>
      <c r="W129" s="376"/>
      <c r="X129" s="376"/>
      <c r="Y129" s="376"/>
      <c r="Z129" s="376"/>
      <c r="AA129" s="376"/>
      <c r="AB129" s="376"/>
      <c r="AC129" s="376"/>
      <c r="AD129" s="376"/>
      <c r="AE129" s="376"/>
      <c r="AF129" s="376"/>
      <c r="AG129" s="376"/>
      <c r="AH129" s="376"/>
      <c r="AI129" s="521"/>
      <c r="AJ129" s="477"/>
      <c r="AK129" s="351"/>
      <c r="AL129" s="351"/>
      <c r="AM129" s="351"/>
      <c r="AN129" s="351"/>
      <c r="AO129" s="351"/>
      <c r="AP129" s="351"/>
      <c r="AQ129" s="351"/>
      <c r="AR129" s="351"/>
      <c r="AS129" s="351"/>
      <c r="AT129" s="351"/>
      <c r="AU129" s="351"/>
      <c r="AV129" s="351"/>
      <c r="AW129" s="351"/>
    </row>
    <row r="130" spans="1:49" ht="12.95" customHeight="1">
      <c r="A130" s="348"/>
      <c r="B130" s="350"/>
      <c r="C130" s="380" t="s">
        <v>587</v>
      </c>
      <c r="D130" s="379"/>
      <c r="E130" s="379"/>
      <c r="F130" s="511"/>
      <c r="G130" s="525"/>
      <c r="H130" s="525"/>
      <c r="I130" s="525">
        <v>1.2759712621227264</v>
      </c>
      <c r="J130" s="525">
        <v>17.455813039555217</v>
      </c>
      <c r="K130" s="525">
        <v>16.206150463249454</v>
      </c>
      <c r="L130" s="525">
        <v>9.405355179564415</v>
      </c>
      <c r="M130" s="525">
        <v>3.4449776648363422</v>
      </c>
      <c r="N130" s="525">
        <v>2.7605442661047279</v>
      </c>
      <c r="O130" s="525">
        <v>4.964794025917719</v>
      </c>
      <c r="P130" s="525">
        <v>6.7609822146857192</v>
      </c>
      <c r="Q130" s="506">
        <v>7.6180212071477165</v>
      </c>
      <c r="R130" s="376"/>
      <c r="S130" s="376"/>
      <c r="T130" s="376"/>
      <c r="U130" s="376"/>
      <c r="V130" s="376"/>
      <c r="W130" s="376"/>
      <c r="X130" s="376"/>
      <c r="Y130" s="376"/>
      <c r="Z130" s="376"/>
      <c r="AA130" s="376"/>
      <c r="AB130" s="376"/>
      <c r="AC130" s="376"/>
      <c r="AD130" s="376"/>
      <c r="AE130" s="376"/>
      <c r="AF130" s="376"/>
      <c r="AG130" s="376"/>
      <c r="AH130" s="376"/>
      <c r="AI130" s="521"/>
      <c r="AJ130" s="477"/>
      <c r="AK130" s="351"/>
      <c r="AL130" s="351"/>
      <c r="AM130" s="351"/>
      <c r="AN130" s="351"/>
      <c r="AO130" s="351"/>
      <c r="AP130" s="351"/>
      <c r="AQ130" s="351"/>
      <c r="AR130" s="351"/>
      <c r="AS130" s="351"/>
      <c r="AT130" s="351"/>
      <c r="AU130" s="351"/>
      <c r="AV130" s="351"/>
      <c r="AW130" s="351"/>
    </row>
    <row r="131" spans="1:49" ht="12.95" customHeight="1" thickBot="1">
      <c r="A131" s="348"/>
      <c r="B131" s="350"/>
      <c r="C131" s="380" t="s">
        <v>588</v>
      </c>
      <c r="D131" s="379"/>
      <c r="E131" s="379"/>
      <c r="F131" s="512"/>
      <c r="G131" s="507"/>
      <c r="H131" s="507"/>
      <c r="I131" s="507">
        <v>0</v>
      </c>
      <c r="J131" s="507">
        <v>9.8231827111984273</v>
      </c>
      <c r="K131" s="507">
        <v>4.297642436149312</v>
      </c>
      <c r="L131" s="507">
        <v>0</v>
      </c>
      <c r="M131" s="507">
        <v>0</v>
      </c>
      <c r="N131" s="507">
        <v>0</v>
      </c>
      <c r="O131" s="507">
        <v>0</v>
      </c>
      <c r="P131" s="507">
        <v>0</v>
      </c>
      <c r="Q131" s="508">
        <v>0</v>
      </c>
      <c r="R131" s="376"/>
      <c r="S131" s="376"/>
      <c r="T131" s="376"/>
      <c r="U131" s="376"/>
      <c r="V131" s="376"/>
      <c r="W131" s="376"/>
      <c r="X131" s="376"/>
      <c r="Y131" s="376"/>
      <c r="Z131" s="376"/>
      <c r="AA131" s="376"/>
      <c r="AB131" s="376"/>
      <c r="AC131" s="376"/>
      <c r="AD131" s="376"/>
      <c r="AE131" s="376"/>
      <c r="AF131" s="376"/>
      <c r="AG131" s="376"/>
      <c r="AH131" s="376"/>
      <c r="AI131" s="521"/>
      <c r="AJ131" s="477"/>
      <c r="AK131" s="351"/>
      <c r="AL131" s="351"/>
      <c r="AM131" s="351"/>
      <c r="AN131" s="351"/>
      <c r="AO131" s="351"/>
      <c r="AP131" s="351"/>
      <c r="AQ131" s="351"/>
      <c r="AR131" s="351"/>
      <c r="AS131" s="351"/>
      <c r="AT131" s="351"/>
      <c r="AU131" s="351"/>
      <c r="AV131" s="351"/>
      <c r="AW131" s="351"/>
    </row>
    <row r="132" spans="1:49" ht="12.95" customHeight="1">
      <c r="A132" s="348"/>
      <c r="B132" s="350"/>
      <c r="C132" s="482"/>
      <c r="D132" s="376"/>
      <c r="E132" s="376"/>
      <c r="F132" s="376"/>
      <c r="G132" s="376"/>
      <c r="H132" s="376"/>
      <c r="I132" s="376"/>
      <c r="J132" s="376"/>
      <c r="K132" s="376"/>
      <c r="L132" s="376"/>
      <c r="M132" s="376"/>
      <c r="N132" s="376"/>
      <c r="O132" s="376"/>
      <c r="P132" s="376"/>
      <c r="Q132" s="376"/>
      <c r="R132" s="376"/>
      <c r="S132" s="376"/>
      <c r="T132" s="376"/>
      <c r="U132" s="376"/>
      <c r="V132" s="376"/>
      <c r="W132" s="376"/>
      <c r="X132" s="376"/>
      <c r="Y132" s="376"/>
      <c r="Z132" s="376"/>
      <c r="AA132" s="376"/>
      <c r="AB132" s="376"/>
      <c r="AC132" s="376"/>
      <c r="AD132" s="376"/>
      <c r="AE132" s="376"/>
      <c r="AF132" s="376"/>
      <c r="AG132" s="376"/>
      <c r="AH132" s="376"/>
      <c r="AJ132" s="477"/>
      <c r="AK132" s="351"/>
      <c r="AL132" s="351"/>
      <c r="AM132" s="351"/>
      <c r="AN132" s="351"/>
      <c r="AO132" s="351"/>
      <c r="AP132" s="351"/>
      <c r="AQ132" s="351"/>
      <c r="AR132" s="351"/>
      <c r="AS132" s="351"/>
      <c r="AT132" s="351"/>
      <c r="AU132" s="351"/>
      <c r="AV132" s="351"/>
      <c r="AW132" s="351"/>
    </row>
    <row r="133" spans="1:49" ht="12.95" customHeight="1">
      <c r="A133" s="348"/>
      <c r="B133" s="350"/>
      <c r="C133" s="499" t="s">
        <v>589</v>
      </c>
      <c r="D133" s="376"/>
      <c r="E133" s="376"/>
      <c r="F133" s="376"/>
      <c r="G133" s="376"/>
      <c r="H133" s="376"/>
      <c r="I133" s="376"/>
      <c r="J133" s="376"/>
      <c r="K133" s="376"/>
      <c r="L133" s="376"/>
      <c r="M133" s="376"/>
      <c r="N133" s="376"/>
      <c r="O133" s="376"/>
      <c r="P133" s="376"/>
      <c r="Q133" s="376"/>
      <c r="R133" s="376"/>
      <c r="S133" s="376"/>
      <c r="T133" s="376"/>
      <c r="U133" s="376"/>
      <c r="V133" s="376"/>
      <c r="W133" s="376"/>
      <c r="X133" s="376"/>
      <c r="Y133" s="376"/>
      <c r="Z133" s="376"/>
      <c r="AA133" s="376"/>
      <c r="AB133" s="376"/>
      <c r="AC133" s="376"/>
      <c r="AD133" s="376"/>
      <c r="AE133" s="376"/>
      <c r="AF133" s="376"/>
      <c r="AG133" s="376"/>
      <c r="AH133" s="376"/>
      <c r="AJ133" s="477"/>
      <c r="AK133" s="351"/>
      <c r="AL133" s="351"/>
      <c r="AM133" s="351"/>
      <c r="AN133" s="351"/>
      <c r="AO133" s="351"/>
      <c r="AP133" s="351"/>
      <c r="AQ133" s="351"/>
      <c r="AR133" s="351"/>
      <c r="AS133" s="351"/>
      <c r="AT133" s="351"/>
      <c r="AU133" s="351"/>
      <c r="AV133" s="351"/>
      <c r="AW133" s="351"/>
    </row>
    <row r="134" spans="1:49" ht="12.95" customHeight="1">
      <c r="A134" s="348"/>
      <c r="B134" s="350" t="s">
        <v>590</v>
      </c>
      <c r="C134" s="380" t="s">
        <v>591</v>
      </c>
      <c r="D134" s="379"/>
      <c r="E134" s="379"/>
      <c r="F134" s="379"/>
      <c r="G134" s="379"/>
      <c r="H134" s="379"/>
      <c r="I134" s="379">
        <f t="array" ref="I134">_xlfn.IFS(AND(I128=0,I122=0),0,AND(I128=0,I122&lt;&gt;0),"nm",I128&lt;&gt;0,I122/I128-1)</f>
        <v>0</v>
      </c>
      <c r="J134" s="379">
        <f t="array" ref="J134">_xlfn.IFS(AND(J128=0,J122=0),0,AND(J128=0,J122&lt;&gt;0),"nm",J128&lt;&gt;0,J122/J128-1)</f>
        <v>0</v>
      </c>
      <c r="K134" s="379">
        <f t="array" ref="K134">_xlfn.IFS(AND(K128=0,K122=0),0,AND(K128=0,K122&lt;&gt;0),"nm",K128&lt;&gt;0,K122/K128-1)</f>
        <v>0</v>
      </c>
      <c r="L134" s="379">
        <f t="array" ref="L134">_xlfn.IFS(AND(L128=0,L122=0),0,AND(L128=0,L122&lt;&gt;0),"nm",L128&lt;&gt;0,L122/L128-1)</f>
        <v>0</v>
      </c>
      <c r="M134" s="379">
        <f t="array" ref="M134">_xlfn.IFS(AND(M128=0,M122=0),0,AND(M128=0,M122&lt;&gt;0),"nm",M128&lt;&gt;0,M122/M128-1)</f>
        <v>0</v>
      </c>
      <c r="N134" s="379">
        <f t="array" ref="N134">_xlfn.IFS(AND(N128=0,N122=0),0,AND(N128=0,N122&lt;&gt;0),"nm",N128&lt;&gt;0,N122/N128-1)</f>
        <v>0</v>
      </c>
      <c r="O134" s="379">
        <f t="array" ref="O134">_xlfn.IFS(AND(O128=0,O122=0),0,AND(O128=0,O122&lt;&gt;0),"nm",O128&lt;&gt;0,O122/O128-1)</f>
        <v>0</v>
      </c>
      <c r="P134" s="379">
        <f t="array" ref="P134">_xlfn.IFS(AND(P128=0,P122=0),0,AND(P128=0,P122&lt;&gt;0),"nm",P128&lt;&gt;0,P122/P128-1)</f>
        <v>0</v>
      </c>
      <c r="Q134" s="379">
        <f t="array" ref="Q134">_xlfn.IFS(AND(Q128=0,Q122=0),0,AND(Q128=0,Q122&lt;&gt;0),"nm",Q128&lt;&gt;0,Q122/Q128-1)</f>
        <v>0</v>
      </c>
      <c r="R134" s="376"/>
      <c r="S134" s="376"/>
      <c r="T134" s="376"/>
      <c r="U134" s="376"/>
      <c r="V134" s="376"/>
      <c r="W134" s="376"/>
      <c r="X134" s="376"/>
      <c r="Y134" s="376"/>
      <c r="Z134" s="376"/>
      <c r="AA134" s="376"/>
      <c r="AB134" s="376"/>
      <c r="AC134" s="376"/>
      <c r="AD134" s="376"/>
      <c r="AE134" s="376"/>
      <c r="AF134" s="376"/>
      <c r="AG134" s="376"/>
      <c r="AH134" s="376"/>
      <c r="AI134" s="521" t="str">
        <f>_xll.BLUEMATRIX2("ExcelToolkitService",C134,$B$1,"[DivisionName:25]DIVISION")</f>
        <v>#</v>
      </c>
      <c r="AJ134" s="479"/>
      <c r="AK134" s="378" t="str">
        <f>_xll.BLUEMATRIX2("/servlet/excelData",E134,$B$1,$B134&amp;":"&amp;E$115&amp;":"&amp;$AI$114)</f>
        <v>#</v>
      </c>
      <c r="AL134" s="378" t="str">
        <f>_xll.BLUEMATRIX2("/servlet/excelData",F134,$B$1,$B134&amp;":"&amp;F$115&amp;":"&amp;$AI$114)</f>
        <v>#</v>
      </c>
      <c r="AM134" s="378" t="str">
        <f>_xll.BLUEMATRIX2("/servlet/excelData",G134,$B$1,$B134&amp;":"&amp;G$115&amp;":"&amp;$AI$114)</f>
        <v>#</v>
      </c>
      <c r="AN134" s="378" t="str">
        <f>_xll.BLUEMATRIX2("/servlet/excelData",H134,$B$1,$B134&amp;":"&amp;H$115&amp;":"&amp;$AI$114)</f>
        <v>#</v>
      </c>
      <c r="AO134" s="378" t="str">
        <f>_xll.BLUEMATRIX2("/servlet/excelData",I134,$B$1,$B134&amp;":"&amp;I$115&amp;":"&amp;$AI$114)</f>
        <v>#</v>
      </c>
      <c r="AP134" s="378" t="str">
        <f>_xll.BLUEMATRIX2("/servlet/excelData",J134,$B$1,$B134&amp;":"&amp;J$115&amp;":"&amp;$AI$114)</f>
        <v>#</v>
      </c>
      <c r="AQ134" s="378" t="str">
        <f>_xll.BLUEMATRIX2("/servlet/excelData",K134,$B$1,$B134&amp;":"&amp;K$115&amp;":"&amp;$AI$114)</f>
        <v>#</v>
      </c>
      <c r="AR134" s="378" t="str">
        <f>_xll.BLUEMATRIX2("/servlet/excelData",L134,$B$1,$B134&amp;":"&amp;L$115&amp;":"&amp;$AI$114)</f>
        <v>#</v>
      </c>
      <c r="AS134" s="378" t="str">
        <f>_xll.BLUEMATRIX2("/servlet/excelData",M134,$B$1,$B134&amp;":"&amp;M$115&amp;":"&amp;$AI$114)</f>
        <v>#</v>
      </c>
      <c r="AT134" s="378" t="str">
        <f>_xll.BLUEMATRIX2("/servlet/excelData",N134,$B$1,$B134&amp;":"&amp;N$115&amp;":"&amp;$AI$114)</f>
        <v>#</v>
      </c>
      <c r="AU134" s="378" t="str">
        <f>_xll.BLUEMATRIX2("/servlet/excelData",O134,$B$1,$B134&amp;":"&amp;O$115&amp;":"&amp;$AI$114)</f>
        <v>#</v>
      </c>
      <c r="AV134" s="378" t="str">
        <f>_xll.BLUEMATRIX2("/servlet/excelData",P134,$B$1,$B134&amp;":"&amp;P$115&amp;":"&amp;$AI$114)</f>
        <v>#</v>
      </c>
      <c r="AW134" s="378" t="str">
        <f>_xll.BLUEMATRIX2("/servlet/excelData",Q134,$B$1,$B134&amp;":"&amp;Q$115&amp;":"&amp;$AI$114)</f>
        <v>#</v>
      </c>
    </row>
    <row r="135" spans="1:49" ht="12.95" customHeight="1">
      <c r="A135" s="348"/>
      <c r="B135" s="350" t="s">
        <v>592</v>
      </c>
      <c r="C135" s="380" t="s">
        <v>593</v>
      </c>
      <c r="D135" s="379"/>
      <c r="E135" s="379"/>
      <c r="F135" s="379"/>
      <c r="G135" s="379"/>
      <c r="H135" s="379"/>
      <c r="I135" s="379">
        <f t="array" ref="I135">_xlfn.IFS(AND(I129=0,I123=0),0,AND(I129=0,I123&lt;&gt;0),"nm",I129&lt;&gt;0,I123/I129-1)</f>
        <v>0</v>
      </c>
      <c r="J135" s="379">
        <f t="array" ref="J135">_xlfn.IFS(AND(J129=0,J123=0),0,AND(J129=0,J123&lt;&gt;0),"nm",J129&lt;&gt;0,J123/J129-1)</f>
        <v>0</v>
      </c>
      <c r="K135" s="379">
        <f t="array" ref="K135">_xlfn.IFS(AND(K129=0,K123=0),0,AND(K129=0,K123&lt;&gt;0),"nm",K129&lt;&gt;0,K123/K129-1)</f>
        <v>0</v>
      </c>
      <c r="L135" s="379">
        <f t="array" ref="L135">_xlfn.IFS(AND(L129=0,L123=0),0,AND(L129=0,L123&lt;&gt;0),"nm",L129&lt;&gt;0,L123/L129-1)</f>
        <v>0</v>
      </c>
      <c r="M135" s="379">
        <f t="array" ref="M135">_xlfn.IFS(AND(M129=0,M123=0),0,AND(M129=0,M123&lt;&gt;0),"nm",M129&lt;&gt;0,M123/M129-1)</f>
        <v>0</v>
      </c>
      <c r="N135" s="379">
        <f t="array" ref="N135">_xlfn.IFS(AND(N129=0,N123=0),0,AND(N129=0,N123&lt;&gt;0),"nm",N129&lt;&gt;0,N123/N129-1)</f>
        <v>0</v>
      </c>
      <c r="O135" s="379">
        <f t="array" ref="O135">_xlfn.IFS(AND(O129=0,O123=0),0,AND(O129=0,O123&lt;&gt;0),"nm",O129&lt;&gt;0,O123/O129-1)</f>
        <v>0</v>
      </c>
      <c r="P135" s="379">
        <f t="array" ref="P135">_xlfn.IFS(AND(P129=0,P123=0),0,AND(P129=0,P123&lt;&gt;0),"nm",P129&lt;&gt;0,P123/P129-1)</f>
        <v>0</v>
      </c>
      <c r="Q135" s="379">
        <f t="array" ref="Q135">_xlfn.IFS(AND(Q129=0,Q123=0),0,AND(Q129=0,Q123&lt;&gt;0),"nm",Q129&lt;&gt;0,Q123/Q129-1)</f>
        <v>0</v>
      </c>
      <c r="R135" s="376"/>
      <c r="S135" s="376"/>
      <c r="T135" s="376"/>
      <c r="U135" s="376"/>
      <c r="V135" s="376"/>
      <c r="W135" s="376"/>
      <c r="X135" s="376"/>
      <c r="Y135" s="376"/>
      <c r="Z135" s="376"/>
      <c r="AA135" s="376"/>
      <c r="AB135" s="376"/>
      <c r="AC135" s="376"/>
      <c r="AD135" s="376"/>
      <c r="AE135" s="376"/>
      <c r="AF135" s="376"/>
      <c r="AG135" s="376"/>
      <c r="AH135" s="376"/>
      <c r="AI135" s="521" t="str">
        <f>_xll.BLUEMATRIX2("ExcelToolkitService",C135,$B$1,"[DivisionName:26]DIVISION")</f>
        <v>#</v>
      </c>
      <c r="AJ135" s="479"/>
      <c r="AK135" s="378" t="str">
        <f>_xll.BLUEMATRIX2("/servlet/excelData",E135,$B$1,$B135&amp;":"&amp;E$115&amp;":"&amp;$AI$114)</f>
        <v>#</v>
      </c>
      <c r="AL135" s="378" t="str">
        <f>_xll.BLUEMATRIX2("/servlet/excelData",F135,$B$1,$B135&amp;":"&amp;F$115&amp;":"&amp;$AI$114)</f>
        <v>#</v>
      </c>
      <c r="AM135" s="378" t="str">
        <f>_xll.BLUEMATRIX2("/servlet/excelData",G135,$B$1,$B135&amp;":"&amp;G$115&amp;":"&amp;$AI$114)</f>
        <v>#</v>
      </c>
      <c r="AN135" s="378" t="str">
        <f>_xll.BLUEMATRIX2("/servlet/excelData",H135,$B$1,$B135&amp;":"&amp;H$115&amp;":"&amp;$AI$114)</f>
        <v>#</v>
      </c>
      <c r="AO135" s="378" t="str">
        <f>_xll.BLUEMATRIX2("/servlet/excelData",I135,$B$1,$B135&amp;":"&amp;I$115&amp;":"&amp;$AI$114)</f>
        <v>#</v>
      </c>
      <c r="AP135" s="378" t="str">
        <f>_xll.BLUEMATRIX2("/servlet/excelData",J135,$B$1,$B135&amp;":"&amp;J$115&amp;":"&amp;$AI$114)</f>
        <v>#</v>
      </c>
      <c r="AQ135" s="378" t="str">
        <f>_xll.BLUEMATRIX2("/servlet/excelData",K135,$B$1,$B135&amp;":"&amp;K$115&amp;":"&amp;$AI$114)</f>
        <v>#</v>
      </c>
      <c r="AR135" s="378" t="str">
        <f>_xll.BLUEMATRIX2("/servlet/excelData",L135,$B$1,$B135&amp;":"&amp;L$115&amp;":"&amp;$AI$114)</f>
        <v>#</v>
      </c>
      <c r="AS135" s="378" t="str">
        <f>_xll.BLUEMATRIX2("/servlet/excelData",M135,$B$1,$B135&amp;":"&amp;M$115&amp;":"&amp;$AI$114)</f>
        <v>#</v>
      </c>
      <c r="AT135" s="378" t="str">
        <f>_xll.BLUEMATRIX2("/servlet/excelData",N135,$B$1,$B135&amp;":"&amp;N$115&amp;":"&amp;$AI$114)</f>
        <v>#</v>
      </c>
      <c r="AU135" s="378" t="str">
        <f>_xll.BLUEMATRIX2("/servlet/excelData",O135,$B$1,$B135&amp;":"&amp;O$115&amp;":"&amp;$AI$114)</f>
        <v>#</v>
      </c>
      <c r="AV135" s="378" t="str">
        <f>_xll.BLUEMATRIX2("/servlet/excelData",P135,$B$1,$B135&amp;":"&amp;P$115&amp;":"&amp;$AI$114)</f>
        <v>#</v>
      </c>
      <c r="AW135" s="378" t="str">
        <f>_xll.BLUEMATRIX2("/servlet/excelData",Q135,$B$1,$B135&amp;":"&amp;Q$115&amp;":"&amp;$AI$114)</f>
        <v>#</v>
      </c>
    </row>
    <row r="136" spans="1:49" ht="12.95" customHeight="1">
      <c r="A136" s="348"/>
      <c r="B136" s="350" t="s">
        <v>594</v>
      </c>
      <c r="C136" s="380" t="s">
        <v>595</v>
      </c>
      <c r="D136" s="379"/>
      <c r="E136" s="379"/>
      <c r="F136" s="379"/>
      <c r="G136" s="379"/>
      <c r="H136" s="379"/>
      <c r="I136" s="379">
        <f t="array" ref="I136">_xlfn.IFS(AND(I130=0,I124=0),0,AND(I130=0,I124&lt;&gt;0),"nm",I130&lt;&gt;0,I124/I130-1)</f>
        <v>0</v>
      </c>
      <c r="J136" s="379">
        <f t="array" ref="J136">_xlfn.IFS(AND(J130=0,J124=0),0,AND(J130=0,J124&lt;&gt;0),"nm",J130&lt;&gt;0,J124/J130-1)</f>
        <v>0</v>
      </c>
      <c r="K136" s="379">
        <f t="array" ref="K136">_xlfn.IFS(AND(K130=0,K124=0),0,AND(K130=0,K124&lt;&gt;0),"nm",K130&lt;&gt;0,K124/K130-1)</f>
        <v>0</v>
      </c>
      <c r="L136" s="379">
        <f t="array" ref="L136">_xlfn.IFS(AND(L130=0,L124=0),0,AND(L130=0,L124&lt;&gt;0),"nm",L130&lt;&gt;0,L124/L130-1)</f>
        <v>0</v>
      </c>
      <c r="M136" s="379">
        <f t="array" ref="M136">_xlfn.IFS(AND(M130=0,M124=0),0,AND(M130=0,M124&lt;&gt;0),"nm",M130&lt;&gt;0,M124/M130-1)</f>
        <v>0</v>
      </c>
      <c r="N136" s="379">
        <f t="array" ref="N136">_xlfn.IFS(AND(N130=0,N124=0),0,AND(N130=0,N124&lt;&gt;0),"nm",N130&lt;&gt;0,N124/N130-1)</f>
        <v>0</v>
      </c>
      <c r="O136" s="379">
        <f t="array" ref="O136">_xlfn.IFS(AND(O130=0,O124=0),0,AND(O130=0,O124&lt;&gt;0),"nm",O130&lt;&gt;0,O124/O130-1)</f>
        <v>0</v>
      </c>
      <c r="P136" s="379">
        <f t="array" ref="P136">_xlfn.IFS(AND(P130=0,P124=0),0,AND(P130=0,P124&lt;&gt;0),"nm",P130&lt;&gt;0,P124/P130-1)</f>
        <v>0</v>
      </c>
      <c r="Q136" s="379">
        <f t="array" ref="Q136">_xlfn.IFS(AND(Q130=0,Q124=0),0,AND(Q130=0,Q124&lt;&gt;0),"nm",Q130&lt;&gt;0,Q124/Q130-1)</f>
        <v>0</v>
      </c>
      <c r="R136" s="376"/>
      <c r="S136" s="376"/>
      <c r="T136" s="376"/>
      <c r="U136" s="376"/>
      <c r="V136" s="376"/>
      <c r="W136" s="376"/>
      <c r="X136" s="376"/>
      <c r="Y136" s="376"/>
      <c r="Z136" s="376"/>
      <c r="AA136" s="376"/>
      <c r="AB136" s="376"/>
      <c r="AC136" s="376"/>
      <c r="AD136" s="376"/>
      <c r="AE136" s="376"/>
      <c r="AF136" s="376"/>
      <c r="AG136" s="376"/>
      <c r="AH136" s="376"/>
      <c r="AI136" s="521" t="str">
        <f>_xll.BLUEMATRIX2("ExcelToolkitService",C136,$B$1,"[DivisionName:27]DIVISION")</f>
        <v>#</v>
      </c>
      <c r="AJ136" s="479"/>
      <c r="AK136" s="378" t="str">
        <f>_xll.BLUEMATRIX2("/servlet/excelData",E136,$B$1,$B136&amp;":"&amp;E$115&amp;":"&amp;$AI$114)</f>
        <v>#</v>
      </c>
      <c r="AL136" s="378" t="str">
        <f>_xll.BLUEMATRIX2("/servlet/excelData",F136,$B$1,$B136&amp;":"&amp;F$115&amp;":"&amp;$AI$114)</f>
        <v>#</v>
      </c>
      <c r="AM136" s="378" t="str">
        <f>_xll.BLUEMATRIX2("/servlet/excelData",G136,$B$1,$B136&amp;":"&amp;G$115&amp;":"&amp;$AI$114)</f>
        <v>#</v>
      </c>
      <c r="AN136" s="378" t="str">
        <f>_xll.BLUEMATRIX2("/servlet/excelData",H136,$B$1,$B136&amp;":"&amp;H$115&amp;":"&amp;$AI$114)</f>
        <v>#</v>
      </c>
      <c r="AO136" s="378" t="str">
        <f>_xll.BLUEMATRIX2("/servlet/excelData",I136,$B$1,$B136&amp;":"&amp;I$115&amp;":"&amp;$AI$114)</f>
        <v>#</v>
      </c>
      <c r="AP136" s="378" t="str">
        <f>_xll.BLUEMATRIX2("/servlet/excelData",J136,$B$1,$B136&amp;":"&amp;J$115&amp;":"&amp;$AI$114)</f>
        <v>#</v>
      </c>
      <c r="AQ136" s="378" t="str">
        <f>_xll.BLUEMATRIX2("/servlet/excelData",K136,$B$1,$B136&amp;":"&amp;K$115&amp;":"&amp;$AI$114)</f>
        <v>#</v>
      </c>
      <c r="AR136" s="378" t="str">
        <f>_xll.BLUEMATRIX2("/servlet/excelData",L136,$B$1,$B136&amp;":"&amp;L$115&amp;":"&amp;$AI$114)</f>
        <v>#</v>
      </c>
      <c r="AS136" s="378" t="str">
        <f>_xll.BLUEMATRIX2("/servlet/excelData",M136,$B$1,$B136&amp;":"&amp;M$115&amp;":"&amp;$AI$114)</f>
        <v>#</v>
      </c>
      <c r="AT136" s="378" t="str">
        <f>_xll.BLUEMATRIX2("/servlet/excelData",N136,$B$1,$B136&amp;":"&amp;N$115&amp;":"&amp;$AI$114)</f>
        <v>#</v>
      </c>
      <c r="AU136" s="378" t="str">
        <f>_xll.BLUEMATRIX2("/servlet/excelData",O136,$B$1,$B136&amp;":"&amp;O$115&amp;":"&amp;$AI$114)</f>
        <v>#</v>
      </c>
      <c r="AV136" s="378" t="str">
        <f>_xll.BLUEMATRIX2("/servlet/excelData",P136,$B$1,$B136&amp;":"&amp;P$115&amp;":"&amp;$AI$114)</f>
        <v>#</v>
      </c>
      <c r="AW136" s="378" t="str">
        <f>_xll.BLUEMATRIX2("/servlet/excelData",Q136,$B$1,$B136&amp;":"&amp;Q$115&amp;":"&amp;$AI$114)</f>
        <v>#</v>
      </c>
    </row>
    <row r="137" spans="1:49" ht="12.95" customHeight="1">
      <c r="A137" s="348"/>
      <c r="B137" s="350" t="s">
        <v>596</v>
      </c>
      <c r="C137" s="380" t="s">
        <v>597</v>
      </c>
      <c r="D137" s="379"/>
      <c r="E137" s="379"/>
      <c r="F137" s="379"/>
      <c r="G137" s="379"/>
      <c r="H137" s="379"/>
      <c r="I137" s="379">
        <f t="array" ref="I137">_xlfn.IFS(AND(I131=0,I125=0),0,AND(I131=0,I125&lt;&gt;0),"nm",I131&lt;&gt;0,I125/I131-1)</f>
        <v>0</v>
      </c>
      <c r="J137" s="379">
        <f t="array" ref="J137">_xlfn.IFS(AND(J131=0,J125=0),0,AND(J131=0,J125&lt;&gt;0),"nm",J131&lt;&gt;0,J125/J131-1)</f>
        <v>0</v>
      </c>
      <c r="K137" s="379">
        <f t="array" ref="K137">_xlfn.IFS(AND(K131=0,K125=0),0,AND(K131=0,K125&lt;&gt;0),"nm",K131&lt;&gt;0,K125/K131-1)</f>
        <v>0</v>
      </c>
      <c r="L137" s="379">
        <f t="array" ref="L137">_xlfn.IFS(AND(L131=0,L125=0),0,AND(L131=0,L125&lt;&gt;0),"nm",L131&lt;&gt;0,L125/L131-1)</f>
        <v>0</v>
      </c>
      <c r="M137" s="379">
        <f t="array" ref="M137">_xlfn.IFS(AND(M131=0,M125=0),0,AND(M131=0,M125&lt;&gt;0),"nm",M131&lt;&gt;0,M125/M131-1)</f>
        <v>0</v>
      </c>
      <c r="N137" s="379">
        <f t="array" ref="N137">_xlfn.IFS(AND(N131=0,N125=0),0,AND(N131=0,N125&lt;&gt;0),"nm",N131&lt;&gt;0,N125/N131-1)</f>
        <v>0</v>
      </c>
      <c r="O137" s="379">
        <f t="array" ref="O137">_xlfn.IFS(AND(O131=0,O125=0),0,AND(O131=0,O125&lt;&gt;0),"nm",O131&lt;&gt;0,O125/O131-1)</f>
        <v>0</v>
      </c>
      <c r="P137" s="379">
        <f t="array" ref="P137">_xlfn.IFS(AND(P131=0,P125=0),0,AND(P131=0,P125&lt;&gt;0),"nm",P131&lt;&gt;0,P125/P131-1)</f>
        <v>0</v>
      </c>
      <c r="Q137" s="379">
        <f t="array" ref="Q137">_xlfn.IFS(AND(Q131=0,Q125=0),0,AND(Q131=0,Q125&lt;&gt;0),"nm",Q131&lt;&gt;0,Q125/Q131-1)</f>
        <v>0</v>
      </c>
      <c r="R137" s="376"/>
      <c r="S137" s="376"/>
      <c r="T137" s="376"/>
      <c r="U137" s="376"/>
      <c r="V137" s="376"/>
      <c r="W137" s="376"/>
      <c r="X137" s="376"/>
      <c r="Y137" s="376"/>
      <c r="Z137" s="376"/>
      <c r="AA137" s="376"/>
      <c r="AB137" s="376"/>
      <c r="AC137" s="376"/>
      <c r="AD137" s="376"/>
      <c r="AE137" s="376"/>
      <c r="AF137" s="376"/>
      <c r="AG137" s="376"/>
      <c r="AH137" s="376"/>
      <c r="AI137" s="521" t="str">
        <f>_xll.BLUEMATRIX2("ExcelToolkitService",C137,$B$1,"[DivisionName:28]DIVISION")</f>
        <v>#</v>
      </c>
      <c r="AJ137" s="479"/>
      <c r="AK137" s="378" t="str">
        <f>_xll.BLUEMATRIX2("/servlet/excelData",E137,$B$1,$B137&amp;":"&amp;E$115&amp;":"&amp;$AI$114)</f>
        <v>#</v>
      </c>
      <c r="AL137" s="378" t="str">
        <f>_xll.BLUEMATRIX2("/servlet/excelData",F137,$B$1,$B137&amp;":"&amp;F$115&amp;":"&amp;$AI$114)</f>
        <v>#</v>
      </c>
      <c r="AM137" s="378" t="str">
        <f>_xll.BLUEMATRIX2("/servlet/excelData",G137,$B$1,$B137&amp;":"&amp;G$115&amp;":"&amp;$AI$114)</f>
        <v>#</v>
      </c>
      <c r="AN137" s="378" t="str">
        <f>_xll.BLUEMATRIX2("/servlet/excelData",H137,$B$1,$B137&amp;":"&amp;H$115&amp;":"&amp;$AI$114)</f>
        <v>#</v>
      </c>
      <c r="AO137" s="378" t="str">
        <f>_xll.BLUEMATRIX2("/servlet/excelData",I137,$B$1,$B137&amp;":"&amp;I$115&amp;":"&amp;$AI$114)</f>
        <v>#</v>
      </c>
      <c r="AP137" s="378" t="str">
        <f>_xll.BLUEMATRIX2("/servlet/excelData",J137,$B$1,$B137&amp;":"&amp;J$115&amp;":"&amp;$AI$114)</f>
        <v>#</v>
      </c>
      <c r="AQ137" s="378" t="str">
        <f>_xll.BLUEMATRIX2("/servlet/excelData",K137,$B$1,$B137&amp;":"&amp;K$115&amp;":"&amp;$AI$114)</f>
        <v>#</v>
      </c>
      <c r="AR137" s="378" t="str">
        <f>_xll.BLUEMATRIX2("/servlet/excelData",L137,$B$1,$B137&amp;":"&amp;L$115&amp;":"&amp;$AI$114)</f>
        <v>#</v>
      </c>
      <c r="AS137" s="378" t="str">
        <f>_xll.BLUEMATRIX2("/servlet/excelData",M137,$B$1,$B137&amp;":"&amp;M$115&amp;":"&amp;$AI$114)</f>
        <v>#</v>
      </c>
      <c r="AT137" s="378" t="str">
        <f>_xll.BLUEMATRIX2("/servlet/excelData",N137,$B$1,$B137&amp;":"&amp;N$115&amp;":"&amp;$AI$114)</f>
        <v>#</v>
      </c>
      <c r="AU137" s="378" t="str">
        <f>_xll.BLUEMATRIX2("/servlet/excelData",O137,$B$1,$B137&amp;":"&amp;O$115&amp;":"&amp;$AI$114)</f>
        <v>#</v>
      </c>
      <c r="AV137" s="378" t="str">
        <f>_xll.BLUEMATRIX2("/servlet/excelData",P137,$B$1,$B137&amp;":"&amp;P$115&amp;":"&amp;$AI$114)</f>
        <v>#</v>
      </c>
      <c r="AW137" s="378" t="str">
        <f>_xll.BLUEMATRIX2("/servlet/excelData",Q137,$B$1,$B137&amp;":"&amp;Q$115&amp;":"&amp;$AI$114)</f>
        <v>#</v>
      </c>
    </row>
    <row r="138" spans="1:49" ht="12.95" customHeight="1">
      <c r="A138" s="348"/>
      <c r="B138" s="350"/>
      <c r="C138" s="380"/>
      <c r="D138" s="376"/>
      <c r="E138" s="376"/>
      <c r="F138" s="376"/>
      <c r="G138" s="376"/>
      <c r="H138" s="376"/>
      <c r="I138" s="376"/>
      <c r="J138" s="376"/>
      <c r="K138" s="376"/>
      <c r="L138" s="376"/>
      <c r="M138" s="376"/>
      <c r="N138" s="376"/>
      <c r="O138" s="376"/>
      <c r="P138" s="376"/>
      <c r="Q138" s="376"/>
      <c r="R138" s="376"/>
      <c r="S138" s="376"/>
      <c r="T138" s="376"/>
      <c r="U138" s="376"/>
      <c r="V138" s="376"/>
      <c r="W138" s="376"/>
      <c r="X138" s="376"/>
      <c r="Y138" s="376"/>
      <c r="Z138" s="376"/>
      <c r="AA138" s="376"/>
      <c r="AB138" s="376"/>
      <c r="AC138" s="376"/>
      <c r="AD138" s="376"/>
      <c r="AE138" s="376"/>
      <c r="AF138" s="376"/>
      <c r="AG138" s="376"/>
      <c r="AH138" s="376"/>
      <c r="AI138" s="322"/>
      <c r="AJ138" s="477"/>
      <c r="AK138" s="351"/>
      <c r="AL138" s="351"/>
      <c r="AM138" s="351"/>
      <c r="AN138" s="351"/>
      <c r="AO138" s="351"/>
      <c r="AP138" s="351"/>
      <c r="AQ138" s="351"/>
      <c r="AR138" s="351"/>
      <c r="AS138" s="351"/>
      <c r="AT138" s="351"/>
      <c r="AU138" s="351"/>
      <c r="AV138" s="351"/>
      <c r="AW138" s="351"/>
    </row>
    <row r="139" spans="1:49" ht="15" customHeight="1">
      <c r="A139" s="381"/>
      <c r="B139" s="381"/>
      <c r="C139" s="369" t="s">
        <v>598</v>
      </c>
      <c r="D139" s="377"/>
      <c r="E139" s="370"/>
      <c r="F139" s="377"/>
      <c r="G139" s="370"/>
      <c r="H139" s="377"/>
      <c r="I139" s="370"/>
      <c r="J139" s="377"/>
      <c r="K139" s="370"/>
      <c r="L139" s="377"/>
      <c r="M139" s="377"/>
      <c r="N139" s="377"/>
      <c r="O139" s="377"/>
      <c r="P139" s="377"/>
      <c r="Q139" s="377"/>
      <c r="R139" s="370"/>
      <c r="S139" s="377"/>
      <c r="T139" s="370"/>
      <c r="U139" s="377"/>
      <c r="V139" s="370"/>
      <c r="W139" s="377"/>
      <c r="X139" s="370"/>
      <c r="Y139" s="377"/>
      <c r="Z139" s="370"/>
      <c r="AA139" s="377"/>
      <c r="AB139" s="370"/>
      <c r="AC139" s="377"/>
      <c r="AD139" s="370"/>
      <c r="AE139" s="377"/>
      <c r="AF139" s="370"/>
      <c r="AG139" s="377"/>
      <c r="AH139" s="370"/>
      <c r="AI139" s="328"/>
      <c r="AJ139" s="478"/>
    </row>
    <row r="140" spans="1:49" ht="12.95" customHeight="1">
      <c r="A140" s="382" t="s">
        <v>599</v>
      </c>
      <c r="B140" s="350" t="s">
        <v>600</v>
      </c>
      <c r="C140" s="481" t="s">
        <v>601</v>
      </c>
      <c r="D140" s="420"/>
      <c r="E140" s="420"/>
      <c r="F140" s="420"/>
      <c r="G140" s="420"/>
      <c r="H140" s="420"/>
      <c r="I140" s="420">
        <f>FY!G45</f>
        <v>575.4200442999371</v>
      </c>
      <c r="J140" s="420">
        <f>FY!H45</f>
        <v>862.6</v>
      </c>
      <c r="K140" s="420">
        <f>FY!I45</f>
        <v>870.5</v>
      </c>
      <c r="L140" s="420">
        <f>FY!J45</f>
        <v>825.2</v>
      </c>
      <c r="M140" s="420">
        <f>FY!K45</f>
        <v>822.7</v>
      </c>
      <c r="N140" s="420">
        <f>FY!L45</f>
        <v>840.93399999999997</v>
      </c>
      <c r="O140" s="420">
        <f>FY!M45</f>
        <v>859.61222999999995</v>
      </c>
      <c r="P140" s="420">
        <f>FY!N45</f>
        <v>899.31188750000001</v>
      </c>
      <c r="Q140" s="420">
        <f>FY!O45</f>
        <v>935.82404444699989</v>
      </c>
      <c r="R140" s="384"/>
      <c r="S140" s="384"/>
      <c r="T140" s="384"/>
      <c r="U140" s="384"/>
      <c r="V140" s="384"/>
      <c r="W140" s="384"/>
      <c r="X140" s="384"/>
      <c r="Y140" s="384"/>
      <c r="Z140" s="384"/>
      <c r="AA140" s="384"/>
      <c r="AB140" s="384"/>
      <c r="AC140" s="384"/>
      <c r="AD140" s="384"/>
      <c r="AE140" s="384"/>
      <c r="AF140" s="384"/>
      <c r="AG140" s="384"/>
      <c r="AH140" s="384"/>
      <c r="AI140" s="385"/>
      <c r="AJ140" s="479"/>
      <c r="AK140" s="378" t="str">
        <f>_xll.BLUEMATRIX2("/servlet/excelData",E140,$B$1,$B140&amp;":"&amp;E$115&amp;":"&amp;$AI$114)</f>
        <v>#</v>
      </c>
      <c r="AL140" s="378" t="str">
        <f>_xll.BLUEMATRIX2("/servlet/excelData",F140,$B$1,$B140&amp;":"&amp;F$115&amp;":"&amp;$AI$114)</f>
        <v>#</v>
      </c>
      <c r="AM140" s="378" t="str">
        <f>_xll.BLUEMATRIX2("/servlet/excelData",G140,$B$1,$B140&amp;":"&amp;G$115&amp;":"&amp;$AI$114)</f>
        <v>#</v>
      </c>
      <c r="AN140" s="378" t="str">
        <f>_xll.BLUEMATRIX2("/servlet/excelData",H140,$B$1,$B140&amp;":"&amp;H$115&amp;":"&amp;$AI$114)</f>
        <v>#</v>
      </c>
      <c r="AO140" s="378" t="str">
        <f>_xll.BLUEMATRIX2("/servlet/excelData",I140,$B$1,$B140&amp;":"&amp;I$115&amp;":"&amp;$AI$114)</f>
        <v>#</v>
      </c>
      <c r="AP140" s="378" t="str">
        <f>_xll.BLUEMATRIX2("/servlet/excelData",J140,$B$1,$B140&amp;":"&amp;J$115&amp;":"&amp;$AI$114)</f>
        <v>#</v>
      </c>
      <c r="AQ140" s="378" t="str">
        <f>_xll.BLUEMATRIX2("/servlet/excelData",K140,$B$1,$B140&amp;":"&amp;K$115&amp;":"&amp;$AI$114)</f>
        <v>#</v>
      </c>
      <c r="AR140" s="378" t="str">
        <f>_xll.BLUEMATRIX2("/servlet/excelData",L140,$B$1,$B140&amp;":"&amp;L$115&amp;":"&amp;$AI$114)</f>
        <v>#</v>
      </c>
      <c r="AS140" s="378" t="str">
        <f>_xll.BLUEMATRIX2("/servlet/excelData",M140,$B$1,$B140&amp;":"&amp;M$115&amp;":"&amp;$AI$114)</f>
        <v>#</v>
      </c>
      <c r="AT140" s="378" t="str">
        <f>_xll.BLUEMATRIX2("/servlet/excelData",N140,$B$1,$B140&amp;":"&amp;N$115&amp;":"&amp;$AI$114)</f>
        <v>#</v>
      </c>
      <c r="AU140" s="378" t="str">
        <f>_xll.BLUEMATRIX2("/servlet/excelData",O140,$B$1,$B140&amp;":"&amp;O$115&amp;":"&amp;$AI$114)</f>
        <v>#</v>
      </c>
      <c r="AV140" s="378" t="str">
        <f>_xll.BLUEMATRIX2("/servlet/excelData",P140,$B$1,$B140&amp;":"&amp;P$115&amp;":"&amp;$AI$114)</f>
        <v>#</v>
      </c>
      <c r="AW140" s="378" t="str">
        <f>_xll.BLUEMATRIX2("/servlet/excelData",Q140,$B$1,$B140&amp;":"&amp;Q$115&amp;":"&amp;$AI$114)</f>
        <v>#</v>
      </c>
    </row>
    <row r="141" spans="1:49" ht="12.95" customHeight="1">
      <c r="A141" s="382" t="s">
        <v>602</v>
      </c>
      <c r="B141" s="350" t="s">
        <v>603</v>
      </c>
      <c r="C141" s="481" t="s">
        <v>604</v>
      </c>
      <c r="D141" s="420"/>
      <c r="E141" s="420"/>
      <c r="F141" s="420"/>
      <c r="G141" s="420"/>
      <c r="H141" s="420"/>
      <c r="I141" s="420"/>
      <c r="J141" s="420"/>
      <c r="K141" s="420"/>
      <c r="L141" s="420"/>
      <c r="M141" s="420"/>
      <c r="N141" s="420"/>
      <c r="O141" s="420"/>
      <c r="P141" s="420"/>
      <c r="Q141" s="420"/>
      <c r="R141" s="384"/>
      <c r="S141" s="384"/>
      <c r="T141" s="384"/>
      <c r="U141" s="384"/>
      <c r="V141" s="384"/>
      <c r="W141" s="384"/>
      <c r="X141" s="384"/>
      <c r="Y141" s="384"/>
      <c r="Z141" s="384"/>
      <c r="AA141" s="384"/>
      <c r="AB141" s="384"/>
      <c r="AC141" s="384"/>
      <c r="AD141" s="384"/>
      <c r="AE141" s="384"/>
      <c r="AF141" s="384"/>
      <c r="AG141" s="384"/>
      <c r="AH141" s="384"/>
      <c r="AI141" s="385"/>
      <c r="AJ141" s="479"/>
      <c r="AK141" s="378" t="str">
        <f>_xll.BLUEMATRIX2("/servlet/excelData",E141,$B$1,$B141&amp;":"&amp;E$115&amp;":"&amp;$AI$114)</f>
        <v>#</v>
      </c>
      <c r="AL141" s="378" t="str">
        <f>_xll.BLUEMATRIX2("/servlet/excelData",F141,$B$1,$B141&amp;":"&amp;F$115&amp;":"&amp;$AI$114)</f>
        <v>#</v>
      </c>
      <c r="AM141" s="378" t="str">
        <f>_xll.BLUEMATRIX2("/servlet/excelData",G141,$B$1,$B141&amp;":"&amp;G$115&amp;":"&amp;$AI$114)</f>
        <v>#</v>
      </c>
      <c r="AN141" s="378" t="str">
        <f>_xll.BLUEMATRIX2("/servlet/excelData",H141,$B$1,$B141&amp;":"&amp;H$115&amp;":"&amp;$AI$114)</f>
        <v>#</v>
      </c>
      <c r="AO141" s="378" t="str">
        <f>_xll.BLUEMATRIX2("/servlet/excelData",I141,$B$1,$B141&amp;":"&amp;I$115&amp;":"&amp;$AI$114)</f>
        <v>#</v>
      </c>
      <c r="AP141" s="378" t="str">
        <f>_xll.BLUEMATRIX2("/servlet/excelData",J141,$B$1,$B141&amp;":"&amp;J$115&amp;":"&amp;$AI$114)</f>
        <v>#</v>
      </c>
      <c r="AQ141" s="378" t="str">
        <f>_xll.BLUEMATRIX2("/servlet/excelData",K141,$B$1,$B141&amp;":"&amp;K$115&amp;":"&amp;$AI$114)</f>
        <v>#</v>
      </c>
      <c r="AR141" s="378" t="str">
        <f>_xll.BLUEMATRIX2("/servlet/excelData",L141,$B$1,$B141&amp;":"&amp;L$115&amp;":"&amp;$AI$114)</f>
        <v>#</v>
      </c>
      <c r="AS141" s="378" t="str">
        <f>_xll.BLUEMATRIX2("/servlet/excelData",M141,$B$1,$B141&amp;":"&amp;M$115&amp;":"&amp;$AI$114)</f>
        <v>#</v>
      </c>
      <c r="AT141" s="378" t="str">
        <f>_xll.BLUEMATRIX2("/servlet/excelData",N141,$B$1,$B141&amp;":"&amp;N$115&amp;":"&amp;$AI$114)</f>
        <v>#</v>
      </c>
      <c r="AU141" s="378" t="str">
        <f>_xll.BLUEMATRIX2("/servlet/excelData",O141,$B$1,$B141&amp;":"&amp;O$115&amp;":"&amp;$AI$114)</f>
        <v>#</v>
      </c>
      <c r="AV141" s="378" t="str">
        <f>_xll.BLUEMATRIX2("/servlet/excelData",P141,$B$1,$B141&amp;":"&amp;P$115&amp;":"&amp;$AI$114)</f>
        <v>#</v>
      </c>
      <c r="AW141" s="378" t="str">
        <f>_xll.BLUEMATRIX2("/servlet/excelData",Q141,$B$1,$B141&amp;":"&amp;Q$115&amp;":"&amp;$AI$114)</f>
        <v>#</v>
      </c>
    </row>
    <row r="142" spans="1:49" ht="12.95" customHeight="1">
      <c r="A142" s="382" t="s">
        <v>605</v>
      </c>
      <c r="B142" s="350" t="s">
        <v>606</v>
      </c>
      <c r="C142" s="386" t="s">
        <v>607</v>
      </c>
      <c r="D142" s="387"/>
      <c r="E142" s="387"/>
      <c r="F142" s="387"/>
      <c r="G142" s="387"/>
      <c r="H142" s="387"/>
      <c r="I142" s="387">
        <f t="shared" ref="I142:Q142" si="8">SUM(I140:I141)</f>
        <v>575.4200442999371</v>
      </c>
      <c r="J142" s="387">
        <f t="shared" si="8"/>
        <v>862.6</v>
      </c>
      <c r="K142" s="387">
        <f t="shared" si="8"/>
        <v>870.5</v>
      </c>
      <c r="L142" s="387">
        <f t="shared" si="8"/>
        <v>825.2</v>
      </c>
      <c r="M142" s="387">
        <f t="shared" si="8"/>
        <v>822.7</v>
      </c>
      <c r="N142" s="387">
        <f t="shared" si="8"/>
        <v>840.93399999999997</v>
      </c>
      <c r="O142" s="387">
        <f t="shared" si="8"/>
        <v>859.61222999999995</v>
      </c>
      <c r="P142" s="387">
        <f t="shared" si="8"/>
        <v>899.31188750000001</v>
      </c>
      <c r="Q142" s="387">
        <f t="shared" si="8"/>
        <v>935.82404444699989</v>
      </c>
      <c r="R142" s="387"/>
      <c r="S142" s="387"/>
      <c r="T142" s="387">
        <f t="shared" ref="T142:AH142" si="9">T140+T141</f>
        <v>0</v>
      </c>
      <c r="U142" s="387">
        <f t="shared" si="9"/>
        <v>0</v>
      </c>
      <c r="V142" s="387">
        <f t="shared" si="9"/>
        <v>0</v>
      </c>
      <c r="W142" s="387">
        <f t="shared" si="9"/>
        <v>0</v>
      </c>
      <c r="X142" s="387">
        <f t="shared" si="9"/>
        <v>0</v>
      </c>
      <c r="Y142" s="387">
        <f t="shared" si="9"/>
        <v>0</v>
      </c>
      <c r="Z142" s="387">
        <f t="shared" si="9"/>
        <v>0</v>
      </c>
      <c r="AA142" s="387">
        <f t="shared" si="9"/>
        <v>0</v>
      </c>
      <c r="AB142" s="387">
        <f t="shared" si="9"/>
        <v>0</v>
      </c>
      <c r="AC142" s="387">
        <f t="shared" si="9"/>
        <v>0</v>
      </c>
      <c r="AD142" s="387">
        <f t="shared" si="9"/>
        <v>0</v>
      </c>
      <c r="AE142" s="387">
        <f t="shared" si="9"/>
        <v>0</v>
      </c>
      <c r="AF142" s="387">
        <f t="shared" si="9"/>
        <v>0</v>
      </c>
      <c r="AG142" s="387">
        <f t="shared" si="9"/>
        <v>0</v>
      </c>
      <c r="AH142" s="387">
        <f t="shared" si="9"/>
        <v>0</v>
      </c>
      <c r="AI142" s="385"/>
      <c r="AJ142" s="479"/>
      <c r="AK142" s="378" t="str">
        <f>_xll.BLUEMATRIX2("/servlet/excelData",E142,$B$1,$B142&amp;":"&amp;E$115&amp;":"&amp;$AI$114)</f>
        <v>#</v>
      </c>
      <c r="AL142" s="378" t="str">
        <f>_xll.BLUEMATRIX2("/servlet/excelData",F142,$B$1,$B142&amp;":"&amp;F$115&amp;":"&amp;$AI$114)</f>
        <v>#</v>
      </c>
      <c r="AM142" s="378" t="str">
        <f>_xll.BLUEMATRIX2("/servlet/excelData",G142,$B$1,$B142&amp;":"&amp;G$115&amp;":"&amp;$AI$114)</f>
        <v>#</v>
      </c>
      <c r="AN142" s="378" t="str">
        <f>_xll.BLUEMATRIX2("/servlet/excelData",H142,$B$1,$B142&amp;":"&amp;H$115&amp;":"&amp;$AI$114)</f>
        <v>#</v>
      </c>
      <c r="AO142" s="378" t="str">
        <f>_xll.BLUEMATRIX2("/servlet/excelData",I142,$B$1,$B142&amp;":"&amp;I$115&amp;":"&amp;$AI$114)</f>
        <v>#</v>
      </c>
      <c r="AP142" s="378" t="str">
        <f>_xll.BLUEMATRIX2("/servlet/excelData",J142,$B$1,$B142&amp;":"&amp;J$115&amp;":"&amp;$AI$114)</f>
        <v>#</v>
      </c>
      <c r="AQ142" s="378" t="str">
        <f>_xll.BLUEMATRIX2("/servlet/excelData",K142,$B$1,$B142&amp;":"&amp;K$115&amp;":"&amp;$AI$114)</f>
        <v>#</v>
      </c>
      <c r="AR142" s="378" t="str">
        <f>_xll.BLUEMATRIX2("/servlet/excelData",L142,$B$1,$B142&amp;":"&amp;L$115&amp;":"&amp;$AI$114)</f>
        <v>#</v>
      </c>
      <c r="AS142" s="378" t="str">
        <f>_xll.BLUEMATRIX2("/servlet/excelData",M142,$B$1,$B142&amp;":"&amp;M$115&amp;":"&amp;$AI$114)</f>
        <v>#</v>
      </c>
      <c r="AT142" s="378" t="str">
        <f>_xll.BLUEMATRIX2("/servlet/excelData",N142,$B$1,$B142&amp;":"&amp;N$115&amp;":"&amp;$AI$114)</f>
        <v>#</v>
      </c>
      <c r="AU142" s="378" t="str">
        <f>_xll.BLUEMATRIX2("/servlet/excelData",O142,$B$1,$B142&amp;":"&amp;O$115&amp;":"&amp;$AI$114)</f>
        <v>#</v>
      </c>
      <c r="AV142" s="378" t="str">
        <f>_xll.BLUEMATRIX2("/servlet/excelData",P142,$B$1,$B142&amp;":"&amp;P$115&amp;":"&amp;$AI$114)</f>
        <v>#</v>
      </c>
      <c r="AW142" s="378" t="str">
        <f>_xll.BLUEMATRIX2("/servlet/excelData",Q142,$B$1,$B142&amp;":"&amp;Q$115&amp;":"&amp;$AI$114)</f>
        <v>#</v>
      </c>
    </row>
    <row r="143" spans="1:49" ht="12.95" customHeight="1">
      <c r="A143" s="382" t="s">
        <v>608</v>
      </c>
      <c r="B143" s="350" t="s">
        <v>275</v>
      </c>
      <c r="C143" s="383" t="s">
        <v>609</v>
      </c>
      <c r="D143" s="384"/>
      <c r="E143" s="384"/>
      <c r="F143" s="384"/>
      <c r="G143" s="384"/>
      <c r="H143" s="384"/>
      <c r="I143" s="384"/>
      <c r="J143" s="384"/>
      <c r="K143" s="384"/>
      <c r="L143" s="384"/>
      <c r="M143" s="384"/>
      <c r="N143" s="384"/>
      <c r="O143" s="384"/>
      <c r="P143" s="384"/>
      <c r="Q143" s="384"/>
      <c r="R143" s="384"/>
      <c r="S143" s="384"/>
      <c r="T143" s="384"/>
      <c r="U143" s="384"/>
      <c r="V143" s="384"/>
      <c r="W143" s="384"/>
      <c r="X143" s="384"/>
      <c r="Y143" s="384"/>
      <c r="Z143" s="384"/>
      <c r="AA143" s="384"/>
      <c r="AB143" s="384"/>
      <c r="AC143" s="384"/>
      <c r="AD143" s="384"/>
      <c r="AE143" s="384"/>
      <c r="AF143" s="384"/>
      <c r="AG143" s="384"/>
      <c r="AH143" s="384"/>
      <c r="AI143" s="322"/>
      <c r="AJ143" s="479"/>
      <c r="AK143" s="378" t="str">
        <f>_xll.BLUEMATRIX2("/servlet/excelData",E143,$B$1,$B143&amp;":"&amp;E$115&amp;":"&amp;$AI$114)</f>
        <v>#</v>
      </c>
      <c r="AL143" s="378" t="str">
        <f>_xll.BLUEMATRIX2("/servlet/excelData",F143,$B$1,$B143&amp;":"&amp;F$115&amp;":"&amp;$AI$114)</f>
        <v>#</v>
      </c>
      <c r="AM143" s="378" t="str">
        <f>_xll.BLUEMATRIX2("/servlet/excelData",G143,$B$1,$B143&amp;":"&amp;G$115&amp;":"&amp;$AI$114)</f>
        <v>#</v>
      </c>
      <c r="AN143" s="378" t="str">
        <f>_xll.BLUEMATRIX2("/servlet/excelData",H143,$B$1,$B143&amp;":"&amp;H$115&amp;":"&amp;$AI$114)</f>
        <v>#</v>
      </c>
      <c r="AO143" s="378" t="str">
        <f>_xll.BLUEMATRIX2("/servlet/excelData",I143,$B$1,$B143&amp;":"&amp;I$115&amp;":"&amp;$AI$114)</f>
        <v>#</v>
      </c>
      <c r="AP143" s="378" t="str">
        <f>_xll.BLUEMATRIX2("/servlet/excelData",J143,$B$1,$B143&amp;":"&amp;J$115&amp;":"&amp;$AI$114)</f>
        <v>#</v>
      </c>
      <c r="AQ143" s="378" t="str">
        <f>_xll.BLUEMATRIX2("/servlet/excelData",K143,$B$1,$B143&amp;":"&amp;K$115&amp;":"&amp;$AI$114)</f>
        <v>#</v>
      </c>
      <c r="AR143" s="378" t="str">
        <f>_xll.BLUEMATRIX2("/servlet/excelData",L143,$B$1,$B143&amp;":"&amp;L$115&amp;":"&amp;$AI$114)</f>
        <v>#</v>
      </c>
      <c r="AS143" s="378" t="str">
        <f>_xll.BLUEMATRIX2("/servlet/excelData",M143,$B$1,$B143&amp;":"&amp;M$115&amp;":"&amp;$AI$114)</f>
        <v>#</v>
      </c>
      <c r="AT143" s="378" t="str">
        <f>_xll.BLUEMATRIX2("/servlet/excelData",N143,$B$1,$B143&amp;":"&amp;N$115&amp;":"&amp;$AI$114)</f>
        <v>#</v>
      </c>
      <c r="AU143" s="378" t="str">
        <f>_xll.BLUEMATRIX2("/servlet/excelData",O143,$B$1,$B143&amp;":"&amp;O$115&amp;":"&amp;$AI$114)</f>
        <v>#</v>
      </c>
      <c r="AV143" s="378" t="str">
        <f>_xll.BLUEMATRIX2("/servlet/excelData",P143,$B$1,$B143&amp;":"&amp;P$115&amp;":"&amp;$AI$114)</f>
        <v>#</v>
      </c>
      <c r="AW143" s="378" t="str">
        <f>_xll.BLUEMATRIX2("/servlet/excelData",Q143,$B$1,$B143&amp;":"&amp;Q$115&amp;":"&amp;$AI$114)</f>
        <v>#</v>
      </c>
    </row>
    <row r="144" spans="1:49" ht="12.95" customHeight="1">
      <c r="A144" s="388" t="s">
        <v>610</v>
      </c>
      <c r="B144" s="350" t="s">
        <v>611</v>
      </c>
      <c r="C144" s="380" t="s">
        <v>612</v>
      </c>
      <c r="D144" s="384"/>
      <c r="E144" s="384"/>
      <c r="F144" s="384"/>
      <c r="G144" s="384"/>
      <c r="H144" s="384"/>
      <c r="I144" s="384"/>
      <c r="J144" s="384"/>
      <c r="K144" s="384"/>
      <c r="L144" s="384"/>
      <c r="M144" s="384"/>
      <c r="N144" s="384"/>
      <c r="O144" s="384"/>
      <c r="P144" s="384"/>
      <c r="Q144" s="384"/>
      <c r="R144" s="384"/>
      <c r="S144" s="384"/>
      <c r="T144" s="384"/>
      <c r="U144" s="384"/>
      <c r="V144" s="384"/>
      <c r="W144" s="384"/>
      <c r="X144" s="384"/>
      <c r="Y144" s="384"/>
      <c r="Z144" s="384"/>
      <c r="AA144" s="384"/>
      <c r="AB144" s="384"/>
      <c r="AC144" s="384"/>
      <c r="AD144" s="384"/>
      <c r="AE144" s="384"/>
      <c r="AF144" s="384"/>
      <c r="AG144" s="384"/>
      <c r="AH144" s="384"/>
      <c r="AI144" s="322"/>
      <c r="AJ144" s="479"/>
      <c r="AK144" s="378" t="str">
        <f>_xll.BLUEMATRIX2("/servlet/excelData",E144,$B$1,$B144&amp;":"&amp;E$115&amp;":"&amp;$AI$114)</f>
        <v>#</v>
      </c>
      <c r="AL144" s="378" t="str">
        <f>_xll.BLUEMATRIX2("/servlet/excelData",F144,$B$1,$B144&amp;":"&amp;F$115&amp;":"&amp;$AI$114)</f>
        <v>#</v>
      </c>
      <c r="AM144" s="378" t="str">
        <f>_xll.BLUEMATRIX2("/servlet/excelData",G144,$B$1,$B144&amp;":"&amp;G$115&amp;":"&amp;$AI$114)</f>
        <v>#</v>
      </c>
      <c r="AN144" s="378" t="str">
        <f>_xll.BLUEMATRIX2("/servlet/excelData",H144,$B$1,$B144&amp;":"&amp;H$115&amp;":"&amp;$AI$114)</f>
        <v>#</v>
      </c>
      <c r="AO144" s="378" t="str">
        <f>_xll.BLUEMATRIX2("/servlet/excelData",I144,$B$1,$B144&amp;":"&amp;I$115&amp;":"&amp;$AI$114)</f>
        <v>#</v>
      </c>
      <c r="AP144" s="378" t="str">
        <f>_xll.BLUEMATRIX2("/servlet/excelData",J144,$B$1,$B144&amp;":"&amp;J$115&amp;":"&amp;$AI$114)</f>
        <v>#</v>
      </c>
      <c r="AQ144" s="378" t="str">
        <f>_xll.BLUEMATRIX2("/servlet/excelData",K144,$B$1,$B144&amp;":"&amp;K$115&amp;":"&amp;$AI$114)</f>
        <v>#</v>
      </c>
      <c r="AR144" s="378" t="str">
        <f>_xll.BLUEMATRIX2("/servlet/excelData",L144,$B$1,$B144&amp;":"&amp;L$115&amp;":"&amp;$AI$114)</f>
        <v>#</v>
      </c>
      <c r="AS144" s="378" t="str">
        <f>_xll.BLUEMATRIX2("/servlet/excelData",M144,$B$1,$B144&amp;":"&amp;M$115&amp;":"&amp;$AI$114)</f>
        <v>#</v>
      </c>
      <c r="AT144" s="378" t="str">
        <f>_xll.BLUEMATRIX2("/servlet/excelData",N144,$B$1,$B144&amp;":"&amp;N$115&amp;":"&amp;$AI$114)</f>
        <v>#</v>
      </c>
      <c r="AU144" s="378" t="str">
        <f>_xll.BLUEMATRIX2("/servlet/excelData",O144,$B$1,$B144&amp;":"&amp;O$115&amp;":"&amp;$AI$114)</f>
        <v>#</v>
      </c>
      <c r="AV144" s="378" t="str">
        <f>_xll.BLUEMATRIX2("/servlet/excelData",P144,$B$1,$B144&amp;":"&amp;P$115&amp;":"&amp;$AI$114)</f>
        <v>#</v>
      </c>
      <c r="AW144" s="378" t="str">
        <f>_xll.BLUEMATRIX2("/servlet/excelData",Q144,$B$1,$B144&amp;":"&amp;Q$115&amp;":"&amp;$AI$114)</f>
        <v>#</v>
      </c>
    </row>
    <row r="145" spans="1:49" ht="12.95" customHeight="1">
      <c r="A145" s="388" t="s">
        <v>613</v>
      </c>
      <c r="B145" s="350" t="s">
        <v>614</v>
      </c>
      <c r="C145" s="380" t="s">
        <v>615</v>
      </c>
      <c r="D145" s="384"/>
      <c r="E145" s="384"/>
      <c r="F145" s="384"/>
      <c r="G145" s="384"/>
      <c r="H145" s="384"/>
      <c r="I145" s="384"/>
      <c r="J145" s="384"/>
      <c r="K145" s="384"/>
      <c r="L145" s="384"/>
      <c r="M145" s="384"/>
      <c r="N145" s="384"/>
      <c r="O145" s="384"/>
      <c r="P145" s="384"/>
      <c r="Q145" s="384"/>
      <c r="R145" s="384"/>
      <c r="S145" s="384"/>
      <c r="T145" s="384"/>
      <c r="U145" s="384"/>
      <c r="V145" s="384"/>
      <c r="W145" s="384"/>
      <c r="X145" s="384"/>
      <c r="Y145" s="384"/>
      <c r="Z145" s="384"/>
      <c r="AA145" s="384"/>
      <c r="AB145" s="384"/>
      <c r="AC145" s="384"/>
      <c r="AD145" s="384"/>
      <c r="AE145" s="384"/>
      <c r="AF145" s="384"/>
      <c r="AG145" s="384"/>
      <c r="AH145" s="384"/>
      <c r="AI145" s="322"/>
      <c r="AJ145" s="479"/>
      <c r="AK145" s="378" t="str">
        <f>_xll.BLUEMATRIX2("/servlet/excelData",E145,$B$1,$B145&amp;":"&amp;E$115&amp;":"&amp;$AI$114)</f>
        <v>#</v>
      </c>
      <c r="AL145" s="378" t="str">
        <f>_xll.BLUEMATRIX2("/servlet/excelData",F145,$B$1,$B145&amp;":"&amp;F$115&amp;":"&amp;$AI$114)</f>
        <v>#</v>
      </c>
      <c r="AM145" s="378" t="str">
        <f>_xll.BLUEMATRIX2("/servlet/excelData",G145,$B$1,$B145&amp;":"&amp;G$115&amp;":"&amp;$AI$114)</f>
        <v>#</v>
      </c>
      <c r="AN145" s="378" t="str">
        <f>_xll.BLUEMATRIX2("/servlet/excelData",H145,$B$1,$B145&amp;":"&amp;H$115&amp;":"&amp;$AI$114)</f>
        <v>#</v>
      </c>
      <c r="AO145" s="378" t="str">
        <f>_xll.BLUEMATRIX2("/servlet/excelData",I145,$B$1,$B145&amp;":"&amp;I$115&amp;":"&amp;$AI$114)</f>
        <v>#</v>
      </c>
      <c r="AP145" s="378" t="str">
        <f>_xll.BLUEMATRIX2("/servlet/excelData",J145,$B$1,$B145&amp;":"&amp;J$115&amp;":"&amp;$AI$114)</f>
        <v>#</v>
      </c>
      <c r="AQ145" s="378" t="str">
        <f>_xll.BLUEMATRIX2("/servlet/excelData",K145,$B$1,$B145&amp;":"&amp;K$115&amp;":"&amp;$AI$114)</f>
        <v>#</v>
      </c>
      <c r="AR145" s="378" t="str">
        <f>_xll.BLUEMATRIX2("/servlet/excelData",L145,$B$1,$B145&amp;":"&amp;L$115&amp;":"&amp;$AI$114)</f>
        <v>#</v>
      </c>
      <c r="AS145" s="378" t="str">
        <f>_xll.BLUEMATRIX2("/servlet/excelData",M145,$B$1,$B145&amp;":"&amp;M$115&amp;":"&amp;$AI$114)</f>
        <v>#</v>
      </c>
      <c r="AT145" s="378" t="str">
        <f>_xll.BLUEMATRIX2("/servlet/excelData",N145,$B$1,$B145&amp;":"&amp;N$115&amp;":"&amp;$AI$114)</f>
        <v>#</v>
      </c>
      <c r="AU145" s="378" t="str">
        <f>_xll.BLUEMATRIX2("/servlet/excelData",O145,$B$1,$B145&amp;":"&amp;O$115&amp;":"&amp;$AI$114)</f>
        <v>#</v>
      </c>
      <c r="AV145" s="378" t="str">
        <f>_xll.BLUEMATRIX2("/servlet/excelData",P145,$B$1,$B145&amp;":"&amp;P$115&amp;":"&amp;$AI$114)</f>
        <v>#</v>
      </c>
      <c r="AW145" s="378" t="str">
        <f>_xll.BLUEMATRIX2("/servlet/excelData",Q145,$B$1,$B145&amp;":"&amp;Q$115&amp;":"&amp;$AI$114)</f>
        <v>#</v>
      </c>
    </row>
    <row r="146" spans="1:49" ht="12.95" customHeight="1">
      <c r="A146" s="388" t="s">
        <v>616</v>
      </c>
      <c r="B146" s="350" t="s">
        <v>617</v>
      </c>
      <c r="C146" s="380" t="s">
        <v>618</v>
      </c>
      <c r="D146" s="384"/>
      <c r="E146" s="384"/>
      <c r="F146" s="384"/>
      <c r="G146" s="384"/>
      <c r="H146" s="384"/>
      <c r="I146" s="384"/>
      <c r="J146" s="384"/>
      <c r="K146" s="384"/>
      <c r="L146" s="384"/>
      <c r="M146" s="384"/>
      <c r="N146" s="384"/>
      <c r="O146" s="384"/>
      <c r="P146" s="384"/>
      <c r="Q146" s="384"/>
      <c r="R146" s="384"/>
      <c r="S146" s="384"/>
      <c r="T146" s="384"/>
      <c r="U146" s="384"/>
      <c r="V146" s="384"/>
      <c r="W146" s="384"/>
      <c r="X146" s="384"/>
      <c r="Y146" s="384"/>
      <c r="Z146" s="384"/>
      <c r="AA146" s="384"/>
      <c r="AB146" s="384"/>
      <c r="AC146" s="384"/>
      <c r="AD146" s="384"/>
      <c r="AE146" s="384"/>
      <c r="AF146" s="384"/>
      <c r="AG146" s="384"/>
      <c r="AH146" s="384"/>
      <c r="AI146" s="322"/>
      <c r="AJ146" s="479"/>
      <c r="AK146" s="378" t="str">
        <f>_xll.BLUEMATRIX2("/servlet/excelData",E146,$B$1,$B146&amp;":"&amp;E$115&amp;":"&amp;$AI$114)</f>
        <v>#</v>
      </c>
      <c r="AL146" s="378" t="str">
        <f>_xll.BLUEMATRIX2("/servlet/excelData",F146,$B$1,$B146&amp;":"&amp;F$115&amp;":"&amp;$AI$114)</f>
        <v>#</v>
      </c>
      <c r="AM146" s="378" t="str">
        <f>_xll.BLUEMATRIX2("/servlet/excelData",G146,$B$1,$B146&amp;":"&amp;G$115&amp;":"&amp;$AI$114)</f>
        <v>#</v>
      </c>
      <c r="AN146" s="378" t="str">
        <f>_xll.BLUEMATRIX2("/servlet/excelData",H146,$B$1,$B146&amp;":"&amp;H$115&amp;":"&amp;$AI$114)</f>
        <v>#</v>
      </c>
      <c r="AO146" s="378" t="str">
        <f>_xll.BLUEMATRIX2("/servlet/excelData",I146,$B$1,$B146&amp;":"&amp;I$115&amp;":"&amp;$AI$114)</f>
        <v>#</v>
      </c>
      <c r="AP146" s="378" t="str">
        <f>_xll.BLUEMATRIX2("/servlet/excelData",J146,$B$1,$B146&amp;":"&amp;J$115&amp;":"&amp;$AI$114)</f>
        <v>#</v>
      </c>
      <c r="AQ146" s="378" t="str">
        <f>_xll.BLUEMATRIX2("/servlet/excelData",K146,$B$1,$B146&amp;":"&amp;K$115&amp;":"&amp;$AI$114)</f>
        <v>#</v>
      </c>
      <c r="AR146" s="378" t="str">
        <f>_xll.BLUEMATRIX2("/servlet/excelData",L146,$B$1,$B146&amp;":"&amp;L$115&amp;":"&amp;$AI$114)</f>
        <v>#</v>
      </c>
      <c r="AS146" s="378" t="str">
        <f>_xll.BLUEMATRIX2("/servlet/excelData",M146,$B$1,$B146&amp;":"&amp;M$115&amp;":"&amp;$AI$114)</f>
        <v>#</v>
      </c>
      <c r="AT146" s="378" t="str">
        <f>_xll.BLUEMATRIX2("/servlet/excelData",N146,$B$1,$B146&amp;":"&amp;N$115&amp;":"&amp;$AI$114)</f>
        <v>#</v>
      </c>
      <c r="AU146" s="378" t="str">
        <f>_xll.BLUEMATRIX2("/servlet/excelData",O146,$B$1,$B146&amp;":"&amp;O$115&amp;":"&amp;$AI$114)</f>
        <v>#</v>
      </c>
      <c r="AV146" s="378" t="str">
        <f>_xll.BLUEMATRIX2("/servlet/excelData",P146,$B$1,$B146&amp;":"&amp;P$115&amp;":"&amp;$AI$114)</f>
        <v>#</v>
      </c>
      <c r="AW146" s="378" t="str">
        <f>_xll.BLUEMATRIX2("/servlet/excelData",Q146,$B$1,$B146&amp;":"&amp;Q$115&amp;":"&amp;$AI$114)</f>
        <v>#</v>
      </c>
    </row>
    <row r="147" spans="1:49" ht="12.95" customHeight="1">
      <c r="A147" s="388" t="s">
        <v>619</v>
      </c>
      <c r="B147" s="350" t="s">
        <v>620</v>
      </c>
      <c r="C147" s="380" t="s">
        <v>621</v>
      </c>
      <c r="D147" s="384"/>
      <c r="E147" s="384"/>
      <c r="F147" s="384"/>
      <c r="G147" s="384"/>
      <c r="H147" s="384"/>
      <c r="I147" s="384"/>
      <c r="J147" s="384"/>
      <c r="K147" s="384"/>
      <c r="L147" s="384"/>
      <c r="M147" s="384"/>
      <c r="N147" s="384"/>
      <c r="O147" s="384"/>
      <c r="P147" s="384"/>
      <c r="Q147" s="384"/>
      <c r="R147" s="384"/>
      <c r="S147" s="384"/>
      <c r="T147" s="384"/>
      <c r="U147" s="384"/>
      <c r="V147" s="384"/>
      <c r="W147" s="384"/>
      <c r="X147" s="384"/>
      <c r="Y147" s="384"/>
      <c r="Z147" s="384"/>
      <c r="AA147" s="384"/>
      <c r="AB147" s="384"/>
      <c r="AC147" s="384"/>
      <c r="AD147" s="384"/>
      <c r="AE147" s="384"/>
      <c r="AF147" s="384"/>
      <c r="AG147" s="384"/>
      <c r="AH147" s="384"/>
      <c r="AI147" s="322"/>
      <c r="AJ147" s="479"/>
      <c r="AK147" s="378" t="str">
        <f>_xll.BLUEMATRIX2("/servlet/excelData",E147,$B$1,$B147&amp;":"&amp;E$115&amp;":"&amp;$AI$114)</f>
        <v>#</v>
      </c>
      <c r="AL147" s="378" t="str">
        <f>_xll.BLUEMATRIX2("/servlet/excelData",F147,$B$1,$B147&amp;":"&amp;F$115&amp;":"&amp;$AI$114)</f>
        <v>#</v>
      </c>
      <c r="AM147" s="378" t="str">
        <f>_xll.BLUEMATRIX2("/servlet/excelData",G147,$B$1,$B147&amp;":"&amp;G$115&amp;":"&amp;$AI$114)</f>
        <v>#</v>
      </c>
      <c r="AN147" s="378" t="str">
        <f>_xll.BLUEMATRIX2("/servlet/excelData",H147,$B$1,$B147&amp;":"&amp;H$115&amp;":"&amp;$AI$114)</f>
        <v>#</v>
      </c>
      <c r="AO147" s="378" t="str">
        <f>_xll.BLUEMATRIX2("/servlet/excelData",I147,$B$1,$B147&amp;":"&amp;I$115&amp;":"&amp;$AI$114)</f>
        <v>#</v>
      </c>
      <c r="AP147" s="378" t="str">
        <f>_xll.BLUEMATRIX2("/servlet/excelData",J147,$B$1,$B147&amp;":"&amp;J$115&amp;":"&amp;$AI$114)</f>
        <v>#</v>
      </c>
      <c r="AQ147" s="378" t="str">
        <f>_xll.BLUEMATRIX2("/servlet/excelData",K147,$B$1,$B147&amp;":"&amp;K$115&amp;":"&amp;$AI$114)</f>
        <v>#</v>
      </c>
      <c r="AR147" s="378" t="str">
        <f>_xll.BLUEMATRIX2("/servlet/excelData",L147,$B$1,$B147&amp;":"&amp;L$115&amp;":"&amp;$AI$114)</f>
        <v>#</v>
      </c>
      <c r="AS147" s="378" t="str">
        <f>_xll.BLUEMATRIX2("/servlet/excelData",M147,$B$1,$B147&amp;":"&amp;M$115&amp;":"&amp;$AI$114)</f>
        <v>#</v>
      </c>
      <c r="AT147" s="378" t="str">
        <f>_xll.BLUEMATRIX2("/servlet/excelData",N147,$B$1,$B147&amp;":"&amp;N$115&amp;":"&amp;$AI$114)</f>
        <v>#</v>
      </c>
      <c r="AU147" s="378" t="str">
        <f>_xll.BLUEMATRIX2("/servlet/excelData",O147,$B$1,$B147&amp;":"&amp;O$115&amp;":"&amp;$AI$114)</f>
        <v>#</v>
      </c>
      <c r="AV147" s="378" t="str">
        <f>_xll.BLUEMATRIX2("/servlet/excelData",P147,$B$1,$B147&amp;":"&amp;P$115&amp;":"&amp;$AI$114)</f>
        <v>#</v>
      </c>
      <c r="AW147" s="378" t="str">
        <f>_xll.BLUEMATRIX2("/servlet/excelData",Q147,$B$1,$B147&amp;":"&amp;Q$115&amp;":"&amp;$AI$114)</f>
        <v>#</v>
      </c>
    </row>
    <row r="148" spans="1:49" ht="12.95" customHeight="1">
      <c r="A148" s="388" t="s">
        <v>622</v>
      </c>
      <c r="B148" s="350" t="s">
        <v>623</v>
      </c>
      <c r="C148" s="389" t="s">
        <v>624</v>
      </c>
      <c r="D148" s="390"/>
      <c r="E148" s="390"/>
      <c r="F148" s="390"/>
      <c r="G148" s="390"/>
      <c r="H148" s="390"/>
      <c r="I148" s="390">
        <f>FY!G50</f>
        <v>-437.52004429993713</v>
      </c>
      <c r="J148" s="390">
        <f>FY!H50</f>
        <v>-560.79999999999995</v>
      </c>
      <c r="K148" s="390">
        <f>FY!I50</f>
        <v>-592.70000000000005</v>
      </c>
      <c r="L148" s="390">
        <f>FY!J50</f>
        <v>-591.5</v>
      </c>
      <c r="M148" s="390">
        <f>FY!K50</f>
        <v>-641.10000000000014</v>
      </c>
      <c r="N148" s="390">
        <f>FY!L50</f>
        <v>-657.74786480000012</v>
      </c>
      <c r="O148" s="390">
        <f>FY!M50</f>
        <v>-654.78008365599999</v>
      </c>
      <c r="P148" s="390">
        <f>FY!N50</f>
        <v>-669.96739094600002</v>
      </c>
      <c r="Q148" s="390">
        <f>FY!O50</f>
        <v>-697.12560822813839</v>
      </c>
      <c r="R148" s="390"/>
      <c r="S148" s="390"/>
      <c r="T148" s="390">
        <f t="shared" ref="T148:AH148" si="10">T143+T144+T145+T146+T147</f>
        <v>0</v>
      </c>
      <c r="U148" s="390">
        <f t="shared" si="10"/>
        <v>0</v>
      </c>
      <c r="V148" s="390">
        <f t="shared" si="10"/>
        <v>0</v>
      </c>
      <c r="W148" s="390">
        <f t="shared" si="10"/>
        <v>0</v>
      </c>
      <c r="X148" s="390">
        <f t="shared" si="10"/>
        <v>0</v>
      </c>
      <c r="Y148" s="390">
        <f t="shared" si="10"/>
        <v>0</v>
      </c>
      <c r="Z148" s="390">
        <f t="shared" si="10"/>
        <v>0</v>
      </c>
      <c r="AA148" s="390">
        <f t="shared" si="10"/>
        <v>0</v>
      </c>
      <c r="AB148" s="390">
        <f t="shared" si="10"/>
        <v>0</v>
      </c>
      <c r="AC148" s="390">
        <f t="shared" si="10"/>
        <v>0</v>
      </c>
      <c r="AD148" s="390">
        <f t="shared" si="10"/>
        <v>0</v>
      </c>
      <c r="AE148" s="390">
        <f t="shared" si="10"/>
        <v>0</v>
      </c>
      <c r="AF148" s="390">
        <f t="shared" si="10"/>
        <v>0</v>
      </c>
      <c r="AG148" s="390">
        <f t="shared" si="10"/>
        <v>0</v>
      </c>
      <c r="AH148" s="390">
        <f t="shared" si="10"/>
        <v>0</v>
      </c>
      <c r="AI148" s="322"/>
      <c r="AJ148" s="479"/>
      <c r="AK148" s="378" t="str">
        <f>_xll.BLUEMATRIX2("/servlet/excelData",E148,$B$1,$B148&amp;":"&amp;E$115&amp;":"&amp;$AI$114)</f>
        <v>#</v>
      </c>
      <c r="AL148" s="378" t="str">
        <f>_xll.BLUEMATRIX2("/servlet/excelData",F148,$B$1,$B148&amp;":"&amp;F$115&amp;":"&amp;$AI$114)</f>
        <v>#</v>
      </c>
      <c r="AM148" s="378" t="str">
        <f>_xll.BLUEMATRIX2("/servlet/excelData",G148,$B$1,$B148&amp;":"&amp;G$115&amp;":"&amp;$AI$114)</f>
        <v>#</v>
      </c>
      <c r="AN148" s="378" t="str">
        <f>_xll.BLUEMATRIX2("/servlet/excelData",H148,$B$1,$B148&amp;":"&amp;H$115&amp;":"&amp;$AI$114)</f>
        <v>#</v>
      </c>
      <c r="AO148" s="378" t="str">
        <f>_xll.BLUEMATRIX2("/servlet/excelData",I148,$B$1,$B148&amp;":"&amp;I$115&amp;":"&amp;$AI$114)</f>
        <v>#</v>
      </c>
      <c r="AP148" s="378" t="str">
        <f>_xll.BLUEMATRIX2("/servlet/excelData",J148,$B$1,$B148&amp;":"&amp;J$115&amp;":"&amp;$AI$114)</f>
        <v>#</v>
      </c>
      <c r="AQ148" s="378" t="str">
        <f>_xll.BLUEMATRIX2("/servlet/excelData",K148,$B$1,$B148&amp;":"&amp;K$115&amp;":"&amp;$AI$114)</f>
        <v>#</v>
      </c>
      <c r="AR148" s="378" t="str">
        <f>_xll.BLUEMATRIX2("/servlet/excelData",L148,$B$1,$B148&amp;":"&amp;L$115&amp;":"&amp;$AI$114)</f>
        <v>#</v>
      </c>
      <c r="AS148" s="378" t="str">
        <f>_xll.BLUEMATRIX2("/servlet/excelData",M148,$B$1,$B148&amp;":"&amp;M$115&amp;":"&amp;$AI$114)</f>
        <v>#</v>
      </c>
      <c r="AT148" s="378" t="str">
        <f>_xll.BLUEMATRIX2("/servlet/excelData",N148,$B$1,$B148&amp;":"&amp;N$115&amp;":"&amp;$AI$114)</f>
        <v>#</v>
      </c>
      <c r="AU148" s="378" t="str">
        <f>_xll.BLUEMATRIX2("/servlet/excelData",O148,$B$1,$B148&amp;":"&amp;O$115&amp;":"&amp;$AI$114)</f>
        <v>#</v>
      </c>
      <c r="AV148" s="378" t="str">
        <f>_xll.BLUEMATRIX2("/servlet/excelData",P148,$B$1,$B148&amp;":"&amp;P$115&amp;":"&amp;$AI$114)</f>
        <v>#</v>
      </c>
      <c r="AW148" s="378" t="str">
        <f>_xll.BLUEMATRIX2("/servlet/excelData",Q148,$B$1,$B148&amp;":"&amp;Q$115&amp;":"&amp;$AI$114)</f>
        <v>#</v>
      </c>
    </row>
    <row r="149" spans="1:49" ht="12.95" customHeight="1">
      <c r="A149" s="382" t="s">
        <v>625</v>
      </c>
      <c r="B149" s="350" t="s">
        <v>26</v>
      </c>
      <c r="C149" s="391" t="s">
        <v>26</v>
      </c>
      <c r="D149" s="392"/>
      <c r="E149" s="392"/>
      <c r="F149" s="390"/>
      <c r="G149" s="390"/>
      <c r="H149" s="390"/>
      <c r="I149" s="390">
        <f>FY!G29</f>
        <v>137.9</v>
      </c>
      <c r="J149" s="390">
        <f>FY!H29</f>
        <v>301.8</v>
      </c>
      <c r="K149" s="390">
        <f>FY!I29</f>
        <v>277.8</v>
      </c>
      <c r="L149" s="390">
        <f>FY!J29</f>
        <v>233.7</v>
      </c>
      <c r="M149" s="390">
        <f>FY!K29</f>
        <v>181.6</v>
      </c>
      <c r="N149" s="390">
        <f>FY!L29</f>
        <v>183.18613519999997</v>
      </c>
      <c r="O149" s="390">
        <f>FY!M29</f>
        <v>204.83214634399997</v>
      </c>
      <c r="P149" s="390">
        <f>FY!N29</f>
        <v>229.34449655400005</v>
      </c>
      <c r="Q149" s="390">
        <f>FY!O29</f>
        <v>238.69843621886156</v>
      </c>
      <c r="R149" s="392"/>
      <c r="S149" s="392"/>
      <c r="T149" s="392">
        <f t="shared" ref="T149:AH149" si="11">T142+T148</f>
        <v>0</v>
      </c>
      <c r="U149" s="392">
        <f t="shared" si="11"/>
        <v>0</v>
      </c>
      <c r="V149" s="392">
        <f t="shared" si="11"/>
        <v>0</v>
      </c>
      <c r="W149" s="392">
        <f t="shared" si="11"/>
        <v>0</v>
      </c>
      <c r="X149" s="392">
        <f t="shared" si="11"/>
        <v>0</v>
      </c>
      <c r="Y149" s="392">
        <f t="shared" si="11"/>
        <v>0</v>
      </c>
      <c r="Z149" s="392">
        <f t="shared" si="11"/>
        <v>0</v>
      </c>
      <c r="AA149" s="392">
        <f t="shared" si="11"/>
        <v>0</v>
      </c>
      <c r="AB149" s="392">
        <f t="shared" si="11"/>
        <v>0</v>
      </c>
      <c r="AC149" s="392">
        <f t="shared" si="11"/>
        <v>0</v>
      </c>
      <c r="AD149" s="392">
        <f t="shared" si="11"/>
        <v>0</v>
      </c>
      <c r="AE149" s="392">
        <f t="shared" si="11"/>
        <v>0</v>
      </c>
      <c r="AF149" s="392">
        <f t="shared" si="11"/>
        <v>0</v>
      </c>
      <c r="AG149" s="392">
        <f t="shared" si="11"/>
        <v>0</v>
      </c>
      <c r="AH149" s="392">
        <f t="shared" si="11"/>
        <v>0</v>
      </c>
      <c r="AI149" s="322"/>
      <c r="AJ149" s="479"/>
      <c r="AK149" s="378" t="str">
        <f>_xll.BLUEMATRIX2("/servlet/excelData",E149,$B$1,$B149&amp;":"&amp;E$115&amp;":"&amp;$AI$114)</f>
        <v>#</v>
      </c>
      <c r="AL149" s="378" t="str">
        <f>_xll.BLUEMATRIX2("/servlet/excelData",F149,$B$1,$B149&amp;":"&amp;F$115&amp;":"&amp;$AI$114)</f>
        <v>#</v>
      </c>
      <c r="AM149" s="378" t="str">
        <f>_xll.BLUEMATRIX2("/servlet/excelData",G149,$B$1,$B149&amp;":"&amp;G$115&amp;":"&amp;$AI$114)</f>
        <v>#</v>
      </c>
      <c r="AN149" s="378" t="str">
        <f>_xll.BLUEMATRIX2("/servlet/excelData",H149,$B$1,$B149&amp;":"&amp;H$115&amp;":"&amp;$AI$114)</f>
        <v>#</v>
      </c>
      <c r="AO149" s="378" t="str">
        <f>_xll.BLUEMATRIX2("/servlet/excelData",I149,$B$1,$B149&amp;":"&amp;I$115&amp;":"&amp;$AI$114)</f>
        <v>#</v>
      </c>
      <c r="AP149" s="378" t="str">
        <f>_xll.BLUEMATRIX2("/servlet/excelData",J149,$B$1,$B149&amp;":"&amp;J$115&amp;":"&amp;$AI$114)</f>
        <v>#</v>
      </c>
      <c r="AQ149" s="378" t="str">
        <f>_xll.BLUEMATRIX2("/servlet/excelData",K149,$B$1,$B149&amp;":"&amp;K$115&amp;":"&amp;$AI$114)</f>
        <v>#</v>
      </c>
      <c r="AR149" s="378" t="str">
        <f>_xll.BLUEMATRIX2("/servlet/excelData",L149,$B$1,$B149&amp;":"&amp;L$115&amp;":"&amp;$AI$114)</f>
        <v>#</v>
      </c>
      <c r="AS149" s="378" t="str">
        <f>_xll.BLUEMATRIX2("/servlet/excelData",M149,$B$1,$B149&amp;":"&amp;M$115&amp;":"&amp;$AI$114)</f>
        <v>#</v>
      </c>
      <c r="AT149" s="378" t="str">
        <f>_xll.BLUEMATRIX2("/servlet/excelData",N149,$B$1,$B149&amp;":"&amp;N$115&amp;":"&amp;$AI$114)</f>
        <v>#</v>
      </c>
      <c r="AU149" s="378" t="str">
        <f>_xll.BLUEMATRIX2("/servlet/excelData",O149,$B$1,$B149&amp;":"&amp;O$115&amp;":"&amp;$AI$114)</f>
        <v>#</v>
      </c>
      <c r="AV149" s="378" t="str">
        <f>_xll.BLUEMATRIX2("/servlet/excelData",P149,$B$1,$B149&amp;":"&amp;P$115&amp;":"&amp;$AI$114)</f>
        <v>#</v>
      </c>
      <c r="AW149" s="378" t="str">
        <f>_xll.BLUEMATRIX2("/servlet/excelData",Q149,$B$1,$B149&amp;":"&amp;Q$115&amp;":"&amp;$AI$114)</f>
        <v>#</v>
      </c>
    </row>
    <row r="150" spans="1:49" ht="12.95" customHeight="1">
      <c r="A150" s="382" t="s">
        <v>626</v>
      </c>
      <c r="B150" s="350" t="s">
        <v>278</v>
      </c>
      <c r="C150" s="383" t="s">
        <v>278</v>
      </c>
      <c r="D150" s="384"/>
      <c r="E150" s="384"/>
      <c r="F150" s="384"/>
      <c r="G150" s="384"/>
      <c r="H150" s="384"/>
      <c r="I150" s="384">
        <f>FY!G53</f>
        <v>-81.498999999999995</v>
      </c>
      <c r="J150" s="384">
        <f>FY!H53</f>
        <v>-77.343000000000004</v>
      </c>
      <c r="K150" s="384">
        <f>FY!I53</f>
        <v>-80.266000000000005</v>
      </c>
      <c r="L150" s="384">
        <f>FY!J53</f>
        <v>-82.918000000000006</v>
      </c>
      <c r="M150" s="384">
        <f>FY!K53</f>
        <v>-90.655000000000001</v>
      </c>
      <c r="N150" s="384">
        <f>FY!L53</f>
        <v>-98.756877777777788</v>
      </c>
      <c r="O150" s="384">
        <f>FY!M53</f>
        <v>-90.603923007901244</v>
      </c>
      <c r="P150" s="384">
        <f>FY!N53</f>
        <v>-89.232643005205489</v>
      </c>
      <c r="Q150" s="384">
        <f>FY!O53</f>
        <v>-88.148210500005575</v>
      </c>
      <c r="R150" s="384"/>
      <c r="S150" s="384"/>
      <c r="T150" s="384"/>
      <c r="U150" s="384"/>
      <c r="V150" s="384"/>
      <c r="W150" s="384"/>
      <c r="X150" s="384"/>
      <c r="Y150" s="384"/>
      <c r="Z150" s="384"/>
      <c r="AA150" s="384"/>
      <c r="AB150" s="384"/>
      <c r="AC150" s="384"/>
      <c r="AD150" s="384"/>
      <c r="AE150" s="384"/>
      <c r="AF150" s="384"/>
      <c r="AG150" s="384"/>
      <c r="AH150" s="384"/>
      <c r="AI150" s="322"/>
      <c r="AJ150" s="479"/>
      <c r="AK150" s="378" t="str">
        <f>_xll.BLUEMATRIX2("/servlet/excelData",E150,$B$1,$B150&amp;":"&amp;E$115&amp;":"&amp;$AI$114)</f>
        <v>#</v>
      </c>
      <c r="AL150" s="378" t="str">
        <f>_xll.BLUEMATRIX2("/servlet/excelData",F150,$B$1,$B150&amp;":"&amp;F$115&amp;":"&amp;$AI$114)</f>
        <v>#</v>
      </c>
      <c r="AM150" s="378" t="str">
        <f>_xll.BLUEMATRIX2("/servlet/excelData",G150,$B$1,$B150&amp;":"&amp;G$115&amp;":"&amp;$AI$114)</f>
        <v>#</v>
      </c>
      <c r="AN150" s="378" t="str">
        <f>_xll.BLUEMATRIX2("/servlet/excelData",H150,$B$1,$B150&amp;":"&amp;H$115&amp;":"&amp;$AI$114)</f>
        <v>#</v>
      </c>
      <c r="AO150" s="378" t="str">
        <f>_xll.BLUEMATRIX2("/servlet/excelData",I150,$B$1,$B150&amp;":"&amp;I$115&amp;":"&amp;$AI$114)</f>
        <v>#</v>
      </c>
      <c r="AP150" s="378" t="str">
        <f>_xll.BLUEMATRIX2("/servlet/excelData",J150,$B$1,$B150&amp;":"&amp;J$115&amp;":"&amp;$AI$114)</f>
        <v>#</v>
      </c>
      <c r="AQ150" s="378" t="str">
        <f>_xll.BLUEMATRIX2("/servlet/excelData",K150,$B$1,$B150&amp;":"&amp;K$115&amp;":"&amp;$AI$114)</f>
        <v>#</v>
      </c>
      <c r="AR150" s="378" t="str">
        <f>_xll.BLUEMATRIX2("/servlet/excelData",L150,$B$1,$B150&amp;":"&amp;L$115&amp;":"&amp;$AI$114)</f>
        <v>#</v>
      </c>
      <c r="AS150" s="378" t="str">
        <f>_xll.BLUEMATRIX2("/servlet/excelData",M150,$B$1,$B150&amp;":"&amp;M$115&amp;":"&amp;$AI$114)</f>
        <v>#</v>
      </c>
      <c r="AT150" s="378" t="str">
        <f>_xll.BLUEMATRIX2("/servlet/excelData",N150,$B$1,$B150&amp;":"&amp;N$115&amp;":"&amp;$AI$114)</f>
        <v>#</v>
      </c>
      <c r="AU150" s="378" t="str">
        <f>_xll.BLUEMATRIX2("/servlet/excelData",O150,$B$1,$B150&amp;":"&amp;O$115&amp;":"&amp;$AI$114)</f>
        <v>#</v>
      </c>
      <c r="AV150" s="378" t="str">
        <f>_xll.BLUEMATRIX2("/servlet/excelData",P150,$B$1,$B150&amp;":"&amp;P$115&amp;":"&amp;$AI$114)</f>
        <v>#</v>
      </c>
      <c r="AW150" s="378" t="str">
        <f>_xll.BLUEMATRIX2("/servlet/excelData",Q150,$B$1,$B150&amp;":"&amp;Q$115&amp;":"&amp;$AI$114)</f>
        <v>#</v>
      </c>
    </row>
    <row r="151" spans="1:49" ht="12.95" customHeight="1">
      <c r="A151" s="382" t="s">
        <v>627</v>
      </c>
      <c r="B151" s="350" t="s">
        <v>628</v>
      </c>
      <c r="C151" s="383" t="s">
        <v>629</v>
      </c>
      <c r="D151" s="384"/>
      <c r="E151" s="384"/>
      <c r="F151" s="384"/>
      <c r="G151" s="384"/>
      <c r="H151" s="384"/>
      <c r="I151" s="384"/>
      <c r="J151" s="384"/>
      <c r="K151" s="384"/>
      <c r="L151" s="384"/>
      <c r="M151" s="384"/>
      <c r="N151" s="384"/>
      <c r="O151" s="384"/>
      <c r="P151" s="384"/>
      <c r="Q151" s="384"/>
      <c r="R151" s="384"/>
      <c r="S151" s="384"/>
      <c r="T151" s="384"/>
      <c r="U151" s="384"/>
      <c r="V151" s="384"/>
      <c r="W151" s="384"/>
      <c r="X151" s="384"/>
      <c r="Y151" s="384"/>
      <c r="Z151" s="384"/>
      <c r="AA151" s="384"/>
      <c r="AB151" s="384"/>
      <c r="AC151" s="384"/>
      <c r="AD151" s="384"/>
      <c r="AE151" s="384"/>
      <c r="AF151" s="384"/>
      <c r="AG151" s="384"/>
      <c r="AH151" s="384"/>
      <c r="AI151" s="322"/>
      <c r="AJ151" s="479"/>
      <c r="AK151" s="378" t="str">
        <f>_xll.BLUEMATRIX2("/servlet/excelData",E151,$B$1,$B151&amp;":"&amp;E$115&amp;":"&amp;$AI$114)</f>
        <v>#</v>
      </c>
      <c r="AL151" s="378" t="str">
        <f>_xll.BLUEMATRIX2("/servlet/excelData",F151,$B$1,$B151&amp;":"&amp;F$115&amp;":"&amp;$AI$114)</f>
        <v>#</v>
      </c>
      <c r="AM151" s="378" t="str">
        <f>_xll.BLUEMATRIX2("/servlet/excelData",G151,$B$1,$B151&amp;":"&amp;G$115&amp;":"&amp;$AI$114)</f>
        <v>#</v>
      </c>
      <c r="AN151" s="378" t="str">
        <f>_xll.BLUEMATRIX2("/servlet/excelData",H151,$B$1,$B151&amp;":"&amp;H$115&amp;":"&amp;$AI$114)</f>
        <v>#</v>
      </c>
      <c r="AO151" s="378" t="str">
        <f>_xll.BLUEMATRIX2("/servlet/excelData",I151,$B$1,$B151&amp;":"&amp;I$115&amp;":"&amp;$AI$114)</f>
        <v>#</v>
      </c>
      <c r="AP151" s="378" t="str">
        <f>_xll.BLUEMATRIX2("/servlet/excelData",J151,$B$1,$B151&amp;":"&amp;J$115&amp;":"&amp;$AI$114)</f>
        <v>#</v>
      </c>
      <c r="AQ151" s="378" t="str">
        <f>_xll.BLUEMATRIX2("/servlet/excelData",K151,$B$1,$B151&amp;":"&amp;K$115&amp;":"&amp;$AI$114)</f>
        <v>#</v>
      </c>
      <c r="AR151" s="378" t="str">
        <f>_xll.BLUEMATRIX2("/servlet/excelData",L151,$B$1,$B151&amp;":"&amp;L$115&amp;":"&amp;$AI$114)</f>
        <v>#</v>
      </c>
      <c r="AS151" s="378" t="str">
        <f>_xll.BLUEMATRIX2("/servlet/excelData",M151,$B$1,$B151&amp;":"&amp;M$115&amp;":"&amp;$AI$114)</f>
        <v>#</v>
      </c>
      <c r="AT151" s="378" t="str">
        <f>_xll.BLUEMATRIX2("/servlet/excelData",N151,$B$1,$B151&amp;":"&amp;N$115&amp;":"&amp;$AI$114)</f>
        <v>#</v>
      </c>
      <c r="AU151" s="378" t="str">
        <f>_xll.BLUEMATRIX2("/servlet/excelData",O151,$B$1,$B151&amp;":"&amp;O$115&amp;":"&amp;$AI$114)</f>
        <v>#</v>
      </c>
      <c r="AV151" s="378" t="str">
        <f>_xll.BLUEMATRIX2("/servlet/excelData",P151,$B$1,$B151&amp;":"&amp;P$115&amp;":"&amp;$AI$114)</f>
        <v>#</v>
      </c>
      <c r="AW151" s="378" t="str">
        <f>_xll.BLUEMATRIX2("/servlet/excelData",Q151,$B$1,$B151&amp;":"&amp;Q$115&amp;":"&amp;$AI$114)</f>
        <v>#</v>
      </c>
    </row>
    <row r="152" spans="1:49" ht="12.95" customHeight="1">
      <c r="A152" s="382" t="s">
        <v>630</v>
      </c>
      <c r="B152" s="350" t="s">
        <v>631</v>
      </c>
      <c r="C152" s="383" t="s">
        <v>632</v>
      </c>
      <c r="D152" s="384"/>
      <c r="E152" s="384"/>
      <c r="F152" s="384"/>
      <c r="G152" s="384"/>
      <c r="H152" s="384"/>
      <c r="I152" s="384"/>
      <c r="J152" s="384"/>
      <c r="K152" s="384"/>
      <c r="L152" s="384"/>
      <c r="M152" s="384"/>
      <c r="N152" s="384"/>
      <c r="O152" s="384"/>
      <c r="P152" s="384"/>
      <c r="Q152" s="384"/>
      <c r="R152" s="384"/>
      <c r="S152" s="384"/>
      <c r="T152" s="384"/>
      <c r="U152" s="384"/>
      <c r="V152" s="384"/>
      <c r="W152" s="384"/>
      <c r="X152" s="384"/>
      <c r="Y152" s="384"/>
      <c r="Z152" s="384"/>
      <c r="AA152" s="384"/>
      <c r="AB152" s="384"/>
      <c r="AC152" s="384"/>
      <c r="AD152" s="384"/>
      <c r="AE152" s="384"/>
      <c r="AF152" s="384"/>
      <c r="AG152" s="384"/>
      <c r="AH152" s="384"/>
      <c r="AI152" s="322"/>
      <c r="AJ152" s="479"/>
      <c r="AK152" s="378" t="str">
        <f>_xll.BLUEMATRIX2("/servlet/excelData",E152,$B$1,$B152&amp;":"&amp;E$115&amp;":"&amp;$AI$114)</f>
        <v>#</v>
      </c>
      <c r="AL152" s="378" t="str">
        <f>_xll.BLUEMATRIX2("/servlet/excelData",F152,$B$1,$B152&amp;":"&amp;F$115&amp;":"&amp;$AI$114)</f>
        <v>#</v>
      </c>
      <c r="AM152" s="378" t="str">
        <f>_xll.BLUEMATRIX2("/servlet/excelData",G152,$B$1,$B152&amp;":"&amp;G$115&amp;":"&amp;$AI$114)</f>
        <v>#</v>
      </c>
      <c r="AN152" s="378" t="str">
        <f>_xll.BLUEMATRIX2("/servlet/excelData",H152,$B$1,$B152&amp;":"&amp;H$115&amp;":"&amp;$AI$114)</f>
        <v>#</v>
      </c>
      <c r="AO152" s="378" t="str">
        <f>_xll.BLUEMATRIX2("/servlet/excelData",I152,$B$1,$B152&amp;":"&amp;I$115&amp;":"&amp;$AI$114)</f>
        <v>#</v>
      </c>
      <c r="AP152" s="378" t="str">
        <f>_xll.BLUEMATRIX2("/servlet/excelData",J152,$B$1,$B152&amp;":"&amp;J$115&amp;":"&amp;$AI$114)</f>
        <v>#</v>
      </c>
      <c r="AQ152" s="378" t="str">
        <f>_xll.BLUEMATRIX2("/servlet/excelData",K152,$B$1,$B152&amp;":"&amp;K$115&amp;":"&amp;$AI$114)</f>
        <v>#</v>
      </c>
      <c r="AR152" s="378" t="str">
        <f>_xll.BLUEMATRIX2("/servlet/excelData",L152,$B$1,$B152&amp;":"&amp;L$115&amp;":"&amp;$AI$114)</f>
        <v>#</v>
      </c>
      <c r="AS152" s="378" t="str">
        <f>_xll.BLUEMATRIX2("/servlet/excelData",M152,$B$1,$B152&amp;":"&amp;M$115&amp;":"&amp;$AI$114)</f>
        <v>#</v>
      </c>
      <c r="AT152" s="378" t="str">
        <f>_xll.BLUEMATRIX2("/servlet/excelData",N152,$B$1,$B152&amp;":"&amp;N$115&amp;":"&amp;$AI$114)</f>
        <v>#</v>
      </c>
      <c r="AU152" s="378" t="str">
        <f>_xll.BLUEMATRIX2("/servlet/excelData",O152,$B$1,$B152&amp;":"&amp;O$115&amp;":"&amp;$AI$114)</f>
        <v>#</v>
      </c>
      <c r="AV152" s="378" t="str">
        <f>_xll.BLUEMATRIX2("/servlet/excelData",P152,$B$1,$B152&amp;":"&amp;P$115&amp;":"&amp;$AI$114)</f>
        <v>#</v>
      </c>
      <c r="AW152" s="378" t="str">
        <f>_xll.BLUEMATRIX2("/servlet/excelData",Q152,$B$1,$B152&amp;":"&amp;Q$115&amp;":"&amp;$AI$114)</f>
        <v>#</v>
      </c>
    </row>
    <row r="153" spans="1:49" ht="12.95" customHeight="1">
      <c r="A153" s="382" t="s">
        <v>633</v>
      </c>
      <c r="B153" s="350" t="s">
        <v>634</v>
      </c>
      <c r="C153" s="383" t="s">
        <v>635</v>
      </c>
      <c r="D153" s="384"/>
      <c r="E153" s="384"/>
      <c r="F153" s="384"/>
      <c r="G153" s="384"/>
      <c r="H153" s="384"/>
      <c r="I153" s="384">
        <f>FY!G54</f>
        <v>-13.201000000000001</v>
      </c>
      <c r="J153" s="384">
        <f>FY!H54</f>
        <v>-13.329000000000001</v>
      </c>
      <c r="K153" s="384">
        <f>FY!I54</f>
        <v>-11.754999999999999</v>
      </c>
      <c r="L153" s="384">
        <f>FY!J54</f>
        <v>-11.295000000000002</v>
      </c>
      <c r="M153" s="384">
        <f>FY!K54</f>
        <v>-12.802</v>
      </c>
      <c r="N153" s="384">
        <f>FY!L54</f>
        <v>-14.204682157017629</v>
      </c>
      <c r="O153" s="384">
        <f>FY!M54</f>
        <v>-14.058163560326795</v>
      </c>
      <c r="P153" s="384">
        <f>FY!N54</f>
        <v>-13.921852945648954</v>
      </c>
      <c r="Q153" s="384">
        <f>FY!O54</f>
        <v>-13.798592796823112</v>
      </c>
      <c r="R153" s="384"/>
      <c r="S153" s="384"/>
      <c r="T153" s="384"/>
      <c r="U153" s="384"/>
      <c r="V153" s="384"/>
      <c r="W153" s="384"/>
      <c r="X153" s="384"/>
      <c r="Y153" s="384"/>
      <c r="Z153" s="384"/>
      <c r="AA153" s="384"/>
      <c r="AB153" s="384"/>
      <c r="AC153" s="384"/>
      <c r="AD153" s="384"/>
      <c r="AE153" s="384"/>
      <c r="AF153" s="384"/>
      <c r="AG153" s="384"/>
      <c r="AH153" s="384"/>
      <c r="AI153" s="322"/>
      <c r="AJ153" s="479"/>
      <c r="AK153" s="378" t="str">
        <f>_xll.BLUEMATRIX2("/servlet/excelData",E153,$B$1,$B153&amp;":"&amp;E$115&amp;":"&amp;$AI$114)</f>
        <v>#</v>
      </c>
      <c r="AL153" s="378" t="str">
        <f>_xll.BLUEMATRIX2("/servlet/excelData",F153,$B$1,$B153&amp;":"&amp;F$115&amp;":"&amp;$AI$114)</f>
        <v>#</v>
      </c>
      <c r="AM153" s="378" t="str">
        <f>_xll.BLUEMATRIX2("/servlet/excelData",G153,$B$1,$B153&amp;":"&amp;G$115&amp;":"&amp;$AI$114)</f>
        <v>#</v>
      </c>
      <c r="AN153" s="378" t="str">
        <f>_xll.BLUEMATRIX2("/servlet/excelData",H153,$B$1,$B153&amp;":"&amp;H$115&amp;":"&amp;$AI$114)</f>
        <v>#</v>
      </c>
      <c r="AO153" s="378" t="str">
        <f>_xll.BLUEMATRIX2("/servlet/excelData",I153,$B$1,$B153&amp;":"&amp;I$115&amp;":"&amp;$AI$114)</f>
        <v>#</v>
      </c>
      <c r="AP153" s="378" t="str">
        <f>_xll.BLUEMATRIX2("/servlet/excelData",J153,$B$1,$B153&amp;":"&amp;J$115&amp;":"&amp;$AI$114)</f>
        <v>#</v>
      </c>
      <c r="AQ153" s="378" t="str">
        <f>_xll.BLUEMATRIX2("/servlet/excelData",K153,$B$1,$B153&amp;":"&amp;K$115&amp;":"&amp;$AI$114)</f>
        <v>#</v>
      </c>
      <c r="AR153" s="378" t="str">
        <f>_xll.BLUEMATRIX2("/servlet/excelData",L153,$B$1,$B153&amp;":"&amp;L$115&amp;":"&amp;$AI$114)</f>
        <v>#</v>
      </c>
      <c r="AS153" s="378" t="str">
        <f>_xll.BLUEMATRIX2("/servlet/excelData",M153,$B$1,$B153&amp;":"&amp;M$115&amp;":"&amp;$AI$114)</f>
        <v>#</v>
      </c>
      <c r="AT153" s="378" t="str">
        <f>_xll.BLUEMATRIX2("/servlet/excelData",N153,$B$1,$B153&amp;":"&amp;N$115&amp;":"&amp;$AI$114)</f>
        <v>#</v>
      </c>
      <c r="AU153" s="378" t="str">
        <f>_xll.BLUEMATRIX2("/servlet/excelData",O153,$B$1,$B153&amp;":"&amp;O$115&amp;":"&amp;$AI$114)</f>
        <v>#</v>
      </c>
      <c r="AV153" s="378" t="str">
        <f>_xll.BLUEMATRIX2("/servlet/excelData",P153,$B$1,$B153&amp;":"&amp;P$115&amp;":"&amp;$AI$114)</f>
        <v>#</v>
      </c>
      <c r="AW153" s="378" t="str">
        <f>_xll.BLUEMATRIX2("/servlet/excelData",Q153,$B$1,$B153&amp;":"&amp;Q$115&amp;":"&amp;$AI$114)</f>
        <v>#</v>
      </c>
    </row>
    <row r="154" spans="1:49" ht="12.95" customHeight="1">
      <c r="A154" s="382" t="s">
        <v>636</v>
      </c>
      <c r="B154" s="350" t="s">
        <v>637</v>
      </c>
      <c r="C154" s="389" t="s">
        <v>52</v>
      </c>
      <c r="D154" s="390"/>
      <c r="E154" s="390"/>
      <c r="F154" s="390"/>
      <c r="G154" s="390"/>
      <c r="H154" s="390"/>
      <c r="I154" s="390">
        <f t="shared" ref="I154:Q154" si="12">I150+I151+I152+I153</f>
        <v>-94.699999999999989</v>
      </c>
      <c r="J154" s="390">
        <f t="shared" si="12"/>
        <v>-90.671999999999997</v>
      </c>
      <c r="K154" s="390">
        <f t="shared" si="12"/>
        <v>-92.021000000000001</v>
      </c>
      <c r="L154" s="390">
        <f t="shared" si="12"/>
        <v>-94.213000000000008</v>
      </c>
      <c r="M154" s="390">
        <f t="shared" si="12"/>
        <v>-103.45699999999999</v>
      </c>
      <c r="N154" s="390">
        <f t="shared" si="12"/>
        <v>-112.96155993479542</v>
      </c>
      <c r="O154" s="390">
        <f t="shared" si="12"/>
        <v>-104.66208656822803</v>
      </c>
      <c r="P154" s="390">
        <f t="shared" si="12"/>
        <v>-103.15449595085444</v>
      </c>
      <c r="Q154" s="390">
        <f t="shared" si="12"/>
        <v>-101.94680329682869</v>
      </c>
      <c r="R154" s="390"/>
      <c r="S154" s="390"/>
      <c r="T154" s="390">
        <f t="shared" ref="T154:AH154" si="13">T150+T151+T152+T153</f>
        <v>0</v>
      </c>
      <c r="U154" s="390">
        <f t="shared" si="13"/>
        <v>0</v>
      </c>
      <c r="V154" s="390">
        <f t="shared" si="13"/>
        <v>0</v>
      </c>
      <c r="W154" s="390">
        <f t="shared" si="13"/>
        <v>0</v>
      </c>
      <c r="X154" s="390">
        <f t="shared" si="13"/>
        <v>0</v>
      </c>
      <c r="Y154" s="390">
        <f t="shared" si="13"/>
        <v>0</v>
      </c>
      <c r="Z154" s="390">
        <f t="shared" si="13"/>
        <v>0</v>
      </c>
      <c r="AA154" s="390">
        <f t="shared" si="13"/>
        <v>0</v>
      </c>
      <c r="AB154" s="390">
        <f t="shared" si="13"/>
        <v>0</v>
      </c>
      <c r="AC154" s="390">
        <f t="shared" si="13"/>
        <v>0</v>
      </c>
      <c r="AD154" s="390">
        <f t="shared" si="13"/>
        <v>0</v>
      </c>
      <c r="AE154" s="390">
        <f t="shared" si="13"/>
        <v>0</v>
      </c>
      <c r="AF154" s="390">
        <f t="shared" si="13"/>
        <v>0</v>
      </c>
      <c r="AG154" s="390">
        <f t="shared" si="13"/>
        <v>0</v>
      </c>
      <c r="AH154" s="390">
        <f t="shared" si="13"/>
        <v>0</v>
      </c>
      <c r="AI154" s="322"/>
      <c r="AJ154" s="479"/>
      <c r="AK154" s="378" t="str">
        <f>_xll.BLUEMATRIX2("/servlet/excelData",E154,$B$1,$B154&amp;":"&amp;E$115&amp;":"&amp;$AI$114)</f>
        <v>#</v>
      </c>
      <c r="AL154" s="378" t="str">
        <f>_xll.BLUEMATRIX2("/servlet/excelData",F154,$B$1,$B154&amp;":"&amp;F$115&amp;":"&amp;$AI$114)</f>
        <v>#</v>
      </c>
      <c r="AM154" s="378" t="str">
        <f>_xll.BLUEMATRIX2("/servlet/excelData",G154,$B$1,$B154&amp;":"&amp;G$115&amp;":"&amp;$AI$114)</f>
        <v>#</v>
      </c>
      <c r="AN154" s="378" t="str">
        <f>_xll.BLUEMATRIX2("/servlet/excelData",H154,$B$1,$B154&amp;":"&amp;H$115&amp;":"&amp;$AI$114)</f>
        <v>#</v>
      </c>
      <c r="AO154" s="378" t="str">
        <f>_xll.BLUEMATRIX2("/servlet/excelData",I154,$B$1,$B154&amp;":"&amp;I$115&amp;":"&amp;$AI$114)</f>
        <v>#</v>
      </c>
      <c r="AP154" s="378" t="str">
        <f>_xll.BLUEMATRIX2("/servlet/excelData",J154,$B$1,$B154&amp;":"&amp;J$115&amp;":"&amp;$AI$114)</f>
        <v>#</v>
      </c>
      <c r="AQ154" s="378" t="str">
        <f>_xll.BLUEMATRIX2("/servlet/excelData",K154,$B$1,$B154&amp;":"&amp;K$115&amp;":"&amp;$AI$114)</f>
        <v>#</v>
      </c>
      <c r="AR154" s="378" t="str">
        <f>_xll.BLUEMATRIX2("/servlet/excelData",L154,$B$1,$B154&amp;":"&amp;L$115&amp;":"&amp;$AI$114)</f>
        <v>#</v>
      </c>
      <c r="AS154" s="378" t="str">
        <f>_xll.BLUEMATRIX2("/servlet/excelData",M154,$B$1,$B154&amp;":"&amp;M$115&amp;":"&amp;$AI$114)</f>
        <v>#</v>
      </c>
      <c r="AT154" s="378" t="str">
        <f>_xll.BLUEMATRIX2("/servlet/excelData",N154,$B$1,$B154&amp;":"&amp;N$115&amp;":"&amp;$AI$114)</f>
        <v>#</v>
      </c>
      <c r="AU154" s="378" t="str">
        <f>_xll.BLUEMATRIX2("/servlet/excelData",O154,$B$1,$B154&amp;":"&amp;O$115&amp;":"&amp;$AI$114)</f>
        <v>#</v>
      </c>
      <c r="AV154" s="378" t="str">
        <f>_xll.BLUEMATRIX2("/servlet/excelData",P154,$B$1,$B154&amp;":"&amp;P$115&amp;":"&amp;$AI$114)</f>
        <v>#</v>
      </c>
      <c r="AW154" s="378" t="str">
        <f>_xll.BLUEMATRIX2("/servlet/excelData",Q154,$B$1,$B154&amp;":"&amp;Q$115&amp;":"&amp;$AI$114)</f>
        <v>#</v>
      </c>
    </row>
    <row r="155" spans="1:49" ht="12.95" customHeight="1">
      <c r="A155" s="382" t="s">
        <v>638</v>
      </c>
      <c r="B155" s="350" t="s">
        <v>639</v>
      </c>
      <c r="C155" s="389" t="s">
        <v>639</v>
      </c>
      <c r="D155" s="390"/>
      <c r="E155" s="390"/>
      <c r="F155" s="390"/>
      <c r="G155" s="390"/>
      <c r="H155" s="390"/>
      <c r="I155" s="390"/>
      <c r="J155" s="390"/>
      <c r="K155" s="390"/>
      <c r="L155" s="390"/>
      <c r="M155" s="390"/>
      <c r="N155" s="390"/>
      <c r="O155" s="390"/>
      <c r="P155" s="390"/>
      <c r="Q155" s="390"/>
      <c r="R155" s="390"/>
      <c r="S155" s="390"/>
      <c r="T155" s="390">
        <f t="shared" ref="T155:AH155" si="14">T149+T150</f>
        <v>0</v>
      </c>
      <c r="U155" s="390">
        <f t="shared" si="14"/>
        <v>0</v>
      </c>
      <c r="V155" s="390">
        <f t="shared" si="14"/>
        <v>0</v>
      </c>
      <c r="W155" s="390">
        <f t="shared" si="14"/>
        <v>0</v>
      </c>
      <c r="X155" s="390">
        <f t="shared" si="14"/>
        <v>0</v>
      </c>
      <c r="Y155" s="390">
        <f t="shared" si="14"/>
        <v>0</v>
      </c>
      <c r="Z155" s="390">
        <f t="shared" si="14"/>
        <v>0</v>
      </c>
      <c r="AA155" s="390">
        <f t="shared" si="14"/>
        <v>0</v>
      </c>
      <c r="AB155" s="390">
        <f t="shared" si="14"/>
        <v>0</v>
      </c>
      <c r="AC155" s="390">
        <f t="shared" si="14"/>
        <v>0</v>
      </c>
      <c r="AD155" s="390">
        <f t="shared" si="14"/>
        <v>0</v>
      </c>
      <c r="AE155" s="390">
        <f t="shared" si="14"/>
        <v>0</v>
      </c>
      <c r="AF155" s="390">
        <f t="shared" si="14"/>
        <v>0</v>
      </c>
      <c r="AG155" s="390">
        <f t="shared" si="14"/>
        <v>0</v>
      </c>
      <c r="AH155" s="390">
        <f t="shared" si="14"/>
        <v>0</v>
      </c>
      <c r="AI155" s="322"/>
      <c r="AJ155" s="479"/>
      <c r="AK155" s="378" t="str">
        <f>_xll.BLUEMATRIX2("/servlet/excelData",E155,$B$1,$B155&amp;":"&amp;E$115&amp;":"&amp;$AI$114)</f>
        <v>#</v>
      </c>
      <c r="AL155" s="378" t="str">
        <f>_xll.BLUEMATRIX2("/servlet/excelData",F155,$B$1,$B155&amp;":"&amp;F$115&amp;":"&amp;$AI$114)</f>
        <v>#</v>
      </c>
      <c r="AM155" s="378" t="str">
        <f>_xll.BLUEMATRIX2("/servlet/excelData",G155,$B$1,$B155&amp;":"&amp;G$115&amp;":"&amp;$AI$114)</f>
        <v>#</v>
      </c>
      <c r="AN155" s="378" t="str">
        <f>_xll.BLUEMATRIX2("/servlet/excelData",H155,$B$1,$B155&amp;":"&amp;H$115&amp;":"&amp;$AI$114)</f>
        <v>#</v>
      </c>
      <c r="AO155" s="378" t="str">
        <f>_xll.BLUEMATRIX2("/servlet/excelData",I155,$B$1,$B155&amp;":"&amp;I$115&amp;":"&amp;$AI$114)</f>
        <v>#</v>
      </c>
      <c r="AP155" s="378" t="str">
        <f>_xll.BLUEMATRIX2("/servlet/excelData",J155,$B$1,$B155&amp;":"&amp;J$115&amp;":"&amp;$AI$114)</f>
        <v>#</v>
      </c>
      <c r="AQ155" s="378" t="str">
        <f>_xll.BLUEMATRIX2("/servlet/excelData",K155,$B$1,$B155&amp;":"&amp;K$115&amp;":"&amp;$AI$114)</f>
        <v>#</v>
      </c>
      <c r="AR155" s="378" t="str">
        <f>_xll.BLUEMATRIX2("/servlet/excelData",L155,$B$1,$B155&amp;":"&amp;L$115&amp;":"&amp;$AI$114)</f>
        <v>#</v>
      </c>
      <c r="AS155" s="378" t="str">
        <f>_xll.BLUEMATRIX2("/servlet/excelData",M155,$B$1,$B155&amp;":"&amp;M$115&amp;":"&amp;$AI$114)</f>
        <v>#</v>
      </c>
      <c r="AT155" s="378" t="str">
        <f>_xll.BLUEMATRIX2("/servlet/excelData",N155,$B$1,$B155&amp;":"&amp;N$115&amp;":"&amp;$AI$114)</f>
        <v>#</v>
      </c>
      <c r="AU155" s="378" t="str">
        <f>_xll.BLUEMATRIX2("/servlet/excelData",O155,$B$1,$B155&amp;":"&amp;O$115&amp;":"&amp;$AI$114)</f>
        <v>#</v>
      </c>
      <c r="AV155" s="378" t="str">
        <f>_xll.BLUEMATRIX2("/servlet/excelData",P155,$B$1,$B155&amp;":"&amp;P$115&amp;":"&amp;$AI$114)</f>
        <v>#</v>
      </c>
      <c r="AW155" s="378" t="str">
        <f>_xll.BLUEMATRIX2("/servlet/excelData",Q155,$B$1,$B155&amp;":"&amp;Q$115&amp;":"&amp;$AI$114)</f>
        <v>#</v>
      </c>
    </row>
    <row r="156" spans="1:49" ht="12.95" customHeight="1">
      <c r="A156" s="382" t="s">
        <v>640</v>
      </c>
      <c r="B156" s="350" t="s">
        <v>128</v>
      </c>
      <c r="C156" s="391" t="s">
        <v>128</v>
      </c>
      <c r="D156" s="392"/>
      <c r="E156" s="392"/>
      <c r="F156" s="392"/>
      <c r="G156" s="392"/>
      <c r="H156" s="392"/>
      <c r="I156" s="392">
        <f t="shared" ref="I156:Q156" si="15">I149+I154</f>
        <v>43.200000000000017</v>
      </c>
      <c r="J156" s="392">
        <f t="shared" si="15"/>
        <v>211.12800000000001</v>
      </c>
      <c r="K156" s="392">
        <f t="shared" si="15"/>
        <v>185.779</v>
      </c>
      <c r="L156" s="392">
        <f t="shared" si="15"/>
        <v>139.48699999999997</v>
      </c>
      <c r="M156" s="392">
        <f t="shared" si="15"/>
        <v>78.143000000000001</v>
      </c>
      <c r="N156" s="392">
        <f t="shared" si="15"/>
        <v>70.22457526520455</v>
      </c>
      <c r="O156" s="392">
        <f t="shared" si="15"/>
        <v>100.17005977577193</v>
      </c>
      <c r="P156" s="392">
        <f t="shared" si="15"/>
        <v>126.19000060314561</v>
      </c>
      <c r="Q156" s="392">
        <f t="shared" si="15"/>
        <v>136.75163292203285</v>
      </c>
      <c r="R156" s="392"/>
      <c r="S156" s="392"/>
      <c r="T156" s="392">
        <f t="shared" ref="T156:AH156" si="16">T149+T154</f>
        <v>0</v>
      </c>
      <c r="U156" s="392">
        <f t="shared" si="16"/>
        <v>0</v>
      </c>
      <c r="V156" s="392">
        <f t="shared" si="16"/>
        <v>0</v>
      </c>
      <c r="W156" s="392">
        <f t="shared" si="16"/>
        <v>0</v>
      </c>
      <c r="X156" s="392">
        <f t="shared" si="16"/>
        <v>0</v>
      </c>
      <c r="Y156" s="392">
        <f t="shared" si="16"/>
        <v>0</v>
      </c>
      <c r="Z156" s="392">
        <f t="shared" si="16"/>
        <v>0</v>
      </c>
      <c r="AA156" s="392">
        <f t="shared" si="16"/>
        <v>0</v>
      </c>
      <c r="AB156" s="392">
        <f t="shared" si="16"/>
        <v>0</v>
      </c>
      <c r="AC156" s="392">
        <f t="shared" si="16"/>
        <v>0</v>
      </c>
      <c r="AD156" s="392">
        <f t="shared" si="16"/>
        <v>0</v>
      </c>
      <c r="AE156" s="392">
        <f t="shared" si="16"/>
        <v>0</v>
      </c>
      <c r="AF156" s="392">
        <f t="shared" si="16"/>
        <v>0</v>
      </c>
      <c r="AG156" s="392">
        <f t="shared" si="16"/>
        <v>0</v>
      </c>
      <c r="AH156" s="392">
        <f t="shared" si="16"/>
        <v>0</v>
      </c>
      <c r="AI156" s="322"/>
      <c r="AJ156" s="479"/>
      <c r="AK156" s="378" t="str">
        <f>_xll.BLUEMATRIX2("/servlet/excelData",E156,$B$1,$B156&amp;":"&amp;E$115&amp;":"&amp;$AI$114)</f>
        <v>#</v>
      </c>
      <c r="AL156" s="378" t="str">
        <f>_xll.BLUEMATRIX2("/servlet/excelData",F156,$B$1,$B156&amp;":"&amp;F$115&amp;":"&amp;$AI$114)</f>
        <v>#</v>
      </c>
      <c r="AM156" s="378" t="str">
        <f>_xll.BLUEMATRIX2("/servlet/excelData",G156,$B$1,$B156&amp;":"&amp;G$115&amp;":"&amp;$AI$114)</f>
        <v>#</v>
      </c>
      <c r="AN156" s="378" t="str">
        <f>_xll.BLUEMATRIX2("/servlet/excelData",H156,$B$1,$B156&amp;":"&amp;H$115&amp;":"&amp;$AI$114)</f>
        <v>#</v>
      </c>
      <c r="AO156" s="378" t="str">
        <f>_xll.BLUEMATRIX2("/servlet/excelData",I156,$B$1,$B156&amp;":"&amp;I$115&amp;":"&amp;$AI$114)</f>
        <v>#</v>
      </c>
      <c r="AP156" s="378" t="str">
        <f>_xll.BLUEMATRIX2("/servlet/excelData",J156,$B$1,$B156&amp;":"&amp;J$115&amp;":"&amp;$AI$114)</f>
        <v>#</v>
      </c>
      <c r="AQ156" s="378" t="str">
        <f>_xll.BLUEMATRIX2("/servlet/excelData",K156,$B$1,$B156&amp;":"&amp;K$115&amp;":"&amp;$AI$114)</f>
        <v>#</v>
      </c>
      <c r="AR156" s="378" t="str">
        <f>_xll.BLUEMATRIX2("/servlet/excelData",L156,$B$1,$B156&amp;":"&amp;L$115&amp;":"&amp;$AI$114)</f>
        <v>#</v>
      </c>
      <c r="AS156" s="378" t="str">
        <f>_xll.BLUEMATRIX2("/servlet/excelData",M156,$B$1,$B156&amp;":"&amp;M$115&amp;":"&amp;$AI$114)</f>
        <v>#</v>
      </c>
      <c r="AT156" s="378" t="str">
        <f>_xll.BLUEMATRIX2("/servlet/excelData",N156,$B$1,$B156&amp;":"&amp;N$115&amp;":"&amp;$AI$114)</f>
        <v>#</v>
      </c>
      <c r="AU156" s="378" t="str">
        <f>_xll.BLUEMATRIX2("/servlet/excelData",O156,$B$1,$B156&amp;":"&amp;O$115&amp;":"&amp;$AI$114)</f>
        <v>#</v>
      </c>
      <c r="AV156" s="378" t="str">
        <f>_xll.BLUEMATRIX2("/servlet/excelData",P156,$B$1,$B156&amp;":"&amp;P$115&amp;":"&amp;$AI$114)</f>
        <v>#</v>
      </c>
      <c r="AW156" s="378" t="str">
        <f>_xll.BLUEMATRIX2("/servlet/excelData",Q156,$B$1,$B156&amp;":"&amp;Q$115&amp;":"&amp;$AI$114)</f>
        <v>#</v>
      </c>
    </row>
    <row r="157" spans="1:49" ht="12.95" customHeight="1">
      <c r="A157" s="382" t="s">
        <v>641</v>
      </c>
      <c r="B157" s="350" t="s">
        <v>642</v>
      </c>
      <c r="C157" s="383" t="s">
        <v>214</v>
      </c>
      <c r="D157" s="384"/>
      <c r="E157" s="384"/>
      <c r="F157" s="384"/>
      <c r="G157" s="384"/>
      <c r="H157" s="384"/>
      <c r="I157" s="384"/>
      <c r="J157" s="384"/>
      <c r="K157" s="384"/>
      <c r="L157" s="384"/>
      <c r="M157" s="384"/>
      <c r="N157" s="384"/>
      <c r="O157" s="384"/>
      <c r="P157" s="384"/>
      <c r="Q157" s="384"/>
      <c r="R157" s="384"/>
      <c r="S157" s="384"/>
      <c r="T157" s="384"/>
      <c r="U157" s="384"/>
      <c r="V157" s="384"/>
      <c r="W157" s="384"/>
      <c r="X157" s="384"/>
      <c r="Y157" s="384"/>
      <c r="Z157" s="384"/>
      <c r="AA157" s="384"/>
      <c r="AB157" s="384"/>
      <c r="AC157" s="384"/>
      <c r="AD157" s="384"/>
      <c r="AE157" s="384"/>
      <c r="AF157" s="384"/>
      <c r="AG157" s="384"/>
      <c r="AH157" s="384"/>
      <c r="AI157" s="385"/>
      <c r="AJ157" s="479"/>
      <c r="AK157" s="378" t="str">
        <f>_xll.BLUEMATRIX2("/servlet/excelData",E157,$B$1,$B157&amp;":"&amp;E$115&amp;":"&amp;$AI$114)</f>
        <v>#</v>
      </c>
      <c r="AL157" s="378" t="str">
        <f>_xll.BLUEMATRIX2("/servlet/excelData",F157,$B$1,$B157&amp;":"&amp;F$115&amp;":"&amp;$AI$114)</f>
        <v>#</v>
      </c>
      <c r="AM157" s="378" t="str">
        <f>_xll.BLUEMATRIX2("/servlet/excelData",G157,$B$1,$B157&amp;":"&amp;G$115&amp;":"&amp;$AI$114)</f>
        <v>#</v>
      </c>
      <c r="AN157" s="378" t="str">
        <f>_xll.BLUEMATRIX2("/servlet/excelData",H157,$B$1,$B157&amp;":"&amp;H$115&amp;":"&amp;$AI$114)</f>
        <v>#</v>
      </c>
      <c r="AO157" s="378" t="str">
        <f>_xll.BLUEMATRIX2("/servlet/excelData",I157,$B$1,$B157&amp;":"&amp;I$115&amp;":"&amp;$AI$114)</f>
        <v>#</v>
      </c>
      <c r="AP157" s="378" t="str">
        <f>_xll.BLUEMATRIX2("/servlet/excelData",J157,$B$1,$B157&amp;":"&amp;J$115&amp;":"&amp;$AI$114)</f>
        <v>#</v>
      </c>
      <c r="AQ157" s="378" t="str">
        <f>_xll.BLUEMATRIX2("/servlet/excelData",K157,$B$1,$B157&amp;":"&amp;K$115&amp;":"&amp;$AI$114)</f>
        <v>#</v>
      </c>
      <c r="AR157" s="378" t="str">
        <f>_xll.BLUEMATRIX2("/servlet/excelData",L157,$B$1,$B157&amp;":"&amp;L$115&amp;":"&amp;$AI$114)</f>
        <v>#</v>
      </c>
      <c r="AS157" s="378" t="str">
        <f>_xll.BLUEMATRIX2("/servlet/excelData",M157,$B$1,$B157&amp;":"&amp;M$115&amp;":"&amp;$AI$114)</f>
        <v>#</v>
      </c>
      <c r="AT157" s="378" t="str">
        <f>_xll.BLUEMATRIX2("/servlet/excelData",N157,$B$1,$B157&amp;":"&amp;N$115&amp;":"&amp;$AI$114)</f>
        <v>#</v>
      </c>
      <c r="AU157" s="378" t="str">
        <f>_xll.BLUEMATRIX2("/servlet/excelData",O157,$B$1,$B157&amp;":"&amp;O$115&amp;":"&amp;$AI$114)</f>
        <v>#</v>
      </c>
      <c r="AV157" s="378" t="str">
        <f>_xll.BLUEMATRIX2("/servlet/excelData",P157,$B$1,$B157&amp;":"&amp;P$115&amp;":"&amp;$AI$114)</f>
        <v>#</v>
      </c>
      <c r="AW157" s="378" t="str">
        <f>_xll.BLUEMATRIX2("/servlet/excelData",Q157,$B$1,$B157&amp;":"&amp;Q$115&amp;":"&amp;$AI$114)</f>
        <v>#</v>
      </c>
    </row>
    <row r="158" spans="1:49" ht="12.95" customHeight="1">
      <c r="A158" s="382" t="s">
        <v>643</v>
      </c>
      <c r="B158" s="350" t="s">
        <v>644</v>
      </c>
      <c r="C158" s="393" t="s">
        <v>645</v>
      </c>
      <c r="D158" s="384"/>
      <c r="E158" s="384"/>
      <c r="F158" s="384"/>
      <c r="G158" s="384"/>
      <c r="H158" s="384"/>
      <c r="I158" s="384"/>
      <c r="J158" s="384"/>
      <c r="K158" s="384"/>
      <c r="L158" s="384"/>
      <c r="M158" s="384"/>
      <c r="N158" s="384"/>
      <c r="O158" s="384"/>
      <c r="P158" s="384"/>
      <c r="Q158" s="384"/>
      <c r="R158" s="384"/>
      <c r="S158" s="384"/>
      <c r="T158" s="384"/>
      <c r="U158" s="384"/>
      <c r="V158" s="384"/>
      <c r="W158" s="384"/>
      <c r="X158" s="384"/>
      <c r="Y158" s="384"/>
      <c r="Z158" s="384"/>
      <c r="AA158" s="384"/>
      <c r="AB158" s="384"/>
      <c r="AC158" s="384"/>
      <c r="AD158" s="384"/>
      <c r="AE158" s="384"/>
      <c r="AF158" s="384"/>
      <c r="AG158" s="384"/>
      <c r="AH158" s="384"/>
      <c r="AI158" s="322"/>
      <c r="AJ158" s="479"/>
      <c r="AK158" s="378" t="str">
        <f>_xll.BLUEMATRIX2("/servlet/excelData",E158,$B$1,$B158&amp;":"&amp;E$115&amp;":"&amp;$AI$114)</f>
        <v>#</v>
      </c>
      <c r="AL158" s="378" t="str">
        <f>_xll.BLUEMATRIX2("/servlet/excelData",F158,$B$1,$B158&amp;":"&amp;F$115&amp;":"&amp;$AI$114)</f>
        <v>#</v>
      </c>
      <c r="AM158" s="378" t="str">
        <f>_xll.BLUEMATRIX2("/servlet/excelData",G158,$B$1,$B158&amp;":"&amp;G$115&amp;":"&amp;$AI$114)</f>
        <v>#</v>
      </c>
      <c r="AN158" s="378" t="str">
        <f>_xll.BLUEMATRIX2("/servlet/excelData",H158,$B$1,$B158&amp;":"&amp;H$115&amp;":"&amp;$AI$114)</f>
        <v>#</v>
      </c>
      <c r="AO158" s="378" t="str">
        <f>_xll.BLUEMATRIX2("/servlet/excelData",I158,$B$1,$B158&amp;":"&amp;I$115&amp;":"&amp;$AI$114)</f>
        <v>#</v>
      </c>
      <c r="AP158" s="378" t="str">
        <f>_xll.BLUEMATRIX2("/servlet/excelData",J158,$B$1,$B158&amp;":"&amp;J$115&amp;":"&amp;$AI$114)</f>
        <v>#</v>
      </c>
      <c r="AQ158" s="378" t="str">
        <f>_xll.BLUEMATRIX2("/servlet/excelData",K158,$B$1,$B158&amp;":"&amp;K$115&amp;":"&amp;$AI$114)</f>
        <v>#</v>
      </c>
      <c r="AR158" s="378" t="str">
        <f>_xll.BLUEMATRIX2("/servlet/excelData",L158,$B$1,$B158&amp;":"&amp;L$115&amp;":"&amp;$AI$114)</f>
        <v>#</v>
      </c>
      <c r="AS158" s="378" t="str">
        <f>_xll.BLUEMATRIX2("/servlet/excelData",M158,$B$1,$B158&amp;":"&amp;M$115&amp;":"&amp;$AI$114)</f>
        <v>#</v>
      </c>
      <c r="AT158" s="378" t="str">
        <f>_xll.BLUEMATRIX2("/servlet/excelData",N158,$B$1,$B158&amp;":"&amp;N$115&amp;":"&amp;$AI$114)</f>
        <v>#</v>
      </c>
      <c r="AU158" s="378" t="str">
        <f>_xll.BLUEMATRIX2("/servlet/excelData",O158,$B$1,$B158&amp;":"&amp;O$115&amp;":"&amp;$AI$114)</f>
        <v>#</v>
      </c>
      <c r="AV158" s="378" t="str">
        <f>_xll.BLUEMATRIX2("/servlet/excelData",P158,$B$1,$B158&amp;":"&amp;P$115&amp;":"&amp;$AI$114)</f>
        <v>#</v>
      </c>
      <c r="AW158" s="378" t="str">
        <f>_xll.BLUEMATRIX2("/servlet/excelData",Q158,$B$1,$B158&amp;":"&amp;Q$115&amp;":"&amp;$AI$114)</f>
        <v>#</v>
      </c>
    </row>
    <row r="159" spans="1:49" ht="12.95" customHeight="1">
      <c r="A159" s="382" t="s">
        <v>646</v>
      </c>
      <c r="B159" s="350" t="s">
        <v>647</v>
      </c>
      <c r="C159" s="394" t="s">
        <v>648</v>
      </c>
      <c r="D159" s="392"/>
      <c r="E159" s="392"/>
      <c r="F159" s="392"/>
      <c r="G159" s="392"/>
      <c r="H159" s="392"/>
      <c r="I159" s="392">
        <f>FY!G57</f>
        <v>-35</v>
      </c>
      <c r="J159" s="392">
        <f>FY!H57</f>
        <v>-28.126000000000001</v>
      </c>
      <c r="K159" s="392">
        <f>FY!I57</f>
        <v>-16.000000000000007</v>
      </c>
      <c r="L159" s="392">
        <f>FY!J57</f>
        <v>-26.4</v>
      </c>
      <c r="M159" s="392">
        <f>FY!K57</f>
        <v>-26.599999999999998</v>
      </c>
      <c r="N159" s="392">
        <f>FY!L57</f>
        <v>-26.724114048151236</v>
      </c>
      <c r="O159" s="392">
        <f>FY!M57</f>
        <v>-21.935186810000655</v>
      </c>
      <c r="P159" s="392">
        <f>FY!N57</f>
        <v>-19.650921251912443</v>
      </c>
      <c r="Q159" s="392">
        <f>FY!O57</f>
        <v>-16.707393769213969</v>
      </c>
      <c r="R159" s="392"/>
      <c r="S159" s="392"/>
      <c r="T159" s="392">
        <f t="shared" ref="T159:AH159" si="17">T157+T158</f>
        <v>0</v>
      </c>
      <c r="U159" s="392">
        <f t="shared" si="17"/>
        <v>0</v>
      </c>
      <c r="V159" s="392">
        <f t="shared" si="17"/>
        <v>0</v>
      </c>
      <c r="W159" s="392">
        <f t="shared" si="17"/>
        <v>0</v>
      </c>
      <c r="X159" s="392">
        <f t="shared" si="17"/>
        <v>0</v>
      </c>
      <c r="Y159" s="392">
        <f t="shared" si="17"/>
        <v>0</v>
      </c>
      <c r="Z159" s="392">
        <f t="shared" si="17"/>
        <v>0</v>
      </c>
      <c r="AA159" s="392">
        <f t="shared" si="17"/>
        <v>0</v>
      </c>
      <c r="AB159" s="392">
        <f t="shared" si="17"/>
        <v>0</v>
      </c>
      <c r="AC159" s="392">
        <f t="shared" si="17"/>
        <v>0</v>
      </c>
      <c r="AD159" s="392">
        <f t="shared" si="17"/>
        <v>0</v>
      </c>
      <c r="AE159" s="392">
        <f t="shared" si="17"/>
        <v>0</v>
      </c>
      <c r="AF159" s="392">
        <f t="shared" si="17"/>
        <v>0</v>
      </c>
      <c r="AG159" s="392">
        <f t="shared" si="17"/>
        <v>0</v>
      </c>
      <c r="AH159" s="392">
        <f t="shared" si="17"/>
        <v>0</v>
      </c>
      <c r="AI159" s="322"/>
      <c r="AJ159" s="479"/>
      <c r="AK159" s="378" t="str">
        <f>_xll.BLUEMATRIX2("/servlet/excelData",E159,$B$1,$B159&amp;":"&amp;E$115&amp;":"&amp;$AI$114)</f>
        <v>#</v>
      </c>
      <c r="AL159" s="378" t="str">
        <f>_xll.BLUEMATRIX2("/servlet/excelData",F159,$B$1,$B159&amp;":"&amp;F$115&amp;":"&amp;$AI$114)</f>
        <v>#</v>
      </c>
      <c r="AM159" s="378" t="str">
        <f>_xll.BLUEMATRIX2("/servlet/excelData",G159,$B$1,$B159&amp;":"&amp;G$115&amp;":"&amp;$AI$114)</f>
        <v>#</v>
      </c>
      <c r="AN159" s="378" t="str">
        <f>_xll.BLUEMATRIX2("/servlet/excelData",H159,$B$1,$B159&amp;":"&amp;H$115&amp;":"&amp;$AI$114)</f>
        <v>#</v>
      </c>
      <c r="AO159" s="378" t="str">
        <f>_xll.BLUEMATRIX2("/servlet/excelData",I159,$B$1,$B159&amp;":"&amp;I$115&amp;":"&amp;$AI$114)</f>
        <v>#</v>
      </c>
      <c r="AP159" s="378" t="str">
        <f>_xll.BLUEMATRIX2("/servlet/excelData",J159,$B$1,$B159&amp;":"&amp;J$115&amp;":"&amp;$AI$114)</f>
        <v>#</v>
      </c>
      <c r="AQ159" s="378" t="str">
        <f>_xll.BLUEMATRIX2("/servlet/excelData",K159,$B$1,$B159&amp;":"&amp;K$115&amp;":"&amp;$AI$114)</f>
        <v>#</v>
      </c>
      <c r="AR159" s="378" t="str">
        <f>_xll.BLUEMATRIX2("/servlet/excelData",L159,$B$1,$B159&amp;":"&amp;L$115&amp;":"&amp;$AI$114)</f>
        <v>#</v>
      </c>
      <c r="AS159" s="378" t="str">
        <f>_xll.BLUEMATRIX2("/servlet/excelData",M159,$B$1,$B159&amp;":"&amp;M$115&amp;":"&amp;$AI$114)</f>
        <v>#</v>
      </c>
      <c r="AT159" s="378" t="str">
        <f>_xll.BLUEMATRIX2("/servlet/excelData",N159,$B$1,$B159&amp;":"&amp;N$115&amp;":"&amp;$AI$114)</f>
        <v>#</v>
      </c>
      <c r="AU159" s="378" t="str">
        <f>_xll.BLUEMATRIX2("/servlet/excelData",O159,$B$1,$B159&amp;":"&amp;O$115&amp;":"&amp;$AI$114)</f>
        <v>#</v>
      </c>
      <c r="AV159" s="378" t="str">
        <f>_xll.BLUEMATRIX2("/servlet/excelData",P159,$B$1,$B159&amp;":"&amp;P$115&amp;":"&amp;$AI$114)</f>
        <v>#</v>
      </c>
      <c r="AW159" s="378" t="str">
        <f>_xll.BLUEMATRIX2("/servlet/excelData",Q159,$B$1,$B159&amp;":"&amp;Q$115&amp;":"&amp;$AI$114)</f>
        <v>#</v>
      </c>
    </row>
    <row r="160" spans="1:49" ht="12.95" customHeight="1">
      <c r="A160" s="382" t="s">
        <v>649</v>
      </c>
      <c r="B160" s="350" t="s">
        <v>650</v>
      </c>
      <c r="C160" s="383" t="s">
        <v>651</v>
      </c>
      <c r="D160" s="384"/>
      <c r="E160" s="384"/>
      <c r="F160" s="384"/>
      <c r="G160" s="384"/>
      <c r="H160" s="384"/>
      <c r="I160" s="384"/>
      <c r="J160" s="384"/>
      <c r="K160" s="384"/>
      <c r="L160" s="384"/>
      <c r="M160" s="384"/>
      <c r="N160" s="384"/>
      <c r="O160" s="384"/>
      <c r="P160" s="384"/>
      <c r="Q160" s="384"/>
      <c r="R160" s="384"/>
      <c r="S160" s="384"/>
      <c r="T160" s="384"/>
      <c r="U160" s="384"/>
      <c r="V160" s="384"/>
      <c r="W160" s="384"/>
      <c r="X160" s="384"/>
      <c r="Y160" s="384"/>
      <c r="Z160" s="384"/>
      <c r="AA160" s="384"/>
      <c r="AB160" s="384"/>
      <c r="AC160" s="384"/>
      <c r="AD160" s="384"/>
      <c r="AE160" s="384"/>
      <c r="AF160" s="384"/>
      <c r="AG160" s="384"/>
      <c r="AH160" s="384"/>
      <c r="AI160" s="322"/>
      <c r="AJ160" s="479"/>
      <c r="AK160" s="378" t="str">
        <f>_xll.BLUEMATRIX2("/servlet/excelData",E160,$B$1,$B160&amp;":"&amp;E$115&amp;":"&amp;$AI$114)</f>
        <v>#</v>
      </c>
      <c r="AL160" s="378" t="str">
        <f>_xll.BLUEMATRIX2("/servlet/excelData",F160,$B$1,$B160&amp;":"&amp;F$115&amp;":"&amp;$AI$114)</f>
        <v>#</v>
      </c>
      <c r="AM160" s="378" t="str">
        <f>_xll.BLUEMATRIX2("/servlet/excelData",G160,$B$1,$B160&amp;":"&amp;G$115&amp;":"&amp;$AI$114)</f>
        <v>#</v>
      </c>
      <c r="AN160" s="378" t="str">
        <f>_xll.BLUEMATRIX2("/servlet/excelData",H160,$B$1,$B160&amp;":"&amp;H$115&amp;":"&amp;$AI$114)</f>
        <v>#</v>
      </c>
      <c r="AO160" s="378" t="str">
        <f>_xll.BLUEMATRIX2("/servlet/excelData",I160,$B$1,$B160&amp;":"&amp;I$115&amp;":"&amp;$AI$114)</f>
        <v>#</v>
      </c>
      <c r="AP160" s="378" t="str">
        <f>_xll.BLUEMATRIX2("/servlet/excelData",J160,$B$1,$B160&amp;":"&amp;J$115&amp;":"&amp;$AI$114)</f>
        <v>#</v>
      </c>
      <c r="AQ160" s="378" t="str">
        <f>_xll.BLUEMATRIX2("/servlet/excelData",K160,$B$1,$B160&amp;":"&amp;K$115&amp;":"&amp;$AI$114)</f>
        <v>#</v>
      </c>
      <c r="AR160" s="378" t="str">
        <f>_xll.BLUEMATRIX2("/servlet/excelData",L160,$B$1,$B160&amp;":"&amp;L$115&amp;":"&amp;$AI$114)</f>
        <v>#</v>
      </c>
      <c r="AS160" s="378" t="str">
        <f>_xll.BLUEMATRIX2("/servlet/excelData",M160,$B$1,$B160&amp;":"&amp;M$115&amp;":"&amp;$AI$114)</f>
        <v>#</v>
      </c>
      <c r="AT160" s="378" t="str">
        <f>_xll.BLUEMATRIX2("/servlet/excelData",N160,$B$1,$B160&amp;":"&amp;N$115&amp;":"&amp;$AI$114)</f>
        <v>#</v>
      </c>
      <c r="AU160" s="378" t="str">
        <f>_xll.BLUEMATRIX2("/servlet/excelData",O160,$B$1,$B160&amp;":"&amp;O$115&amp;":"&amp;$AI$114)</f>
        <v>#</v>
      </c>
      <c r="AV160" s="378" t="str">
        <f>_xll.BLUEMATRIX2("/servlet/excelData",P160,$B$1,$B160&amp;":"&amp;P$115&amp;":"&amp;$AI$114)</f>
        <v>#</v>
      </c>
      <c r="AW160" s="378" t="str">
        <f>_xll.BLUEMATRIX2("/servlet/excelData",Q160,$B$1,$B160&amp;":"&amp;Q$115&amp;":"&amp;$AI$114)</f>
        <v>#</v>
      </c>
    </row>
    <row r="161" spans="1:49" ht="12.95" customHeight="1">
      <c r="A161" s="388" t="s">
        <v>652</v>
      </c>
      <c r="B161" s="350" t="s">
        <v>653</v>
      </c>
      <c r="C161" s="383" t="s">
        <v>654</v>
      </c>
      <c r="D161" s="384"/>
      <c r="E161" s="384"/>
      <c r="F161" s="384"/>
      <c r="G161" s="384"/>
      <c r="H161" s="384"/>
      <c r="I161" s="384"/>
      <c r="J161" s="384"/>
      <c r="K161" s="384"/>
      <c r="L161" s="384"/>
      <c r="M161" s="384"/>
      <c r="N161" s="384"/>
      <c r="O161" s="384"/>
      <c r="P161" s="384"/>
      <c r="Q161" s="384"/>
      <c r="R161" s="384"/>
      <c r="S161" s="384"/>
      <c r="T161" s="384"/>
      <c r="U161" s="384"/>
      <c r="V161" s="384"/>
      <c r="W161" s="384"/>
      <c r="X161" s="384"/>
      <c r="Y161" s="384"/>
      <c r="Z161" s="384"/>
      <c r="AA161" s="384"/>
      <c r="AB161" s="384"/>
      <c r="AC161" s="384"/>
      <c r="AD161" s="384"/>
      <c r="AE161" s="384"/>
      <c r="AF161" s="384"/>
      <c r="AG161" s="384"/>
      <c r="AH161" s="384"/>
      <c r="AI161" s="322"/>
      <c r="AJ161" s="479"/>
      <c r="AK161" s="378" t="str">
        <f>_xll.BLUEMATRIX2("/servlet/excelData",E161,$B$1,$B161&amp;":"&amp;E$115&amp;":"&amp;$AI$114)</f>
        <v>#</v>
      </c>
      <c r="AL161" s="378" t="str">
        <f>_xll.BLUEMATRIX2("/servlet/excelData",F161,$B$1,$B161&amp;":"&amp;F$115&amp;":"&amp;$AI$114)</f>
        <v>#</v>
      </c>
      <c r="AM161" s="378" t="str">
        <f>_xll.BLUEMATRIX2("/servlet/excelData",G161,$B$1,$B161&amp;":"&amp;G$115&amp;":"&amp;$AI$114)</f>
        <v>#</v>
      </c>
      <c r="AN161" s="378" t="str">
        <f>_xll.BLUEMATRIX2("/servlet/excelData",H161,$B$1,$B161&amp;":"&amp;H$115&amp;":"&amp;$AI$114)</f>
        <v>#</v>
      </c>
      <c r="AO161" s="378" t="str">
        <f>_xll.BLUEMATRIX2("/servlet/excelData",I161,$B$1,$B161&amp;":"&amp;I$115&amp;":"&amp;$AI$114)</f>
        <v>#</v>
      </c>
      <c r="AP161" s="378" t="str">
        <f>_xll.BLUEMATRIX2("/servlet/excelData",J161,$B$1,$B161&amp;":"&amp;J$115&amp;":"&amp;$AI$114)</f>
        <v>#</v>
      </c>
      <c r="AQ161" s="378" t="str">
        <f>_xll.BLUEMATRIX2("/servlet/excelData",K161,$B$1,$B161&amp;":"&amp;K$115&amp;":"&amp;$AI$114)</f>
        <v>#</v>
      </c>
      <c r="AR161" s="378" t="str">
        <f>_xll.BLUEMATRIX2("/servlet/excelData",L161,$B$1,$B161&amp;":"&amp;L$115&amp;":"&amp;$AI$114)</f>
        <v>#</v>
      </c>
      <c r="AS161" s="378" t="str">
        <f>_xll.BLUEMATRIX2("/servlet/excelData",M161,$B$1,$B161&amp;":"&amp;M$115&amp;":"&amp;$AI$114)</f>
        <v>#</v>
      </c>
      <c r="AT161" s="378" t="str">
        <f>_xll.BLUEMATRIX2("/servlet/excelData",N161,$B$1,$B161&amp;":"&amp;N$115&amp;":"&amp;$AI$114)</f>
        <v>#</v>
      </c>
      <c r="AU161" s="378" t="str">
        <f>_xll.BLUEMATRIX2("/servlet/excelData",O161,$B$1,$B161&amp;":"&amp;O$115&amp;":"&amp;$AI$114)</f>
        <v>#</v>
      </c>
      <c r="AV161" s="378" t="str">
        <f>_xll.BLUEMATRIX2("/servlet/excelData",P161,$B$1,$B161&amp;":"&amp;P$115&amp;":"&amp;$AI$114)</f>
        <v>#</v>
      </c>
      <c r="AW161" s="378" t="str">
        <f>_xll.BLUEMATRIX2("/servlet/excelData",Q161,$B$1,$B161&amp;":"&amp;Q$115&amp;":"&amp;$AI$114)</f>
        <v>#</v>
      </c>
    </row>
    <row r="162" spans="1:49" ht="12.95" customHeight="1">
      <c r="A162" s="382" t="s">
        <v>655</v>
      </c>
      <c r="B162" s="350" t="s">
        <v>656</v>
      </c>
      <c r="C162" s="386" t="s">
        <v>656</v>
      </c>
      <c r="D162" s="387"/>
      <c r="E162" s="387"/>
      <c r="F162" s="387"/>
      <c r="G162" s="387"/>
      <c r="H162" s="387"/>
      <c r="I162" s="387">
        <f t="shared" ref="I162:Q162" si="18">I156+I159+I160+I161</f>
        <v>8.2000000000000171</v>
      </c>
      <c r="J162" s="387">
        <f t="shared" si="18"/>
        <v>183.00200000000001</v>
      </c>
      <c r="K162" s="387">
        <f t="shared" si="18"/>
        <v>169.779</v>
      </c>
      <c r="L162" s="387">
        <f t="shared" si="18"/>
        <v>113.08699999999996</v>
      </c>
      <c r="M162" s="387">
        <f t="shared" si="18"/>
        <v>51.543000000000006</v>
      </c>
      <c r="N162" s="387">
        <f t="shared" si="18"/>
        <v>43.500461217053314</v>
      </c>
      <c r="O162" s="387">
        <f t="shared" si="18"/>
        <v>78.234872965771274</v>
      </c>
      <c r="P162" s="387">
        <f t="shared" si="18"/>
        <v>106.53907935123317</v>
      </c>
      <c r="Q162" s="387">
        <f t="shared" si="18"/>
        <v>120.04423915281889</v>
      </c>
      <c r="R162" s="387"/>
      <c r="S162" s="387"/>
      <c r="T162" s="387">
        <f t="shared" ref="T162:AH162" si="19">T156+T159+T160+T161</f>
        <v>0</v>
      </c>
      <c r="U162" s="387">
        <f t="shared" si="19"/>
        <v>0</v>
      </c>
      <c r="V162" s="387">
        <f t="shared" si="19"/>
        <v>0</v>
      </c>
      <c r="W162" s="387">
        <f t="shared" si="19"/>
        <v>0</v>
      </c>
      <c r="X162" s="387">
        <f t="shared" si="19"/>
        <v>0</v>
      </c>
      <c r="Y162" s="387">
        <f t="shared" si="19"/>
        <v>0</v>
      </c>
      <c r="Z162" s="387">
        <f t="shared" si="19"/>
        <v>0</v>
      </c>
      <c r="AA162" s="387">
        <f t="shared" si="19"/>
        <v>0</v>
      </c>
      <c r="AB162" s="387">
        <f t="shared" si="19"/>
        <v>0</v>
      </c>
      <c r="AC162" s="387">
        <f t="shared" si="19"/>
        <v>0</v>
      </c>
      <c r="AD162" s="387">
        <f t="shared" si="19"/>
        <v>0</v>
      </c>
      <c r="AE162" s="387">
        <f t="shared" si="19"/>
        <v>0</v>
      </c>
      <c r="AF162" s="387">
        <f t="shared" si="19"/>
        <v>0</v>
      </c>
      <c r="AG162" s="387">
        <f t="shared" si="19"/>
        <v>0</v>
      </c>
      <c r="AH162" s="387">
        <f t="shared" si="19"/>
        <v>0</v>
      </c>
      <c r="AI162" s="322"/>
      <c r="AJ162" s="479"/>
      <c r="AK162" s="378" t="str">
        <f>_xll.BLUEMATRIX2("/servlet/excelData",E162,$B$1,$B162&amp;":"&amp;E$115&amp;":"&amp;$AI$114)</f>
        <v>#</v>
      </c>
      <c r="AL162" s="378" t="str">
        <f>_xll.BLUEMATRIX2("/servlet/excelData",F162,$B$1,$B162&amp;":"&amp;F$115&amp;":"&amp;$AI$114)</f>
        <v>#</v>
      </c>
      <c r="AM162" s="378" t="str">
        <f>_xll.BLUEMATRIX2("/servlet/excelData",G162,$B$1,$B162&amp;":"&amp;G$115&amp;":"&amp;$AI$114)</f>
        <v>#</v>
      </c>
      <c r="AN162" s="378" t="str">
        <f>_xll.BLUEMATRIX2("/servlet/excelData",H162,$B$1,$B162&amp;":"&amp;H$115&amp;":"&amp;$AI$114)</f>
        <v>#</v>
      </c>
      <c r="AO162" s="378" t="str">
        <f>_xll.BLUEMATRIX2("/servlet/excelData",I162,$B$1,$B162&amp;":"&amp;I$115&amp;":"&amp;$AI$114)</f>
        <v>#</v>
      </c>
      <c r="AP162" s="378" t="str">
        <f>_xll.BLUEMATRIX2("/servlet/excelData",J162,$B$1,$B162&amp;":"&amp;J$115&amp;":"&amp;$AI$114)</f>
        <v>#</v>
      </c>
      <c r="AQ162" s="378" t="str">
        <f>_xll.BLUEMATRIX2("/servlet/excelData",K162,$B$1,$B162&amp;":"&amp;K$115&amp;":"&amp;$AI$114)</f>
        <v>#</v>
      </c>
      <c r="AR162" s="378" t="str">
        <f>_xll.BLUEMATRIX2("/servlet/excelData",L162,$B$1,$B162&amp;":"&amp;L$115&amp;":"&amp;$AI$114)</f>
        <v>#</v>
      </c>
      <c r="AS162" s="378" t="str">
        <f>_xll.BLUEMATRIX2("/servlet/excelData",M162,$B$1,$B162&amp;":"&amp;M$115&amp;":"&amp;$AI$114)</f>
        <v>#</v>
      </c>
      <c r="AT162" s="378" t="str">
        <f>_xll.BLUEMATRIX2("/servlet/excelData",N162,$B$1,$B162&amp;":"&amp;N$115&amp;":"&amp;$AI$114)</f>
        <v>#</v>
      </c>
      <c r="AU162" s="378" t="str">
        <f>_xll.BLUEMATRIX2("/servlet/excelData",O162,$B$1,$B162&amp;":"&amp;O$115&amp;":"&amp;$AI$114)</f>
        <v>#</v>
      </c>
      <c r="AV162" s="378" t="str">
        <f>_xll.BLUEMATRIX2("/servlet/excelData",P162,$B$1,$B162&amp;":"&amp;P$115&amp;":"&amp;$AI$114)</f>
        <v>#</v>
      </c>
      <c r="AW162" s="378" t="str">
        <f>_xll.BLUEMATRIX2("/servlet/excelData",Q162,$B$1,$B162&amp;":"&amp;Q$115&amp;":"&amp;$AI$114)</f>
        <v>#</v>
      </c>
    </row>
    <row r="163" spans="1:49" ht="12.95" customHeight="1">
      <c r="A163" s="382" t="s">
        <v>657</v>
      </c>
      <c r="B163" s="350" t="s">
        <v>658</v>
      </c>
      <c r="C163" s="383" t="s">
        <v>659</v>
      </c>
      <c r="D163" s="384"/>
      <c r="E163" s="384"/>
      <c r="F163" s="384"/>
      <c r="G163" s="384"/>
      <c r="H163" s="384"/>
      <c r="I163" s="384">
        <f>FY!G61</f>
        <v>1.4999999999999929</v>
      </c>
      <c r="J163" s="384">
        <f>FY!H61</f>
        <v>-50.302000000000007</v>
      </c>
      <c r="K163" s="384">
        <f>FY!I61</f>
        <v>-46.579000000000008</v>
      </c>
      <c r="L163" s="384">
        <f>FY!J61</f>
        <v>-41.586999999999975</v>
      </c>
      <c r="M163" s="384">
        <f>FY!K61</f>
        <v>-13.54299999999999</v>
      </c>
      <c r="N163" s="384">
        <f>FY!L61</f>
        <v>-13.050138365115998</v>
      </c>
      <c r="O163" s="384">
        <f>FY!M61</f>
        <v>-23.470461889731382</v>
      </c>
      <c r="P163" s="384">
        <f>FY!N61</f>
        <v>-31.96172380536995</v>
      </c>
      <c r="Q163" s="384">
        <f>FY!O61</f>
        <v>-36.013271745845671</v>
      </c>
      <c r="R163" s="384"/>
      <c r="S163" s="384"/>
      <c r="T163" s="384"/>
      <c r="U163" s="384"/>
      <c r="V163" s="384"/>
      <c r="W163" s="384"/>
      <c r="X163" s="384"/>
      <c r="Y163" s="384"/>
      <c r="Z163" s="384"/>
      <c r="AA163" s="384"/>
      <c r="AB163" s="384"/>
      <c r="AC163" s="384"/>
      <c r="AD163" s="384"/>
      <c r="AE163" s="384"/>
      <c r="AF163" s="384"/>
      <c r="AG163" s="384"/>
      <c r="AH163" s="384"/>
      <c r="AI163" s="322"/>
      <c r="AJ163" s="479"/>
      <c r="AK163" s="378" t="str">
        <f>_xll.BLUEMATRIX2("/servlet/excelData",E163,$B$1,$B163&amp;":"&amp;E$115&amp;":"&amp;$AI$114)</f>
        <v>#</v>
      </c>
      <c r="AL163" s="378" t="str">
        <f>_xll.BLUEMATRIX2("/servlet/excelData",F163,$B$1,$B163&amp;":"&amp;F$115&amp;":"&amp;$AI$114)</f>
        <v>#</v>
      </c>
      <c r="AM163" s="378" t="str">
        <f>_xll.BLUEMATRIX2("/servlet/excelData",G163,$B$1,$B163&amp;":"&amp;G$115&amp;":"&amp;$AI$114)</f>
        <v>#</v>
      </c>
      <c r="AN163" s="378" t="str">
        <f>_xll.BLUEMATRIX2("/servlet/excelData",H163,$B$1,$B163&amp;":"&amp;H$115&amp;":"&amp;$AI$114)</f>
        <v>#</v>
      </c>
      <c r="AO163" s="378" t="str">
        <f>_xll.BLUEMATRIX2("/servlet/excelData",I163,$B$1,$B163&amp;":"&amp;I$115&amp;":"&amp;$AI$114)</f>
        <v>#</v>
      </c>
      <c r="AP163" s="378" t="str">
        <f>_xll.BLUEMATRIX2("/servlet/excelData",J163,$B$1,$B163&amp;":"&amp;J$115&amp;":"&amp;$AI$114)</f>
        <v>#</v>
      </c>
      <c r="AQ163" s="378" t="str">
        <f>_xll.BLUEMATRIX2("/servlet/excelData",K163,$B$1,$B163&amp;":"&amp;K$115&amp;":"&amp;$AI$114)</f>
        <v>#</v>
      </c>
      <c r="AR163" s="378" t="str">
        <f>_xll.BLUEMATRIX2("/servlet/excelData",L163,$B$1,$B163&amp;":"&amp;L$115&amp;":"&amp;$AI$114)</f>
        <v>#</v>
      </c>
      <c r="AS163" s="378" t="str">
        <f>_xll.BLUEMATRIX2("/servlet/excelData",M163,$B$1,$B163&amp;":"&amp;M$115&amp;":"&amp;$AI$114)</f>
        <v>#</v>
      </c>
      <c r="AT163" s="378" t="str">
        <f>_xll.BLUEMATRIX2("/servlet/excelData",N163,$B$1,$B163&amp;":"&amp;N$115&amp;":"&amp;$AI$114)</f>
        <v>#</v>
      </c>
      <c r="AU163" s="378" t="str">
        <f>_xll.BLUEMATRIX2("/servlet/excelData",O163,$B$1,$B163&amp;":"&amp;O$115&amp;":"&amp;$AI$114)</f>
        <v>#</v>
      </c>
      <c r="AV163" s="378" t="str">
        <f>_xll.BLUEMATRIX2("/servlet/excelData",P163,$B$1,$B163&amp;":"&amp;P$115&amp;":"&amp;$AI$114)</f>
        <v>#</v>
      </c>
      <c r="AW163" s="378" t="str">
        <f>_xll.BLUEMATRIX2("/servlet/excelData",Q163,$B$1,$B163&amp;":"&amp;Q$115&amp;":"&amp;$AI$114)</f>
        <v>#</v>
      </c>
    </row>
    <row r="164" spans="1:49" ht="12.95" customHeight="1">
      <c r="A164" s="382" t="s">
        <v>660</v>
      </c>
      <c r="B164" s="350" t="s">
        <v>661</v>
      </c>
      <c r="C164" s="383" t="s">
        <v>662</v>
      </c>
      <c r="D164" s="384"/>
      <c r="E164" s="384"/>
      <c r="F164" s="384"/>
      <c r="G164" s="384"/>
      <c r="H164" s="384"/>
      <c r="I164" s="384"/>
      <c r="J164" s="384"/>
      <c r="K164" s="384"/>
      <c r="L164" s="384"/>
      <c r="M164" s="384"/>
      <c r="N164" s="384"/>
      <c r="O164" s="384"/>
      <c r="P164" s="384"/>
      <c r="Q164" s="384"/>
      <c r="R164" s="384"/>
      <c r="S164" s="384"/>
      <c r="T164" s="384"/>
      <c r="U164" s="384"/>
      <c r="V164" s="384"/>
      <c r="W164" s="384"/>
      <c r="X164" s="384"/>
      <c r="Y164" s="384"/>
      <c r="Z164" s="384"/>
      <c r="AA164" s="384"/>
      <c r="AB164" s="384"/>
      <c r="AC164" s="384"/>
      <c r="AD164" s="384"/>
      <c r="AE164" s="384"/>
      <c r="AF164" s="384"/>
      <c r="AG164" s="384"/>
      <c r="AH164" s="384"/>
      <c r="AI164" s="322"/>
      <c r="AJ164" s="479"/>
      <c r="AK164" s="378" t="str">
        <f>_xll.BLUEMATRIX2("/servlet/excelData",E164,$B$1,$B164&amp;":"&amp;E$115&amp;":"&amp;$AI$114)</f>
        <v>#</v>
      </c>
      <c r="AL164" s="378" t="str">
        <f>_xll.BLUEMATRIX2("/servlet/excelData",F164,$B$1,$B164&amp;":"&amp;F$115&amp;":"&amp;$AI$114)</f>
        <v>#</v>
      </c>
      <c r="AM164" s="378" t="str">
        <f>_xll.BLUEMATRIX2("/servlet/excelData",G164,$B$1,$B164&amp;":"&amp;G$115&amp;":"&amp;$AI$114)</f>
        <v>#</v>
      </c>
      <c r="AN164" s="378" t="str">
        <f>_xll.BLUEMATRIX2("/servlet/excelData",H164,$B$1,$B164&amp;":"&amp;H$115&amp;":"&amp;$AI$114)</f>
        <v>#</v>
      </c>
      <c r="AO164" s="378" t="str">
        <f>_xll.BLUEMATRIX2("/servlet/excelData",I164,$B$1,$B164&amp;":"&amp;I$115&amp;":"&amp;$AI$114)</f>
        <v>#</v>
      </c>
      <c r="AP164" s="378" t="str">
        <f>_xll.BLUEMATRIX2("/servlet/excelData",J164,$B$1,$B164&amp;":"&amp;J$115&amp;":"&amp;$AI$114)</f>
        <v>#</v>
      </c>
      <c r="AQ164" s="378" t="str">
        <f>_xll.BLUEMATRIX2("/servlet/excelData",K164,$B$1,$B164&amp;":"&amp;K$115&amp;":"&amp;$AI$114)</f>
        <v>#</v>
      </c>
      <c r="AR164" s="378" t="str">
        <f>_xll.BLUEMATRIX2("/servlet/excelData",L164,$B$1,$B164&amp;":"&amp;L$115&amp;":"&amp;$AI$114)</f>
        <v>#</v>
      </c>
      <c r="AS164" s="378" t="str">
        <f>_xll.BLUEMATRIX2("/servlet/excelData",M164,$B$1,$B164&amp;":"&amp;M$115&amp;":"&amp;$AI$114)</f>
        <v>#</v>
      </c>
      <c r="AT164" s="378" t="str">
        <f>_xll.BLUEMATRIX2("/servlet/excelData",N164,$B$1,$B164&amp;":"&amp;N$115&amp;":"&amp;$AI$114)</f>
        <v>#</v>
      </c>
      <c r="AU164" s="378" t="str">
        <f>_xll.BLUEMATRIX2("/servlet/excelData",O164,$B$1,$B164&amp;":"&amp;O$115&amp;":"&amp;$AI$114)</f>
        <v>#</v>
      </c>
      <c r="AV164" s="378" t="str">
        <f>_xll.BLUEMATRIX2("/servlet/excelData",P164,$B$1,$B164&amp;":"&amp;P$115&amp;":"&amp;$AI$114)</f>
        <v>#</v>
      </c>
      <c r="AW164" s="378" t="str">
        <f>_xll.BLUEMATRIX2("/servlet/excelData",Q164,$B$1,$B164&amp;":"&amp;Q$115&amp;":"&amp;$AI$114)</f>
        <v>#</v>
      </c>
    </row>
    <row r="165" spans="1:49" ht="12.95" customHeight="1">
      <c r="A165" s="382" t="s">
        <v>663</v>
      </c>
      <c r="B165" s="350" t="s">
        <v>664</v>
      </c>
      <c r="C165" s="386" t="s">
        <v>665</v>
      </c>
      <c r="D165" s="387"/>
      <c r="E165" s="387"/>
      <c r="F165" s="387"/>
      <c r="G165" s="387"/>
      <c r="H165" s="387"/>
      <c r="I165" s="387">
        <f t="shared" ref="I165:Q165" si="20">I162+I163+I164</f>
        <v>9.7000000000000099</v>
      </c>
      <c r="J165" s="387">
        <f t="shared" si="20"/>
        <v>132.69999999999999</v>
      </c>
      <c r="K165" s="387">
        <f t="shared" si="20"/>
        <v>123.19999999999999</v>
      </c>
      <c r="L165" s="387">
        <f t="shared" si="20"/>
        <v>71.499999999999986</v>
      </c>
      <c r="M165" s="387">
        <f t="shared" si="20"/>
        <v>38.000000000000014</v>
      </c>
      <c r="N165" s="387">
        <f t="shared" si="20"/>
        <v>30.450322851937315</v>
      </c>
      <c r="O165" s="387">
        <f t="shared" si="20"/>
        <v>54.764411076039892</v>
      </c>
      <c r="P165" s="387">
        <f t="shared" si="20"/>
        <v>74.577355545863213</v>
      </c>
      <c r="Q165" s="387">
        <f t="shared" si="20"/>
        <v>84.030967406973218</v>
      </c>
      <c r="R165" s="387"/>
      <c r="S165" s="387"/>
      <c r="T165" s="387">
        <f t="shared" ref="T165:AH165" si="21">T162+T163+T164</f>
        <v>0</v>
      </c>
      <c r="U165" s="387">
        <f t="shared" si="21"/>
        <v>0</v>
      </c>
      <c r="V165" s="387">
        <f t="shared" si="21"/>
        <v>0</v>
      </c>
      <c r="W165" s="387">
        <f t="shared" si="21"/>
        <v>0</v>
      </c>
      <c r="X165" s="387">
        <f t="shared" si="21"/>
        <v>0</v>
      </c>
      <c r="Y165" s="387">
        <f t="shared" si="21"/>
        <v>0</v>
      </c>
      <c r="Z165" s="387">
        <f t="shared" si="21"/>
        <v>0</v>
      </c>
      <c r="AA165" s="387">
        <f t="shared" si="21"/>
        <v>0</v>
      </c>
      <c r="AB165" s="387">
        <f t="shared" si="21"/>
        <v>0</v>
      </c>
      <c r="AC165" s="387">
        <f t="shared" si="21"/>
        <v>0</v>
      </c>
      <c r="AD165" s="387">
        <f t="shared" si="21"/>
        <v>0</v>
      </c>
      <c r="AE165" s="387">
        <f t="shared" si="21"/>
        <v>0</v>
      </c>
      <c r="AF165" s="387">
        <f t="shared" si="21"/>
        <v>0</v>
      </c>
      <c r="AG165" s="387">
        <f t="shared" si="21"/>
        <v>0</v>
      </c>
      <c r="AH165" s="387">
        <f t="shared" si="21"/>
        <v>0</v>
      </c>
      <c r="AI165" s="322"/>
      <c r="AJ165" s="479"/>
      <c r="AK165" s="378" t="str">
        <f>_xll.BLUEMATRIX2("/servlet/excelData",E165,$B$1,$B165&amp;":"&amp;E$115&amp;":"&amp;$AI$114)</f>
        <v>#</v>
      </c>
      <c r="AL165" s="378" t="str">
        <f>_xll.BLUEMATRIX2("/servlet/excelData",F165,$B$1,$B165&amp;":"&amp;F$115&amp;":"&amp;$AI$114)</f>
        <v>#</v>
      </c>
      <c r="AM165" s="378" t="str">
        <f>_xll.BLUEMATRIX2("/servlet/excelData",G165,$B$1,$B165&amp;":"&amp;G$115&amp;":"&amp;$AI$114)</f>
        <v>#</v>
      </c>
      <c r="AN165" s="378" t="str">
        <f>_xll.BLUEMATRIX2("/servlet/excelData",H165,$B$1,$B165&amp;":"&amp;H$115&amp;":"&amp;$AI$114)</f>
        <v>#</v>
      </c>
      <c r="AO165" s="378" t="str">
        <f>_xll.BLUEMATRIX2("/servlet/excelData",I165,$B$1,$B165&amp;":"&amp;I$115&amp;":"&amp;$AI$114)</f>
        <v>#</v>
      </c>
      <c r="AP165" s="378" t="str">
        <f>_xll.BLUEMATRIX2("/servlet/excelData",J165,$B$1,$B165&amp;":"&amp;J$115&amp;":"&amp;$AI$114)</f>
        <v>#</v>
      </c>
      <c r="AQ165" s="378" t="str">
        <f>_xll.BLUEMATRIX2("/servlet/excelData",K165,$B$1,$B165&amp;":"&amp;K$115&amp;":"&amp;$AI$114)</f>
        <v>#</v>
      </c>
      <c r="AR165" s="378" t="str">
        <f>_xll.BLUEMATRIX2("/servlet/excelData",L165,$B$1,$B165&amp;":"&amp;L$115&amp;":"&amp;$AI$114)</f>
        <v>#</v>
      </c>
      <c r="AS165" s="378" t="str">
        <f>_xll.BLUEMATRIX2("/servlet/excelData",M165,$B$1,$B165&amp;":"&amp;M$115&amp;":"&amp;$AI$114)</f>
        <v>#</v>
      </c>
      <c r="AT165" s="378" t="str">
        <f>_xll.BLUEMATRIX2("/servlet/excelData",N165,$B$1,$B165&amp;":"&amp;N$115&amp;":"&amp;$AI$114)</f>
        <v>#</v>
      </c>
      <c r="AU165" s="378" t="str">
        <f>_xll.BLUEMATRIX2("/servlet/excelData",O165,$B$1,$B165&amp;":"&amp;O$115&amp;":"&amp;$AI$114)</f>
        <v>#</v>
      </c>
      <c r="AV165" s="378" t="str">
        <f>_xll.BLUEMATRIX2("/servlet/excelData",P165,$B$1,$B165&amp;":"&amp;P$115&amp;":"&amp;$AI$114)</f>
        <v>#</v>
      </c>
      <c r="AW165" s="378" t="str">
        <f>_xll.BLUEMATRIX2("/servlet/excelData",Q165,$B$1,$B165&amp;":"&amp;Q$115&amp;":"&amp;$AI$114)</f>
        <v>#</v>
      </c>
    </row>
    <row r="166" spans="1:49" ht="12.95" customHeight="1">
      <c r="A166" s="382" t="s">
        <v>666</v>
      </c>
      <c r="B166" s="350" t="s">
        <v>667</v>
      </c>
      <c r="C166" s="383" t="s">
        <v>668</v>
      </c>
      <c r="D166" s="384"/>
      <c r="E166" s="384"/>
      <c r="F166" s="384"/>
      <c r="G166" s="384"/>
      <c r="H166" s="384"/>
      <c r="I166" s="384"/>
      <c r="J166" s="384"/>
      <c r="K166" s="384"/>
      <c r="L166" s="384"/>
      <c r="M166" s="384"/>
      <c r="N166" s="384"/>
      <c r="O166" s="384"/>
      <c r="P166" s="384"/>
      <c r="Q166" s="384"/>
      <c r="R166" s="384"/>
      <c r="S166" s="384"/>
      <c r="T166" s="384"/>
      <c r="U166" s="384"/>
      <c r="V166" s="384"/>
      <c r="W166" s="384"/>
      <c r="X166" s="384"/>
      <c r="Y166" s="384"/>
      <c r="Z166" s="384"/>
      <c r="AA166" s="384"/>
      <c r="AB166" s="384"/>
      <c r="AC166" s="384"/>
      <c r="AD166" s="384"/>
      <c r="AE166" s="384"/>
      <c r="AF166" s="384"/>
      <c r="AG166" s="384"/>
      <c r="AH166" s="384"/>
      <c r="AI166" s="322"/>
      <c r="AJ166" s="479"/>
      <c r="AK166" s="378" t="str">
        <f>_xll.BLUEMATRIX2("/servlet/excelData",E166,$B$1,$B166&amp;":"&amp;E$115&amp;":"&amp;$AI$114)</f>
        <v>#</v>
      </c>
      <c r="AL166" s="378" t="str">
        <f>_xll.BLUEMATRIX2("/servlet/excelData",F166,$B$1,$B166&amp;":"&amp;F$115&amp;":"&amp;$AI$114)</f>
        <v>#</v>
      </c>
      <c r="AM166" s="378" t="str">
        <f>_xll.BLUEMATRIX2("/servlet/excelData",G166,$B$1,$B166&amp;":"&amp;G$115&amp;":"&amp;$AI$114)</f>
        <v>#</v>
      </c>
      <c r="AN166" s="378" t="str">
        <f>_xll.BLUEMATRIX2("/servlet/excelData",H166,$B$1,$B166&amp;":"&amp;H$115&amp;":"&amp;$AI$114)</f>
        <v>#</v>
      </c>
      <c r="AO166" s="378" t="str">
        <f>_xll.BLUEMATRIX2("/servlet/excelData",I166,$B$1,$B166&amp;":"&amp;I$115&amp;":"&amp;$AI$114)</f>
        <v>#</v>
      </c>
      <c r="AP166" s="378" t="str">
        <f>_xll.BLUEMATRIX2("/servlet/excelData",J166,$B$1,$B166&amp;":"&amp;J$115&amp;":"&amp;$AI$114)</f>
        <v>#</v>
      </c>
      <c r="AQ166" s="378" t="str">
        <f>_xll.BLUEMATRIX2("/servlet/excelData",K166,$B$1,$B166&amp;":"&amp;K$115&amp;":"&amp;$AI$114)</f>
        <v>#</v>
      </c>
      <c r="AR166" s="378" t="str">
        <f>_xll.BLUEMATRIX2("/servlet/excelData",L166,$B$1,$B166&amp;":"&amp;L$115&amp;":"&amp;$AI$114)</f>
        <v>#</v>
      </c>
      <c r="AS166" s="378" t="str">
        <f>_xll.BLUEMATRIX2("/servlet/excelData",M166,$B$1,$B166&amp;":"&amp;M$115&amp;":"&amp;$AI$114)</f>
        <v>#</v>
      </c>
      <c r="AT166" s="378" t="str">
        <f>_xll.BLUEMATRIX2("/servlet/excelData",N166,$B$1,$B166&amp;":"&amp;N$115&amp;":"&amp;$AI$114)</f>
        <v>#</v>
      </c>
      <c r="AU166" s="378" t="str">
        <f>_xll.BLUEMATRIX2("/servlet/excelData",O166,$B$1,$B166&amp;":"&amp;O$115&amp;":"&amp;$AI$114)</f>
        <v>#</v>
      </c>
      <c r="AV166" s="378" t="str">
        <f>_xll.BLUEMATRIX2("/servlet/excelData",P166,$B$1,$B166&amp;":"&amp;P$115&amp;":"&amp;$AI$114)</f>
        <v>#</v>
      </c>
      <c r="AW166" s="378" t="str">
        <f>_xll.BLUEMATRIX2("/servlet/excelData",Q166,$B$1,$B166&amp;":"&amp;Q$115&amp;":"&amp;$AI$114)</f>
        <v>#</v>
      </c>
    </row>
    <row r="167" spans="1:49" ht="12.95" customHeight="1">
      <c r="A167" s="382" t="s">
        <v>669</v>
      </c>
      <c r="B167" s="350" t="s">
        <v>670</v>
      </c>
      <c r="C167" s="386" t="s">
        <v>671</v>
      </c>
      <c r="D167" s="387"/>
      <c r="E167" s="387"/>
      <c r="F167" s="387"/>
      <c r="G167" s="387"/>
      <c r="H167" s="387"/>
      <c r="I167" s="387">
        <f t="shared" ref="I167:Q167" si="22">I165+I166</f>
        <v>9.7000000000000099</v>
      </c>
      <c r="J167" s="387">
        <f t="shared" si="22"/>
        <v>132.69999999999999</v>
      </c>
      <c r="K167" s="387">
        <f t="shared" si="22"/>
        <v>123.19999999999999</v>
      </c>
      <c r="L167" s="387">
        <f t="shared" si="22"/>
        <v>71.499999999999986</v>
      </c>
      <c r="M167" s="387">
        <f t="shared" si="22"/>
        <v>38.000000000000014</v>
      </c>
      <c r="N167" s="387">
        <f t="shared" si="22"/>
        <v>30.450322851937315</v>
      </c>
      <c r="O167" s="387">
        <f t="shared" si="22"/>
        <v>54.764411076039892</v>
      </c>
      <c r="P167" s="387">
        <f t="shared" si="22"/>
        <v>74.577355545863213</v>
      </c>
      <c r="Q167" s="387">
        <f t="shared" si="22"/>
        <v>84.030967406973218</v>
      </c>
      <c r="R167" s="387"/>
      <c r="S167" s="387"/>
      <c r="T167" s="387">
        <f t="shared" ref="T167:AH167" si="23">T165+T166</f>
        <v>0</v>
      </c>
      <c r="U167" s="387">
        <f t="shared" si="23"/>
        <v>0</v>
      </c>
      <c r="V167" s="387">
        <f t="shared" si="23"/>
        <v>0</v>
      </c>
      <c r="W167" s="387">
        <f t="shared" si="23"/>
        <v>0</v>
      </c>
      <c r="X167" s="387">
        <f t="shared" si="23"/>
        <v>0</v>
      </c>
      <c r="Y167" s="387">
        <f t="shared" si="23"/>
        <v>0</v>
      </c>
      <c r="Z167" s="387">
        <f t="shared" si="23"/>
        <v>0</v>
      </c>
      <c r="AA167" s="387">
        <f t="shared" si="23"/>
        <v>0</v>
      </c>
      <c r="AB167" s="387">
        <f t="shared" si="23"/>
        <v>0</v>
      </c>
      <c r="AC167" s="387">
        <f t="shared" si="23"/>
        <v>0</v>
      </c>
      <c r="AD167" s="387">
        <f t="shared" si="23"/>
        <v>0</v>
      </c>
      <c r="AE167" s="387">
        <f t="shared" si="23"/>
        <v>0</v>
      </c>
      <c r="AF167" s="387">
        <f t="shared" si="23"/>
        <v>0</v>
      </c>
      <c r="AG167" s="387">
        <f t="shared" si="23"/>
        <v>0</v>
      </c>
      <c r="AH167" s="387">
        <f t="shared" si="23"/>
        <v>0</v>
      </c>
      <c r="AI167" s="322"/>
      <c r="AJ167" s="479"/>
      <c r="AK167" s="378" t="str">
        <f>_xll.BLUEMATRIX2("/servlet/excelData",E167,$B$1,$B167&amp;":"&amp;E$115&amp;":"&amp;$AI$114)</f>
        <v>#</v>
      </c>
      <c r="AL167" s="378" t="str">
        <f>_xll.BLUEMATRIX2("/servlet/excelData",F167,$B$1,$B167&amp;":"&amp;F$115&amp;":"&amp;$AI$114)</f>
        <v>#</v>
      </c>
      <c r="AM167" s="378" t="str">
        <f>_xll.BLUEMATRIX2("/servlet/excelData",G167,$B$1,$B167&amp;":"&amp;G$115&amp;":"&amp;$AI$114)</f>
        <v>#</v>
      </c>
      <c r="AN167" s="378" t="str">
        <f>_xll.BLUEMATRIX2("/servlet/excelData",H167,$B$1,$B167&amp;":"&amp;H$115&amp;":"&amp;$AI$114)</f>
        <v>#</v>
      </c>
      <c r="AO167" s="378" t="str">
        <f>_xll.BLUEMATRIX2("/servlet/excelData",I167,$B$1,$B167&amp;":"&amp;I$115&amp;":"&amp;$AI$114)</f>
        <v>#</v>
      </c>
      <c r="AP167" s="378" t="str">
        <f>_xll.BLUEMATRIX2("/servlet/excelData",J167,$B$1,$B167&amp;":"&amp;J$115&amp;":"&amp;$AI$114)</f>
        <v>#</v>
      </c>
      <c r="AQ167" s="378" t="str">
        <f>_xll.BLUEMATRIX2("/servlet/excelData",K167,$B$1,$B167&amp;":"&amp;K$115&amp;":"&amp;$AI$114)</f>
        <v>#</v>
      </c>
      <c r="AR167" s="378" t="str">
        <f>_xll.BLUEMATRIX2("/servlet/excelData",L167,$B$1,$B167&amp;":"&amp;L$115&amp;":"&amp;$AI$114)</f>
        <v>#</v>
      </c>
      <c r="AS167" s="378" t="str">
        <f>_xll.BLUEMATRIX2("/servlet/excelData",M167,$B$1,$B167&amp;":"&amp;M$115&amp;":"&amp;$AI$114)</f>
        <v>#</v>
      </c>
      <c r="AT167" s="378" t="str">
        <f>_xll.BLUEMATRIX2("/servlet/excelData",N167,$B$1,$B167&amp;":"&amp;N$115&amp;":"&amp;$AI$114)</f>
        <v>#</v>
      </c>
      <c r="AU167" s="378" t="str">
        <f>_xll.BLUEMATRIX2("/servlet/excelData",O167,$B$1,$B167&amp;":"&amp;O$115&amp;":"&amp;$AI$114)</f>
        <v>#</v>
      </c>
      <c r="AV167" s="378" t="str">
        <f>_xll.BLUEMATRIX2("/servlet/excelData",P167,$B$1,$B167&amp;":"&amp;P$115&amp;":"&amp;$AI$114)</f>
        <v>#</v>
      </c>
      <c r="AW167" s="378" t="str">
        <f>_xll.BLUEMATRIX2("/servlet/excelData",Q167,$B$1,$B167&amp;":"&amp;Q$115&amp;":"&amp;$AI$114)</f>
        <v>#</v>
      </c>
    </row>
    <row r="168" spans="1:49" ht="12.95" customHeight="1">
      <c r="A168" s="382" t="s">
        <v>672</v>
      </c>
      <c r="B168" s="350" t="s">
        <v>673</v>
      </c>
      <c r="C168" s="383" t="s">
        <v>674</v>
      </c>
      <c r="D168" s="384"/>
      <c r="E168" s="384"/>
      <c r="F168" s="384"/>
      <c r="G168" s="384"/>
      <c r="H168" s="384"/>
      <c r="I168" s="384"/>
      <c r="J168" s="384"/>
      <c r="K168" s="384"/>
      <c r="L168" s="384"/>
      <c r="M168" s="384"/>
      <c r="N168" s="384"/>
      <c r="O168" s="384"/>
      <c r="P168" s="384"/>
      <c r="Q168" s="384"/>
      <c r="R168" s="384"/>
      <c r="S168" s="384"/>
      <c r="T168" s="384"/>
      <c r="U168" s="384"/>
      <c r="V168" s="384"/>
      <c r="W168" s="384"/>
      <c r="X168" s="384"/>
      <c r="Y168" s="384"/>
      <c r="Z168" s="384"/>
      <c r="AA168" s="384"/>
      <c r="AB168" s="384"/>
      <c r="AC168" s="384"/>
      <c r="AD168" s="384"/>
      <c r="AE168" s="384"/>
      <c r="AF168" s="384"/>
      <c r="AG168" s="384"/>
      <c r="AH168" s="384"/>
      <c r="AI168" s="322"/>
      <c r="AJ168" s="479"/>
      <c r="AK168" s="378" t="str">
        <f>_xll.BLUEMATRIX2("/servlet/excelData",E168,$B$1,$B168&amp;":"&amp;E$115&amp;":"&amp;$AI$114)</f>
        <v>#</v>
      </c>
      <c r="AL168" s="378" t="str">
        <f>_xll.BLUEMATRIX2("/servlet/excelData",F168,$B$1,$B168&amp;":"&amp;F$115&amp;":"&amp;$AI$114)</f>
        <v>#</v>
      </c>
      <c r="AM168" s="378" t="str">
        <f>_xll.BLUEMATRIX2("/servlet/excelData",G168,$B$1,$B168&amp;":"&amp;G$115&amp;":"&amp;$AI$114)</f>
        <v>#</v>
      </c>
      <c r="AN168" s="378" t="str">
        <f>_xll.BLUEMATRIX2("/servlet/excelData",H168,$B$1,$B168&amp;":"&amp;H$115&amp;":"&amp;$AI$114)</f>
        <v>#</v>
      </c>
      <c r="AO168" s="378" t="str">
        <f>_xll.BLUEMATRIX2("/servlet/excelData",I168,$B$1,$B168&amp;":"&amp;I$115&amp;":"&amp;$AI$114)</f>
        <v>#</v>
      </c>
      <c r="AP168" s="378" t="str">
        <f>_xll.BLUEMATRIX2("/servlet/excelData",J168,$B$1,$B168&amp;":"&amp;J$115&amp;":"&amp;$AI$114)</f>
        <v>#</v>
      </c>
      <c r="AQ168" s="378" t="str">
        <f>_xll.BLUEMATRIX2("/servlet/excelData",K168,$B$1,$B168&amp;":"&amp;K$115&amp;":"&amp;$AI$114)</f>
        <v>#</v>
      </c>
      <c r="AR168" s="378" t="str">
        <f>_xll.BLUEMATRIX2("/servlet/excelData",L168,$B$1,$B168&amp;":"&amp;L$115&amp;":"&amp;$AI$114)</f>
        <v>#</v>
      </c>
      <c r="AS168" s="378" t="str">
        <f>_xll.BLUEMATRIX2("/servlet/excelData",M168,$B$1,$B168&amp;":"&amp;M$115&amp;":"&amp;$AI$114)</f>
        <v>#</v>
      </c>
      <c r="AT168" s="378" t="str">
        <f>_xll.BLUEMATRIX2("/servlet/excelData",N168,$B$1,$B168&amp;":"&amp;N$115&amp;":"&amp;$AI$114)</f>
        <v>#</v>
      </c>
      <c r="AU168" s="378" t="str">
        <f>_xll.BLUEMATRIX2("/servlet/excelData",O168,$B$1,$B168&amp;":"&amp;O$115&amp;":"&amp;$AI$114)</f>
        <v>#</v>
      </c>
      <c r="AV168" s="378" t="str">
        <f>_xll.BLUEMATRIX2("/servlet/excelData",P168,$B$1,$B168&amp;":"&amp;P$115&amp;":"&amp;$AI$114)</f>
        <v>#</v>
      </c>
      <c r="AW168" s="378" t="str">
        <f>_xll.BLUEMATRIX2("/servlet/excelData",Q168,$B$1,$B168&amp;":"&amp;Q$115&amp;":"&amp;$AI$114)</f>
        <v>#</v>
      </c>
    </row>
    <row r="169" spans="1:49" ht="12.95" customHeight="1">
      <c r="A169" s="382" t="s">
        <v>675</v>
      </c>
      <c r="B169" s="350" t="s">
        <v>676</v>
      </c>
      <c r="C169" s="386" t="s">
        <v>677</v>
      </c>
      <c r="D169" s="387"/>
      <c r="E169" s="387"/>
      <c r="F169" s="387"/>
      <c r="G169" s="387"/>
      <c r="H169" s="387"/>
      <c r="I169" s="387">
        <f t="shared" ref="I169:Q169" si="24">I167+I168</f>
        <v>9.7000000000000099</v>
      </c>
      <c r="J169" s="387">
        <f t="shared" si="24"/>
        <v>132.69999999999999</v>
      </c>
      <c r="K169" s="387">
        <f t="shared" si="24"/>
        <v>123.19999999999999</v>
      </c>
      <c r="L169" s="387">
        <f t="shared" si="24"/>
        <v>71.499999999999986</v>
      </c>
      <c r="M169" s="387">
        <f t="shared" si="24"/>
        <v>38.000000000000014</v>
      </c>
      <c r="N169" s="387">
        <f t="shared" si="24"/>
        <v>30.450322851937315</v>
      </c>
      <c r="O169" s="387">
        <f t="shared" si="24"/>
        <v>54.764411076039892</v>
      </c>
      <c r="P169" s="387">
        <f t="shared" si="24"/>
        <v>74.577355545863213</v>
      </c>
      <c r="Q169" s="387">
        <f t="shared" si="24"/>
        <v>84.030967406973218</v>
      </c>
      <c r="R169" s="387"/>
      <c r="S169" s="387"/>
      <c r="T169" s="387">
        <f t="shared" ref="T169:AH169" si="25">T167+T168</f>
        <v>0</v>
      </c>
      <c r="U169" s="387">
        <f t="shared" si="25"/>
        <v>0</v>
      </c>
      <c r="V169" s="387">
        <f t="shared" si="25"/>
        <v>0</v>
      </c>
      <c r="W169" s="387">
        <f t="shared" si="25"/>
        <v>0</v>
      </c>
      <c r="X169" s="387">
        <f t="shared" si="25"/>
        <v>0</v>
      </c>
      <c r="Y169" s="387">
        <f t="shared" si="25"/>
        <v>0</v>
      </c>
      <c r="Z169" s="387">
        <f t="shared" si="25"/>
        <v>0</v>
      </c>
      <c r="AA169" s="387">
        <f t="shared" si="25"/>
        <v>0</v>
      </c>
      <c r="AB169" s="387">
        <f t="shared" si="25"/>
        <v>0</v>
      </c>
      <c r="AC169" s="387">
        <f t="shared" si="25"/>
        <v>0</v>
      </c>
      <c r="AD169" s="387">
        <f t="shared" si="25"/>
        <v>0</v>
      </c>
      <c r="AE169" s="387">
        <f t="shared" si="25"/>
        <v>0</v>
      </c>
      <c r="AF169" s="387">
        <f t="shared" si="25"/>
        <v>0</v>
      </c>
      <c r="AG169" s="387">
        <f t="shared" si="25"/>
        <v>0</v>
      </c>
      <c r="AH169" s="387">
        <f t="shared" si="25"/>
        <v>0</v>
      </c>
      <c r="AI169" s="322"/>
      <c r="AJ169" s="479"/>
      <c r="AK169" s="378" t="str">
        <f>_xll.BLUEMATRIX2("/servlet/excelData",E169,$B$1,$B169&amp;":"&amp;E$115&amp;":"&amp;$AI$114)</f>
        <v>#</v>
      </c>
      <c r="AL169" s="378" t="str">
        <f>_xll.BLUEMATRIX2("/servlet/excelData",F169,$B$1,$B169&amp;":"&amp;F$115&amp;":"&amp;$AI$114)</f>
        <v>#</v>
      </c>
      <c r="AM169" s="378" t="str">
        <f>_xll.BLUEMATRIX2("/servlet/excelData",G169,$B$1,$B169&amp;":"&amp;G$115&amp;":"&amp;$AI$114)</f>
        <v>#</v>
      </c>
      <c r="AN169" s="378" t="str">
        <f>_xll.BLUEMATRIX2("/servlet/excelData",H169,$B$1,$B169&amp;":"&amp;H$115&amp;":"&amp;$AI$114)</f>
        <v>#</v>
      </c>
      <c r="AO169" s="378" t="str">
        <f>_xll.BLUEMATRIX2("/servlet/excelData",I169,$B$1,$B169&amp;":"&amp;I$115&amp;":"&amp;$AI$114)</f>
        <v>#</v>
      </c>
      <c r="AP169" s="378" t="str">
        <f>_xll.BLUEMATRIX2("/servlet/excelData",J169,$B$1,$B169&amp;":"&amp;J$115&amp;":"&amp;$AI$114)</f>
        <v>#</v>
      </c>
      <c r="AQ169" s="378" t="str">
        <f>_xll.BLUEMATRIX2("/servlet/excelData",K169,$B$1,$B169&amp;":"&amp;K$115&amp;":"&amp;$AI$114)</f>
        <v>#</v>
      </c>
      <c r="AR169" s="378" t="str">
        <f>_xll.BLUEMATRIX2("/servlet/excelData",L169,$B$1,$B169&amp;":"&amp;L$115&amp;":"&amp;$AI$114)</f>
        <v>#</v>
      </c>
      <c r="AS169" s="378" t="str">
        <f>_xll.BLUEMATRIX2("/servlet/excelData",M169,$B$1,$B169&amp;":"&amp;M$115&amp;":"&amp;$AI$114)</f>
        <v>#</v>
      </c>
      <c r="AT169" s="378" t="str">
        <f>_xll.BLUEMATRIX2("/servlet/excelData",N169,$B$1,$B169&amp;":"&amp;N$115&amp;":"&amp;$AI$114)</f>
        <v>#</v>
      </c>
      <c r="AU169" s="378" t="str">
        <f>_xll.BLUEMATRIX2("/servlet/excelData",O169,$B$1,$B169&amp;":"&amp;O$115&amp;":"&amp;$AI$114)</f>
        <v>#</v>
      </c>
      <c r="AV169" s="378" t="str">
        <f>_xll.BLUEMATRIX2("/servlet/excelData",P169,$B$1,$B169&amp;":"&amp;P$115&amp;":"&amp;$AI$114)</f>
        <v>#</v>
      </c>
      <c r="AW169" s="378" t="str">
        <f>_xll.BLUEMATRIX2("/servlet/excelData",Q169,$B$1,$B169&amp;":"&amp;Q$115&amp;":"&amp;$AI$114)</f>
        <v>#</v>
      </c>
    </row>
    <row r="170" spans="1:49" ht="12.95" customHeight="1">
      <c r="A170" s="382" t="s">
        <v>678</v>
      </c>
      <c r="B170" s="350" t="s">
        <v>679</v>
      </c>
      <c r="C170" s="383" t="s">
        <v>680</v>
      </c>
      <c r="D170" s="384"/>
      <c r="E170" s="384"/>
      <c r="F170" s="384"/>
      <c r="G170" s="384"/>
      <c r="H170" s="384"/>
      <c r="I170" s="384">
        <f>FY!G65</f>
        <v>-43.3</v>
      </c>
      <c r="J170" s="384">
        <f>FY!H65</f>
        <v>-124.72499999999999</v>
      </c>
      <c r="K170" s="384">
        <f>FY!I65</f>
        <v>-266.5</v>
      </c>
      <c r="L170" s="384">
        <f>FY!J65</f>
        <v>-42.3</v>
      </c>
      <c r="M170" s="384">
        <f>FY!K65</f>
        <v>-19.8</v>
      </c>
      <c r="N170" s="384">
        <f>FY!L65</f>
        <v>-47</v>
      </c>
      <c r="O170" s="384">
        <f>FY!M65</f>
        <v>-17</v>
      </c>
      <c r="P170" s="384">
        <f>FY!N65</f>
        <v>-7</v>
      </c>
      <c r="Q170" s="384">
        <f>FY!O65</f>
        <v>0</v>
      </c>
      <c r="R170" s="384"/>
      <c r="S170" s="384"/>
      <c r="T170" s="384"/>
      <c r="U170" s="384"/>
      <c r="V170" s="384"/>
      <c r="W170" s="384"/>
      <c r="X170" s="384"/>
      <c r="Y170" s="384"/>
      <c r="Z170" s="384"/>
      <c r="AA170" s="384"/>
      <c r="AB170" s="384"/>
      <c r="AC170" s="384"/>
      <c r="AD170" s="384"/>
      <c r="AE170" s="384"/>
      <c r="AF170" s="384"/>
      <c r="AG170" s="384"/>
      <c r="AH170" s="384"/>
      <c r="AI170" s="322"/>
      <c r="AJ170" s="479"/>
      <c r="AK170" s="378" t="str">
        <f>_xll.BLUEMATRIX2("/servlet/excelData",E170,$B$1,$B170&amp;":"&amp;E$115&amp;":"&amp;$AI$114)</f>
        <v>#</v>
      </c>
      <c r="AL170" s="378" t="str">
        <f>_xll.BLUEMATRIX2("/servlet/excelData",F170,$B$1,$B170&amp;":"&amp;F$115&amp;":"&amp;$AI$114)</f>
        <v>#</v>
      </c>
      <c r="AM170" s="378" t="str">
        <f>_xll.BLUEMATRIX2("/servlet/excelData",G170,$B$1,$B170&amp;":"&amp;G$115&amp;":"&amp;$AI$114)</f>
        <v>#</v>
      </c>
      <c r="AN170" s="378" t="str">
        <f>_xll.BLUEMATRIX2("/servlet/excelData",H170,$B$1,$B170&amp;":"&amp;H$115&amp;":"&amp;$AI$114)</f>
        <v>#</v>
      </c>
      <c r="AO170" s="378" t="str">
        <f>_xll.BLUEMATRIX2("/servlet/excelData",I170,$B$1,$B170&amp;":"&amp;I$115&amp;":"&amp;$AI$114)</f>
        <v>#</v>
      </c>
      <c r="AP170" s="378" t="str">
        <f>_xll.BLUEMATRIX2("/servlet/excelData",J170,$B$1,$B170&amp;":"&amp;J$115&amp;":"&amp;$AI$114)</f>
        <v>#</v>
      </c>
      <c r="AQ170" s="378" t="str">
        <f>_xll.BLUEMATRIX2("/servlet/excelData",K170,$B$1,$B170&amp;":"&amp;K$115&amp;":"&amp;$AI$114)</f>
        <v>#</v>
      </c>
      <c r="AR170" s="378" t="str">
        <f>_xll.BLUEMATRIX2("/servlet/excelData",L170,$B$1,$B170&amp;":"&amp;L$115&amp;":"&amp;$AI$114)</f>
        <v>#</v>
      </c>
      <c r="AS170" s="378" t="str">
        <f>_xll.BLUEMATRIX2("/servlet/excelData",M170,$B$1,$B170&amp;":"&amp;M$115&amp;":"&amp;$AI$114)</f>
        <v>#</v>
      </c>
      <c r="AT170" s="378" t="str">
        <f>_xll.BLUEMATRIX2("/servlet/excelData",N170,$B$1,$B170&amp;":"&amp;N$115&amp;":"&amp;$AI$114)</f>
        <v>#</v>
      </c>
      <c r="AU170" s="378" t="str">
        <f>_xll.BLUEMATRIX2("/servlet/excelData",O170,$B$1,$B170&amp;":"&amp;O$115&amp;":"&amp;$AI$114)</f>
        <v>#</v>
      </c>
      <c r="AV170" s="378" t="str">
        <f>_xll.BLUEMATRIX2("/servlet/excelData",P170,$B$1,$B170&amp;":"&amp;P$115&amp;":"&amp;$AI$114)</f>
        <v>#</v>
      </c>
      <c r="AW170" s="378" t="str">
        <f>_xll.BLUEMATRIX2("/servlet/excelData",Q170,$B$1,$B170&amp;":"&amp;Q$115&amp;":"&amp;$AI$114)</f>
        <v>#</v>
      </c>
    </row>
    <row r="171" spans="1:49" ht="12.95" customHeight="1">
      <c r="A171" s="382" t="s">
        <v>681</v>
      </c>
      <c r="B171" s="350" t="s">
        <v>682</v>
      </c>
      <c r="C171" s="383" t="s">
        <v>683</v>
      </c>
      <c r="D171" s="384"/>
      <c r="E171" s="384"/>
      <c r="F171" s="384"/>
      <c r="G171" s="384"/>
      <c r="H171" s="384"/>
      <c r="I171" s="384"/>
      <c r="J171" s="384"/>
      <c r="K171" s="384"/>
      <c r="L171" s="384"/>
      <c r="M171" s="384"/>
      <c r="N171" s="384"/>
      <c r="O171" s="384"/>
      <c r="P171" s="384"/>
      <c r="Q171" s="384"/>
      <c r="R171" s="384"/>
      <c r="S171" s="384"/>
      <c r="T171" s="384"/>
      <c r="U171" s="384"/>
      <c r="V171" s="384"/>
      <c r="W171" s="384"/>
      <c r="X171" s="384"/>
      <c r="Y171" s="384"/>
      <c r="Z171" s="384"/>
      <c r="AA171" s="384"/>
      <c r="AB171" s="384"/>
      <c r="AC171" s="384"/>
      <c r="AD171" s="384"/>
      <c r="AE171" s="384"/>
      <c r="AF171" s="384"/>
      <c r="AG171" s="384"/>
      <c r="AH171" s="384"/>
      <c r="AI171" s="322"/>
      <c r="AJ171" s="479"/>
      <c r="AK171" s="378" t="str">
        <f>_xll.BLUEMATRIX2("/servlet/excelData",E171,$B$1,$B171&amp;":"&amp;E$115&amp;":"&amp;$AI$114)</f>
        <v>#</v>
      </c>
      <c r="AL171" s="378" t="str">
        <f>_xll.BLUEMATRIX2("/servlet/excelData",F171,$B$1,$B171&amp;":"&amp;F$115&amp;":"&amp;$AI$114)</f>
        <v>#</v>
      </c>
      <c r="AM171" s="378" t="str">
        <f>_xll.BLUEMATRIX2("/servlet/excelData",G171,$B$1,$B171&amp;":"&amp;G$115&amp;":"&amp;$AI$114)</f>
        <v>#</v>
      </c>
      <c r="AN171" s="378" t="str">
        <f>_xll.BLUEMATRIX2("/servlet/excelData",H171,$B$1,$B171&amp;":"&amp;H$115&amp;":"&amp;$AI$114)</f>
        <v>#</v>
      </c>
      <c r="AO171" s="378" t="str">
        <f>_xll.BLUEMATRIX2("/servlet/excelData",I171,$B$1,$B171&amp;":"&amp;I$115&amp;":"&amp;$AI$114)</f>
        <v>#</v>
      </c>
      <c r="AP171" s="378" t="str">
        <f>_xll.BLUEMATRIX2("/servlet/excelData",J171,$B$1,$B171&amp;":"&amp;J$115&amp;":"&amp;$AI$114)</f>
        <v>#</v>
      </c>
      <c r="AQ171" s="378" t="str">
        <f>_xll.BLUEMATRIX2("/servlet/excelData",K171,$B$1,$B171&amp;":"&amp;K$115&amp;":"&amp;$AI$114)</f>
        <v>#</v>
      </c>
      <c r="AR171" s="378" t="str">
        <f>_xll.BLUEMATRIX2("/servlet/excelData",L171,$B$1,$B171&amp;":"&amp;L$115&amp;":"&amp;$AI$114)</f>
        <v>#</v>
      </c>
      <c r="AS171" s="378" t="str">
        <f>_xll.BLUEMATRIX2("/servlet/excelData",M171,$B$1,$B171&amp;":"&amp;M$115&amp;":"&amp;$AI$114)</f>
        <v>#</v>
      </c>
      <c r="AT171" s="378" t="str">
        <f>_xll.BLUEMATRIX2("/servlet/excelData",N171,$B$1,$B171&amp;":"&amp;N$115&amp;":"&amp;$AI$114)</f>
        <v>#</v>
      </c>
      <c r="AU171" s="378" t="str">
        <f>_xll.BLUEMATRIX2("/servlet/excelData",O171,$B$1,$B171&amp;":"&amp;O$115&amp;":"&amp;$AI$114)</f>
        <v>#</v>
      </c>
      <c r="AV171" s="378" t="str">
        <f>_xll.BLUEMATRIX2("/servlet/excelData",P171,$B$1,$B171&amp;":"&amp;P$115&amp;":"&amp;$AI$114)</f>
        <v>#</v>
      </c>
      <c r="AW171" s="378" t="str">
        <f>_xll.BLUEMATRIX2("/servlet/excelData",Q171,$B$1,$B171&amp;":"&amp;Q$115&amp;":"&amp;$AI$114)</f>
        <v>#</v>
      </c>
    </row>
    <row r="172" spans="1:49" ht="12.95" customHeight="1">
      <c r="A172" s="382" t="s">
        <v>684</v>
      </c>
      <c r="B172" s="350" t="s">
        <v>676</v>
      </c>
      <c r="C172" s="386" t="s">
        <v>685</v>
      </c>
      <c r="D172" s="387"/>
      <c r="E172" s="387"/>
      <c r="F172" s="387"/>
      <c r="G172" s="387"/>
      <c r="H172" s="387"/>
      <c r="I172" s="387">
        <f t="shared" ref="I172:Q172" si="26">I169+I170+I171</f>
        <v>-33.599999999999987</v>
      </c>
      <c r="J172" s="387">
        <f t="shared" si="26"/>
        <v>7.9749999999999943</v>
      </c>
      <c r="K172" s="387">
        <f t="shared" si="26"/>
        <v>-143.30000000000001</v>
      </c>
      <c r="L172" s="387">
        <f t="shared" si="26"/>
        <v>29.199999999999989</v>
      </c>
      <c r="M172" s="387">
        <f t="shared" si="26"/>
        <v>18.200000000000014</v>
      </c>
      <c r="N172" s="387">
        <f t="shared" si="26"/>
        <v>-16.549677148062685</v>
      </c>
      <c r="O172" s="387">
        <f t="shared" si="26"/>
        <v>37.764411076039892</v>
      </c>
      <c r="P172" s="387">
        <f t="shared" si="26"/>
        <v>67.577355545863213</v>
      </c>
      <c r="Q172" s="387">
        <f t="shared" si="26"/>
        <v>84.030967406973218</v>
      </c>
      <c r="R172" s="387"/>
      <c r="S172" s="387"/>
      <c r="T172" s="387">
        <f t="shared" ref="T172:AH172" si="27">T169+T170+T171</f>
        <v>0</v>
      </c>
      <c r="U172" s="387">
        <f t="shared" si="27"/>
        <v>0</v>
      </c>
      <c r="V172" s="387">
        <f t="shared" si="27"/>
        <v>0</v>
      </c>
      <c r="W172" s="387">
        <f t="shared" si="27"/>
        <v>0</v>
      </c>
      <c r="X172" s="387">
        <f t="shared" si="27"/>
        <v>0</v>
      </c>
      <c r="Y172" s="387">
        <f t="shared" si="27"/>
        <v>0</v>
      </c>
      <c r="Z172" s="387">
        <f t="shared" si="27"/>
        <v>0</v>
      </c>
      <c r="AA172" s="387">
        <f t="shared" si="27"/>
        <v>0</v>
      </c>
      <c r="AB172" s="387">
        <f t="shared" si="27"/>
        <v>0</v>
      </c>
      <c r="AC172" s="387">
        <f t="shared" si="27"/>
        <v>0</v>
      </c>
      <c r="AD172" s="387">
        <f t="shared" si="27"/>
        <v>0</v>
      </c>
      <c r="AE172" s="387">
        <f t="shared" si="27"/>
        <v>0</v>
      </c>
      <c r="AF172" s="387">
        <f t="shared" si="27"/>
        <v>0</v>
      </c>
      <c r="AG172" s="387">
        <f t="shared" si="27"/>
        <v>0</v>
      </c>
      <c r="AH172" s="387">
        <f t="shared" si="27"/>
        <v>0</v>
      </c>
      <c r="AI172" s="322"/>
      <c r="AJ172" s="479"/>
      <c r="AK172" s="378" t="str">
        <f>_xll.BLUEMATRIX2("/servlet/excelData",E172,$B$1,$B172&amp;":"&amp;E$115&amp;":"&amp;$AI$114)</f>
        <v>#</v>
      </c>
      <c r="AL172" s="378" t="str">
        <f>_xll.BLUEMATRIX2("/servlet/excelData",F172,$B$1,$B172&amp;":"&amp;F$115&amp;":"&amp;$AI$114)</f>
        <v>#</v>
      </c>
      <c r="AM172" s="378" t="str">
        <f>_xll.BLUEMATRIX2("/servlet/excelData",G172,$B$1,$B172&amp;":"&amp;G$115&amp;":"&amp;$AI$114)</f>
        <v>#</v>
      </c>
      <c r="AN172" s="378" t="str">
        <f>_xll.BLUEMATRIX2("/servlet/excelData",H172,$B$1,$B172&amp;":"&amp;H$115&amp;":"&amp;$AI$114)</f>
        <v>#</v>
      </c>
      <c r="AO172" s="378" t="str">
        <f>_xll.BLUEMATRIX2("/servlet/excelData",I172,$B$1,$B172&amp;":"&amp;I$115&amp;":"&amp;$AI$114)</f>
        <v>#</v>
      </c>
      <c r="AP172" s="378" t="str">
        <f>_xll.BLUEMATRIX2("/servlet/excelData",J172,$B$1,$B172&amp;":"&amp;J$115&amp;":"&amp;$AI$114)</f>
        <v>#</v>
      </c>
      <c r="AQ172" s="378" t="str">
        <f>_xll.BLUEMATRIX2("/servlet/excelData",K172,$B$1,$B172&amp;":"&amp;K$115&amp;":"&amp;$AI$114)</f>
        <v>#</v>
      </c>
      <c r="AR172" s="378" t="str">
        <f>_xll.BLUEMATRIX2("/servlet/excelData",L172,$B$1,$B172&amp;":"&amp;L$115&amp;":"&amp;$AI$114)</f>
        <v>#</v>
      </c>
      <c r="AS172" s="378" t="str">
        <f>_xll.BLUEMATRIX2("/servlet/excelData",M172,$B$1,$B172&amp;":"&amp;M$115&amp;":"&amp;$AI$114)</f>
        <v>#</v>
      </c>
      <c r="AT172" s="378" t="str">
        <f>_xll.BLUEMATRIX2("/servlet/excelData",N172,$B$1,$B172&amp;":"&amp;N$115&amp;":"&amp;$AI$114)</f>
        <v>#</v>
      </c>
      <c r="AU172" s="378" t="str">
        <f>_xll.BLUEMATRIX2("/servlet/excelData",O172,$B$1,$B172&amp;":"&amp;O$115&amp;":"&amp;$AI$114)</f>
        <v>#</v>
      </c>
      <c r="AV172" s="378" t="str">
        <f>_xll.BLUEMATRIX2("/servlet/excelData",P172,$B$1,$B172&amp;":"&amp;P$115&amp;":"&amp;$AI$114)</f>
        <v>#</v>
      </c>
      <c r="AW172" s="378" t="str">
        <f>_xll.BLUEMATRIX2("/servlet/excelData",Q172,$B$1,$B172&amp;":"&amp;Q$115&amp;":"&amp;$AI$114)</f>
        <v>#</v>
      </c>
    </row>
    <row r="173" spans="1:49" ht="12.95" customHeight="1">
      <c r="A173" s="382" t="s">
        <v>686</v>
      </c>
      <c r="B173" s="350" t="s">
        <v>687</v>
      </c>
      <c r="C173" s="383" t="s">
        <v>688</v>
      </c>
      <c r="D173" s="384"/>
      <c r="E173" s="384"/>
      <c r="F173" s="384"/>
      <c r="G173" s="384"/>
      <c r="H173" s="384"/>
      <c r="I173" s="384">
        <f>-I170</f>
        <v>43.3</v>
      </c>
      <c r="J173" s="384">
        <f t="shared" ref="J173:Q173" si="28">-J170</f>
        <v>124.72499999999999</v>
      </c>
      <c r="K173" s="384">
        <f t="shared" si="28"/>
        <v>266.5</v>
      </c>
      <c r="L173" s="384">
        <f t="shared" si="28"/>
        <v>42.3</v>
      </c>
      <c r="M173" s="384">
        <f t="shared" si="28"/>
        <v>19.8</v>
      </c>
      <c r="N173" s="384">
        <f t="shared" si="28"/>
        <v>47</v>
      </c>
      <c r="O173" s="384">
        <f t="shared" si="28"/>
        <v>17</v>
      </c>
      <c r="P173" s="384">
        <f t="shared" si="28"/>
        <v>7</v>
      </c>
      <c r="Q173" s="384">
        <f t="shared" si="28"/>
        <v>0</v>
      </c>
      <c r="R173" s="384"/>
      <c r="S173" s="384"/>
      <c r="T173" s="384"/>
      <c r="U173" s="384"/>
      <c r="V173" s="384"/>
      <c r="W173" s="384"/>
      <c r="X173" s="384"/>
      <c r="Y173" s="384"/>
      <c r="Z173" s="384"/>
      <c r="AA173" s="384"/>
      <c r="AB173" s="384"/>
      <c r="AC173" s="384"/>
      <c r="AD173" s="384"/>
      <c r="AE173" s="384"/>
      <c r="AF173" s="384"/>
      <c r="AG173" s="384"/>
      <c r="AH173" s="384"/>
      <c r="AI173" s="322"/>
      <c r="AJ173" s="479"/>
      <c r="AK173" s="378" t="str">
        <f>_xll.BLUEMATRIX2("/servlet/excelData",E173,$B$1,$B173&amp;":"&amp;E$115&amp;":"&amp;$AI$114)</f>
        <v>#</v>
      </c>
      <c r="AL173" s="378" t="str">
        <f>_xll.BLUEMATRIX2("/servlet/excelData",F173,$B$1,$B173&amp;":"&amp;F$115&amp;":"&amp;$AI$114)</f>
        <v>#</v>
      </c>
      <c r="AM173" s="378" t="str">
        <f>_xll.BLUEMATRIX2("/servlet/excelData",G173,$B$1,$B173&amp;":"&amp;G$115&amp;":"&amp;$AI$114)</f>
        <v>#</v>
      </c>
      <c r="AN173" s="378" t="str">
        <f>_xll.BLUEMATRIX2("/servlet/excelData",H173,$B$1,$B173&amp;":"&amp;H$115&amp;":"&amp;$AI$114)</f>
        <v>#</v>
      </c>
      <c r="AO173" s="378" t="str">
        <f>_xll.BLUEMATRIX2("/servlet/excelData",I173,$B$1,$B173&amp;":"&amp;I$115&amp;":"&amp;$AI$114)</f>
        <v>#</v>
      </c>
      <c r="AP173" s="378" t="str">
        <f>_xll.BLUEMATRIX2("/servlet/excelData",J173,$B$1,$B173&amp;":"&amp;J$115&amp;":"&amp;$AI$114)</f>
        <v>#</v>
      </c>
      <c r="AQ173" s="378" t="str">
        <f>_xll.BLUEMATRIX2("/servlet/excelData",K173,$B$1,$B173&amp;":"&amp;K$115&amp;":"&amp;$AI$114)</f>
        <v>#</v>
      </c>
      <c r="AR173" s="378" t="str">
        <f>_xll.BLUEMATRIX2("/servlet/excelData",L173,$B$1,$B173&amp;":"&amp;L$115&amp;":"&amp;$AI$114)</f>
        <v>#</v>
      </c>
      <c r="AS173" s="378" t="str">
        <f>_xll.BLUEMATRIX2("/servlet/excelData",M173,$B$1,$B173&amp;":"&amp;M$115&amp;":"&amp;$AI$114)</f>
        <v>#</v>
      </c>
      <c r="AT173" s="378" t="str">
        <f>_xll.BLUEMATRIX2("/servlet/excelData",N173,$B$1,$B173&amp;":"&amp;N$115&amp;":"&amp;$AI$114)</f>
        <v>#</v>
      </c>
      <c r="AU173" s="378" t="str">
        <f>_xll.BLUEMATRIX2("/servlet/excelData",O173,$B$1,$B173&amp;":"&amp;O$115&amp;":"&amp;$AI$114)</f>
        <v>#</v>
      </c>
      <c r="AV173" s="378" t="str">
        <f>_xll.BLUEMATRIX2("/servlet/excelData",P173,$B$1,$B173&amp;":"&amp;P$115&amp;":"&amp;$AI$114)</f>
        <v>#</v>
      </c>
      <c r="AW173" s="378" t="str">
        <f>_xll.BLUEMATRIX2("/servlet/excelData",Q173,$B$1,$B173&amp;":"&amp;Q$115&amp;":"&amp;$AI$114)</f>
        <v>#</v>
      </c>
    </row>
    <row r="174" spans="1:49" ht="12.95" customHeight="1">
      <c r="A174" s="382" t="s">
        <v>689</v>
      </c>
      <c r="B174" s="350" t="s">
        <v>690</v>
      </c>
      <c r="C174" s="383" t="s">
        <v>691</v>
      </c>
      <c r="D174" s="384"/>
      <c r="E174" s="384"/>
      <c r="F174" s="384"/>
      <c r="G174" s="384"/>
      <c r="H174" s="384"/>
      <c r="I174" s="384"/>
      <c r="J174" s="384"/>
      <c r="K174" s="384"/>
      <c r="L174" s="384"/>
      <c r="M174" s="384"/>
      <c r="N174" s="384"/>
      <c r="O174" s="384"/>
      <c r="P174" s="384"/>
      <c r="Q174" s="384"/>
      <c r="R174" s="384"/>
      <c r="S174" s="384"/>
      <c r="T174" s="384"/>
      <c r="U174" s="384"/>
      <c r="V174" s="384"/>
      <c r="W174" s="384"/>
      <c r="X174" s="384"/>
      <c r="Y174" s="384"/>
      <c r="Z174" s="384"/>
      <c r="AA174" s="384"/>
      <c r="AB174" s="384"/>
      <c r="AC174" s="384"/>
      <c r="AD174" s="384"/>
      <c r="AE174" s="384"/>
      <c r="AF174" s="384"/>
      <c r="AG174" s="384"/>
      <c r="AH174" s="384"/>
      <c r="AI174" s="322"/>
      <c r="AJ174" s="479"/>
      <c r="AK174" s="378" t="str">
        <f>_xll.BLUEMATRIX2("/servlet/excelData",E174,$B$1,$B174&amp;":"&amp;E$115&amp;":"&amp;$AI$114)</f>
        <v>#</v>
      </c>
      <c r="AL174" s="378" t="str">
        <f>_xll.BLUEMATRIX2("/servlet/excelData",F174,$B$1,$B174&amp;":"&amp;F$115&amp;":"&amp;$AI$114)</f>
        <v>#</v>
      </c>
      <c r="AM174" s="378" t="str">
        <f>_xll.BLUEMATRIX2("/servlet/excelData",G174,$B$1,$B174&amp;":"&amp;G$115&amp;":"&amp;$AI$114)</f>
        <v>#</v>
      </c>
      <c r="AN174" s="378" t="str">
        <f>_xll.BLUEMATRIX2("/servlet/excelData",H174,$B$1,$B174&amp;":"&amp;H$115&amp;":"&amp;$AI$114)</f>
        <v>#</v>
      </c>
      <c r="AO174" s="378" t="str">
        <f>_xll.BLUEMATRIX2("/servlet/excelData",I174,$B$1,$B174&amp;":"&amp;I$115&amp;":"&amp;$AI$114)</f>
        <v>#</v>
      </c>
      <c r="AP174" s="378" t="str">
        <f>_xll.BLUEMATRIX2("/servlet/excelData",J174,$B$1,$B174&amp;":"&amp;J$115&amp;":"&amp;$AI$114)</f>
        <v>#</v>
      </c>
      <c r="AQ174" s="378" t="str">
        <f>_xll.BLUEMATRIX2("/servlet/excelData",K174,$B$1,$B174&amp;":"&amp;K$115&amp;":"&amp;$AI$114)</f>
        <v>#</v>
      </c>
      <c r="AR174" s="378" t="str">
        <f>_xll.BLUEMATRIX2("/servlet/excelData",L174,$B$1,$B174&amp;":"&amp;L$115&amp;":"&amp;$AI$114)</f>
        <v>#</v>
      </c>
      <c r="AS174" s="378" t="str">
        <f>_xll.BLUEMATRIX2("/servlet/excelData",M174,$B$1,$B174&amp;":"&amp;M$115&amp;":"&amp;$AI$114)</f>
        <v>#</v>
      </c>
      <c r="AT174" s="378" t="str">
        <f>_xll.BLUEMATRIX2("/servlet/excelData",N174,$B$1,$B174&amp;":"&amp;N$115&amp;":"&amp;$AI$114)</f>
        <v>#</v>
      </c>
      <c r="AU174" s="378" t="str">
        <f>_xll.BLUEMATRIX2("/servlet/excelData",O174,$B$1,$B174&amp;":"&amp;O$115&amp;":"&amp;$AI$114)</f>
        <v>#</v>
      </c>
      <c r="AV174" s="378" t="str">
        <f>_xll.BLUEMATRIX2("/servlet/excelData",P174,$B$1,$B174&amp;":"&amp;P$115&amp;":"&amp;$AI$114)</f>
        <v>#</v>
      </c>
      <c r="AW174" s="378" t="str">
        <f>_xll.BLUEMATRIX2("/servlet/excelData",Q174,$B$1,$B174&amp;":"&amp;Q$115&amp;":"&amp;$AI$114)</f>
        <v>#</v>
      </c>
    </row>
    <row r="175" spans="1:49" ht="12.95" customHeight="1">
      <c r="A175" s="382" t="s">
        <v>692</v>
      </c>
      <c r="B175" s="350" t="s">
        <v>693</v>
      </c>
      <c r="C175" s="383" t="s">
        <v>694</v>
      </c>
      <c r="D175" s="384"/>
      <c r="E175" s="384"/>
      <c r="F175" s="384"/>
      <c r="G175" s="384"/>
      <c r="H175" s="384"/>
      <c r="I175" s="384"/>
      <c r="J175" s="384"/>
      <c r="K175" s="384"/>
      <c r="L175" s="384"/>
      <c r="M175" s="384"/>
      <c r="N175" s="384"/>
      <c r="O175" s="384"/>
      <c r="P175" s="384"/>
      <c r="Q175" s="384"/>
      <c r="R175" s="384"/>
      <c r="S175" s="384"/>
      <c r="T175" s="384"/>
      <c r="U175" s="384"/>
      <c r="V175" s="384"/>
      <c r="W175" s="384"/>
      <c r="X175" s="384"/>
      <c r="Y175" s="384"/>
      <c r="Z175" s="384"/>
      <c r="AA175" s="384"/>
      <c r="AB175" s="384"/>
      <c r="AC175" s="384"/>
      <c r="AD175" s="384"/>
      <c r="AE175" s="384"/>
      <c r="AF175" s="384"/>
      <c r="AG175" s="384"/>
      <c r="AH175" s="384"/>
      <c r="AI175" s="322"/>
      <c r="AJ175" s="479"/>
      <c r="AK175" s="378" t="str">
        <f>_xll.BLUEMATRIX2("/servlet/excelData",E175,$B$1,$B175&amp;":"&amp;E$115&amp;":"&amp;$AI$114)</f>
        <v>#</v>
      </c>
      <c r="AL175" s="378" t="str">
        <f>_xll.BLUEMATRIX2("/servlet/excelData",F175,$B$1,$B175&amp;":"&amp;F$115&amp;":"&amp;$AI$114)</f>
        <v>#</v>
      </c>
      <c r="AM175" s="378" t="str">
        <f>_xll.BLUEMATRIX2("/servlet/excelData",G175,$B$1,$B175&amp;":"&amp;G$115&amp;":"&amp;$AI$114)</f>
        <v>#</v>
      </c>
      <c r="AN175" s="378" t="str">
        <f>_xll.BLUEMATRIX2("/servlet/excelData",H175,$B$1,$B175&amp;":"&amp;H$115&amp;":"&amp;$AI$114)</f>
        <v>#</v>
      </c>
      <c r="AO175" s="378" t="str">
        <f>_xll.BLUEMATRIX2("/servlet/excelData",I175,$B$1,$B175&amp;":"&amp;I$115&amp;":"&amp;$AI$114)</f>
        <v>#</v>
      </c>
      <c r="AP175" s="378" t="str">
        <f>_xll.BLUEMATRIX2("/servlet/excelData",J175,$B$1,$B175&amp;":"&amp;J$115&amp;":"&amp;$AI$114)</f>
        <v>#</v>
      </c>
      <c r="AQ175" s="378" t="str">
        <f>_xll.BLUEMATRIX2("/servlet/excelData",K175,$B$1,$B175&amp;":"&amp;K$115&amp;":"&amp;$AI$114)</f>
        <v>#</v>
      </c>
      <c r="AR175" s="378" t="str">
        <f>_xll.BLUEMATRIX2("/servlet/excelData",L175,$B$1,$B175&amp;":"&amp;L$115&amp;":"&amp;$AI$114)</f>
        <v>#</v>
      </c>
      <c r="AS175" s="378" t="str">
        <f>_xll.BLUEMATRIX2("/servlet/excelData",M175,$B$1,$B175&amp;":"&amp;M$115&amp;":"&amp;$AI$114)</f>
        <v>#</v>
      </c>
      <c r="AT175" s="378" t="str">
        <f>_xll.BLUEMATRIX2("/servlet/excelData",N175,$B$1,$B175&amp;":"&amp;N$115&amp;":"&amp;$AI$114)</f>
        <v>#</v>
      </c>
      <c r="AU175" s="378" t="str">
        <f>_xll.BLUEMATRIX2("/servlet/excelData",O175,$B$1,$B175&amp;":"&amp;O$115&amp;":"&amp;$AI$114)</f>
        <v>#</v>
      </c>
      <c r="AV175" s="378" t="str">
        <f>_xll.BLUEMATRIX2("/servlet/excelData",P175,$B$1,$B175&amp;":"&amp;P$115&amp;":"&amp;$AI$114)</f>
        <v>#</v>
      </c>
      <c r="AW175" s="378" t="str">
        <f>_xll.BLUEMATRIX2("/servlet/excelData",Q175,$B$1,$B175&amp;":"&amp;Q$115&amp;":"&amp;$AI$114)</f>
        <v>#</v>
      </c>
    </row>
    <row r="176" spans="1:49" ht="12.95" customHeight="1">
      <c r="A176" s="382" t="s">
        <v>695</v>
      </c>
      <c r="B176" s="350" t="s">
        <v>696</v>
      </c>
      <c r="C176" s="386" t="s">
        <v>697</v>
      </c>
      <c r="D176" s="387"/>
      <c r="E176" s="387"/>
      <c r="F176" s="387"/>
      <c r="G176" s="387"/>
      <c r="H176" s="387"/>
      <c r="I176" s="387">
        <f t="shared" ref="I176:Q176" si="29">I172+I173+I174+I175</f>
        <v>9.7000000000000099</v>
      </c>
      <c r="J176" s="387">
        <f t="shared" si="29"/>
        <v>132.69999999999999</v>
      </c>
      <c r="K176" s="387">
        <f t="shared" si="29"/>
        <v>123.19999999999999</v>
      </c>
      <c r="L176" s="387">
        <f t="shared" si="29"/>
        <v>71.499999999999986</v>
      </c>
      <c r="M176" s="387">
        <f t="shared" si="29"/>
        <v>38.000000000000014</v>
      </c>
      <c r="N176" s="387">
        <f t="shared" si="29"/>
        <v>30.450322851937315</v>
      </c>
      <c r="O176" s="387">
        <f t="shared" si="29"/>
        <v>54.764411076039892</v>
      </c>
      <c r="P176" s="387">
        <f t="shared" si="29"/>
        <v>74.577355545863213</v>
      </c>
      <c r="Q176" s="387">
        <f t="shared" si="29"/>
        <v>84.030967406973218</v>
      </c>
      <c r="R176" s="387"/>
      <c r="S176" s="387"/>
      <c r="T176" s="387">
        <f t="shared" ref="T176:AH176" si="30">T172+T173+T174+T175</f>
        <v>0</v>
      </c>
      <c r="U176" s="387">
        <f t="shared" si="30"/>
        <v>0</v>
      </c>
      <c r="V176" s="387">
        <f t="shared" si="30"/>
        <v>0</v>
      </c>
      <c r="W176" s="387">
        <f t="shared" si="30"/>
        <v>0</v>
      </c>
      <c r="X176" s="387">
        <f t="shared" si="30"/>
        <v>0</v>
      </c>
      <c r="Y176" s="387">
        <f t="shared" si="30"/>
        <v>0</v>
      </c>
      <c r="Z176" s="387">
        <f t="shared" si="30"/>
        <v>0</v>
      </c>
      <c r="AA176" s="387">
        <f t="shared" si="30"/>
        <v>0</v>
      </c>
      <c r="AB176" s="387">
        <f t="shared" si="30"/>
        <v>0</v>
      </c>
      <c r="AC176" s="387">
        <f t="shared" si="30"/>
        <v>0</v>
      </c>
      <c r="AD176" s="387">
        <f t="shared" si="30"/>
        <v>0</v>
      </c>
      <c r="AE176" s="387">
        <f t="shared" si="30"/>
        <v>0</v>
      </c>
      <c r="AF176" s="387">
        <f t="shared" si="30"/>
        <v>0</v>
      </c>
      <c r="AG176" s="387">
        <f t="shared" si="30"/>
        <v>0</v>
      </c>
      <c r="AH176" s="387">
        <f t="shared" si="30"/>
        <v>0</v>
      </c>
      <c r="AI176" s="322"/>
      <c r="AJ176" s="479"/>
      <c r="AK176" s="378" t="str">
        <f>_xll.BLUEMATRIX2("/servlet/excelData",E176,$B$1,$B176&amp;":"&amp;E$115&amp;":"&amp;$AI$114)</f>
        <v>#</v>
      </c>
      <c r="AL176" s="378" t="str">
        <f>_xll.BLUEMATRIX2("/servlet/excelData",F176,$B$1,$B176&amp;":"&amp;F$115&amp;":"&amp;$AI$114)</f>
        <v>#</v>
      </c>
      <c r="AM176" s="378" t="str">
        <f>_xll.BLUEMATRIX2("/servlet/excelData",G176,$B$1,$B176&amp;":"&amp;G$115&amp;":"&amp;$AI$114)</f>
        <v>#</v>
      </c>
      <c r="AN176" s="378" t="str">
        <f>_xll.BLUEMATRIX2("/servlet/excelData",H176,$B$1,$B176&amp;":"&amp;H$115&amp;":"&amp;$AI$114)</f>
        <v>#</v>
      </c>
      <c r="AO176" s="378" t="str">
        <f>_xll.BLUEMATRIX2("/servlet/excelData",I176,$B$1,$B176&amp;":"&amp;I$115&amp;":"&amp;$AI$114)</f>
        <v>#</v>
      </c>
      <c r="AP176" s="378" t="str">
        <f>_xll.BLUEMATRIX2("/servlet/excelData",J176,$B$1,$B176&amp;":"&amp;J$115&amp;":"&amp;$AI$114)</f>
        <v>#</v>
      </c>
      <c r="AQ176" s="378" t="str">
        <f>_xll.BLUEMATRIX2("/servlet/excelData",K176,$B$1,$B176&amp;":"&amp;K$115&amp;":"&amp;$AI$114)</f>
        <v>#</v>
      </c>
      <c r="AR176" s="378" t="str">
        <f>_xll.BLUEMATRIX2("/servlet/excelData",L176,$B$1,$B176&amp;":"&amp;L$115&amp;":"&amp;$AI$114)</f>
        <v>#</v>
      </c>
      <c r="AS176" s="378" t="str">
        <f>_xll.BLUEMATRIX2("/servlet/excelData",M176,$B$1,$B176&amp;":"&amp;M$115&amp;":"&amp;$AI$114)</f>
        <v>#</v>
      </c>
      <c r="AT176" s="378" t="str">
        <f>_xll.BLUEMATRIX2("/servlet/excelData",N176,$B$1,$B176&amp;":"&amp;N$115&amp;":"&amp;$AI$114)</f>
        <v>#</v>
      </c>
      <c r="AU176" s="378" t="str">
        <f>_xll.BLUEMATRIX2("/servlet/excelData",O176,$B$1,$B176&amp;":"&amp;O$115&amp;":"&amp;$AI$114)</f>
        <v>#</v>
      </c>
      <c r="AV176" s="378" t="str">
        <f>_xll.BLUEMATRIX2("/servlet/excelData",P176,$B$1,$B176&amp;":"&amp;P$115&amp;":"&amp;$AI$114)</f>
        <v>#</v>
      </c>
      <c r="AW176" s="378" t="str">
        <f>_xll.BLUEMATRIX2("/servlet/excelData",Q176,$B$1,$B176&amp;":"&amp;Q$115&amp;":"&amp;$AI$114)</f>
        <v>#</v>
      </c>
    </row>
    <row r="177" spans="1:49" ht="12.95" customHeight="1">
      <c r="A177" s="382"/>
      <c r="B177" s="350"/>
      <c r="C177" s="483" t="s">
        <v>698</v>
      </c>
      <c r="D177" s="484"/>
      <c r="E177" s="484"/>
      <c r="F177" s="485"/>
      <c r="G177" s="485"/>
      <c r="H177" s="485"/>
      <c r="I177" s="485">
        <f>ROUND(FY!G66-I172,2)</f>
        <v>0</v>
      </c>
      <c r="J177" s="485">
        <f>ROUND(FY!H66-J172,2)</f>
        <v>0</v>
      </c>
      <c r="K177" s="485">
        <f>ROUND(FY!I66-K172,2)</f>
        <v>0</v>
      </c>
      <c r="L177" s="485">
        <f>ROUND(FY!J66-L172,2)</f>
        <v>0</v>
      </c>
      <c r="M177" s="485">
        <f>ROUND(FY!K66-M172,2)</f>
        <v>0</v>
      </c>
      <c r="N177" s="485">
        <f>ROUND(FY!L66-N172,2)</f>
        <v>0</v>
      </c>
      <c r="O177" s="485">
        <f>ROUND(FY!M66-O172,2)</f>
        <v>0</v>
      </c>
      <c r="P177" s="485">
        <f>ROUND(FY!N66-P172,2)</f>
        <v>0</v>
      </c>
      <c r="Q177" s="485">
        <f>ROUND(FY!O66-Q172,2)</f>
        <v>0</v>
      </c>
      <c r="R177" s="485"/>
      <c r="S177" s="485"/>
      <c r="T177" s="485"/>
      <c r="U177" s="485"/>
      <c r="V177" s="485"/>
      <c r="W177" s="392"/>
      <c r="X177" s="392"/>
      <c r="Y177" s="392"/>
      <c r="Z177" s="392"/>
      <c r="AA177" s="392"/>
      <c r="AB177" s="392"/>
      <c r="AC177" s="392"/>
      <c r="AD177" s="392"/>
      <c r="AE177" s="392"/>
      <c r="AF177" s="392"/>
      <c r="AG177" s="392"/>
      <c r="AH177" s="392"/>
      <c r="AI177" s="322"/>
      <c r="AJ177" s="479"/>
      <c r="AK177" s="378"/>
      <c r="AL177" s="378"/>
      <c r="AM177" s="378"/>
      <c r="AN177" s="378"/>
      <c r="AO177" s="378"/>
      <c r="AP177" s="378"/>
      <c r="AQ177" s="378"/>
      <c r="AR177" s="378"/>
      <c r="AS177" s="378"/>
      <c r="AT177" s="378"/>
      <c r="AU177" s="378"/>
      <c r="AV177" s="378"/>
      <c r="AW177" s="378"/>
    </row>
    <row r="178" spans="1:49" ht="12.95" customHeight="1">
      <c r="A178" s="382"/>
      <c r="B178" s="350"/>
      <c r="C178" s="483" t="s">
        <v>698</v>
      </c>
      <c r="D178" s="484"/>
      <c r="E178" s="484"/>
      <c r="F178" s="485"/>
      <c r="G178" s="485"/>
      <c r="H178" s="485"/>
      <c r="I178" s="485">
        <f>ROUND(FY!G41-I176,2)</f>
        <v>0</v>
      </c>
      <c r="J178" s="485">
        <f>ROUND(FY!H41-J176,2)</f>
        <v>0</v>
      </c>
      <c r="K178" s="485">
        <f>ROUND(FY!I41-K176,2)</f>
        <v>0</v>
      </c>
      <c r="L178" s="485">
        <f>ROUND(FY!J41-L176,2)</f>
        <v>0</v>
      </c>
      <c r="M178" s="485">
        <f>ROUND(FY!K41-M176,2)</f>
        <v>0</v>
      </c>
      <c r="N178" s="485">
        <f>ROUND(FY!L41-N176,2)</f>
        <v>0</v>
      </c>
      <c r="O178" s="485">
        <f>ROUND(FY!M41-O176,2)</f>
        <v>0</v>
      </c>
      <c r="P178" s="485">
        <f>ROUND(FY!N41-P176,2)</f>
        <v>0</v>
      </c>
      <c r="Q178" s="485">
        <f>ROUND(FY!O41-Q176,2)</f>
        <v>0</v>
      </c>
      <c r="R178" s="485"/>
      <c r="S178" s="485"/>
      <c r="T178" s="485"/>
      <c r="U178" s="485"/>
      <c r="V178" s="485"/>
      <c r="W178" s="392"/>
      <c r="X178" s="392"/>
      <c r="Y178" s="392"/>
      <c r="Z178" s="392"/>
      <c r="AA178" s="392"/>
      <c r="AB178" s="392"/>
      <c r="AC178" s="392"/>
      <c r="AD178" s="392"/>
      <c r="AE178" s="392"/>
      <c r="AF178" s="392"/>
      <c r="AG178" s="392"/>
      <c r="AH178" s="392"/>
      <c r="AI178" s="322"/>
      <c r="AJ178" s="479"/>
      <c r="AK178" s="378"/>
      <c r="AL178" s="378"/>
      <c r="AM178" s="378"/>
      <c r="AN178" s="378"/>
      <c r="AO178" s="378"/>
      <c r="AP178" s="378"/>
      <c r="AQ178" s="378"/>
      <c r="AR178" s="378"/>
      <c r="AS178" s="378"/>
      <c r="AT178" s="378"/>
      <c r="AU178" s="378"/>
      <c r="AV178" s="378"/>
      <c r="AW178" s="378"/>
    </row>
    <row r="179" spans="1:49" ht="12.95" customHeight="1">
      <c r="A179" s="348"/>
      <c r="B179" s="348"/>
      <c r="C179" s="395"/>
      <c r="D179" s="396"/>
      <c r="E179" s="396"/>
      <c r="F179" s="396"/>
      <c r="G179" s="396"/>
      <c r="H179" s="396"/>
      <c r="I179" s="396"/>
      <c r="J179" s="396"/>
      <c r="K179" s="396"/>
      <c r="L179" s="396"/>
      <c r="M179" s="396"/>
      <c r="N179" s="396"/>
      <c r="O179" s="396"/>
      <c r="P179" s="396"/>
      <c r="Q179" s="396"/>
      <c r="R179" s="396"/>
      <c r="S179" s="396"/>
      <c r="T179" s="397"/>
      <c r="U179" s="397"/>
      <c r="V179" s="397"/>
      <c r="W179" s="397"/>
      <c r="X179" s="397"/>
      <c r="Y179" s="397"/>
      <c r="Z179" s="397"/>
      <c r="AA179" s="397"/>
      <c r="AB179" s="397"/>
      <c r="AC179" s="397"/>
      <c r="AD179" s="397"/>
      <c r="AE179" s="397"/>
      <c r="AF179" s="397"/>
      <c r="AG179" s="397"/>
      <c r="AH179" s="397"/>
      <c r="AI179" s="322"/>
      <c r="AJ179" s="477"/>
      <c r="AK179" s="351"/>
      <c r="AL179" s="351"/>
      <c r="AM179" s="351"/>
      <c r="AN179" s="351"/>
      <c r="AO179" s="351"/>
      <c r="AP179" s="351"/>
      <c r="AQ179" s="351"/>
      <c r="AR179" s="351"/>
      <c r="AS179" s="351"/>
      <c r="AT179" s="351"/>
      <c r="AU179" s="351"/>
      <c r="AV179" s="351"/>
      <c r="AW179" s="351"/>
    </row>
    <row r="180" spans="1:49" ht="15" customHeight="1">
      <c r="A180" s="368"/>
      <c r="B180" s="368"/>
      <c r="C180" s="369" t="s">
        <v>699</v>
      </c>
      <c r="D180" s="370"/>
      <c r="E180" s="370"/>
      <c r="F180" s="370"/>
      <c r="G180" s="370"/>
      <c r="H180" s="370"/>
      <c r="I180" s="370"/>
      <c r="J180" s="370"/>
      <c r="K180" s="370"/>
      <c r="L180" s="370"/>
      <c r="M180" s="370"/>
      <c r="N180" s="370"/>
      <c r="O180" s="370"/>
      <c r="P180" s="370"/>
      <c r="Q180" s="370"/>
      <c r="R180" s="370"/>
      <c r="S180" s="370"/>
      <c r="T180" s="370"/>
      <c r="U180" s="370"/>
      <c r="V180" s="370"/>
      <c r="W180" s="370"/>
      <c r="X180" s="370"/>
      <c r="Y180" s="370"/>
      <c r="Z180" s="370"/>
      <c r="AA180" s="370"/>
      <c r="AB180" s="370"/>
      <c r="AC180" s="370"/>
      <c r="AD180" s="370"/>
      <c r="AE180" s="370"/>
      <c r="AF180" s="370"/>
      <c r="AG180" s="370"/>
      <c r="AH180" s="370"/>
      <c r="AI180" s="328"/>
      <c r="AJ180" s="477"/>
      <c r="AK180" s="351"/>
      <c r="AL180" s="351"/>
      <c r="AM180" s="351"/>
      <c r="AN180" s="351"/>
      <c r="AO180" s="351"/>
      <c r="AP180" s="351"/>
      <c r="AQ180" s="351"/>
      <c r="AR180" s="351"/>
      <c r="AS180" s="351"/>
      <c r="AT180" s="351"/>
      <c r="AU180" s="351"/>
      <c r="AV180" s="351"/>
      <c r="AW180" s="351"/>
    </row>
    <row r="181" spans="1:49" ht="12.95" customHeight="1">
      <c r="A181" s="368"/>
      <c r="B181" s="368"/>
      <c r="C181" s="398" t="s">
        <v>700</v>
      </c>
      <c r="D181" s="399"/>
      <c r="E181" s="399"/>
      <c r="F181" s="399"/>
      <c r="G181" s="399"/>
      <c r="H181" s="399"/>
      <c r="I181" s="399"/>
      <c r="J181" s="399"/>
      <c r="K181" s="399"/>
      <c r="L181" s="399"/>
      <c r="M181" s="399"/>
      <c r="N181" s="399"/>
      <c r="O181" s="399"/>
      <c r="P181" s="399"/>
      <c r="Q181" s="399"/>
      <c r="R181" s="399"/>
      <c r="S181" s="399"/>
      <c r="T181" s="399"/>
      <c r="U181" s="399"/>
      <c r="V181" s="399"/>
      <c r="W181" s="399"/>
      <c r="X181" s="399"/>
      <c r="Y181" s="399"/>
      <c r="Z181" s="399"/>
      <c r="AA181" s="399"/>
      <c r="AB181" s="399"/>
      <c r="AC181" s="399"/>
      <c r="AD181" s="399"/>
      <c r="AE181" s="399"/>
      <c r="AF181" s="399"/>
      <c r="AG181" s="399"/>
      <c r="AH181" s="399"/>
      <c r="AI181" s="328"/>
      <c r="AJ181" s="477"/>
      <c r="AK181" s="351"/>
      <c r="AL181" s="351"/>
      <c r="AM181" s="351"/>
      <c r="AN181" s="351"/>
      <c r="AO181" s="351"/>
      <c r="AP181" s="351"/>
      <c r="AQ181" s="351"/>
      <c r="AR181" s="351"/>
      <c r="AS181" s="351"/>
      <c r="AT181" s="351"/>
      <c r="AU181" s="351"/>
      <c r="AV181" s="351"/>
      <c r="AW181" s="351"/>
    </row>
    <row r="182" spans="1:49" ht="12.95" customHeight="1">
      <c r="A182" s="348" t="s">
        <v>701</v>
      </c>
      <c r="B182" s="350" t="s">
        <v>263</v>
      </c>
      <c r="C182" s="400" t="s">
        <v>263</v>
      </c>
      <c r="D182" s="384"/>
      <c r="E182" s="384"/>
      <c r="F182" s="384"/>
      <c r="G182" s="384"/>
      <c r="H182" s="384"/>
      <c r="I182" s="384">
        <f>FY!G107</f>
        <v>48.698</v>
      </c>
      <c r="J182" s="384">
        <f>FY!H107</f>
        <v>245.01300000000001</v>
      </c>
      <c r="K182" s="384">
        <f>FY!I107</f>
        <v>60.536000000000001</v>
      </c>
      <c r="L182" s="384">
        <f>FY!J107</f>
        <v>51.499000000000002</v>
      </c>
      <c r="M182" s="384">
        <f>FY!K107</f>
        <v>84.415000000000006</v>
      </c>
      <c r="N182" s="384">
        <f>FY!L107</f>
        <v>93.144162447576775</v>
      </c>
      <c r="O182" s="384">
        <f>FY!M107</f>
        <v>156.07660339506049</v>
      </c>
      <c r="P182" s="384">
        <f>FY!N107</f>
        <v>248.56367121330823</v>
      </c>
      <c r="Q182" s="384">
        <f>FY!O107</f>
        <v>354.96929937594575</v>
      </c>
      <c r="R182" s="384"/>
      <c r="S182" s="384"/>
      <c r="T182" s="384"/>
      <c r="U182" s="384"/>
      <c r="V182" s="384"/>
      <c r="W182" s="384"/>
      <c r="X182" s="384"/>
      <c r="Y182" s="384"/>
      <c r="Z182" s="384"/>
      <c r="AA182" s="384"/>
      <c r="AB182" s="384"/>
      <c r="AC182" s="384"/>
      <c r="AD182" s="384"/>
      <c r="AE182" s="384"/>
      <c r="AF182" s="384"/>
      <c r="AG182" s="384"/>
      <c r="AH182" s="384"/>
      <c r="AI182" s="322"/>
      <c r="AJ182" s="479"/>
      <c r="AK182" s="378" t="str">
        <f>_xll.BLUEMATRIX2("/servlet/excelData",E182,$B$1,$B182&amp;":"&amp;E$115&amp;":"&amp;$AI$114)</f>
        <v>#</v>
      </c>
      <c r="AL182" s="378" t="str">
        <f>_xll.BLUEMATRIX2("/servlet/excelData",F182,$B$1,$B182&amp;":"&amp;F$115&amp;":"&amp;$AI$114)</f>
        <v>#</v>
      </c>
      <c r="AM182" s="378" t="str">
        <f>_xll.BLUEMATRIX2("/servlet/excelData",G182,$B$1,$B182&amp;":"&amp;G$115&amp;":"&amp;$AI$114)</f>
        <v>#</v>
      </c>
      <c r="AN182" s="378" t="str">
        <f>_xll.BLUEMATRIX2("/servlet/excelData",H182,$B$1,$B182&amp;":"&amp;H$115&amp;":"&amp;$AI$114)</f>
        <v>#</v>
      </c>
      <c r="AO182" s="378" t="str">
        <f>_xll.BLUEMATRIX2("/servlet/excelData",I182,$B$1,$B182&amp;":"&amp;I$115&amp;":"&amp;$AI$114)</f>
        <v>#</v>
      </c>
      <c r="AP182" s="378" t="str">
        <f>_xll.BLUEMATRIX2("/servlet/excelData",J182,$B$1,$B182&amp;":"&amp;J$115&amp;":"&amp;$AI$114)</f>
        <v>#</v>
      </c>
      <c r="AQ182" s="378" t="str">
        <f>_xll.BLUEMATRIX2("/servlet/excelData",K182,$B$1,$B182&amp;":"&amp;K$115&amp;":"&amp;$AI$114)</f>
        <v>#</v>
      </c>
      <c r="AR182" s="378" t="str">
        <f>_xll.BLUEMATRIX2("/servlet/excelData",L182,$B$1,$B182&amp;":"&amp;L$115&amp;":"&amp;$AI$114)</f>
        <v>#</v>
      </c>
      <c r="AS182" s="378" t="str">
        <f>_xll.BLUEMATRIX2("/servlet/excelData",M182,$B$1,$B182&amp;":"&amp;M$115&amp;":"&amp;$AI$114)</f>
        <v>#</v>
      </c>
      <c r="AT182" s="378" t="str">
        <f>_xll.BLUEMATRIX2("/servlet/excelData",N182,$B$1,$B182&amp;":"&amp;N$115&amp;":"&amp;$AI$114)</f>
        <v>#</v>
      </c>
      <c r="AU182" s="378" t="str">
        <f>_xll.BLUEMATRIX2("/servlet/excelData",O182,$B$1,$B182&amp;":"&amp;O$115&amp;":"&amp;$AI$114)</f>
        <v>#</v>
      </c>
      <c r="AV182" s="378" t="str">
        <f>_xll.BLUEMATRIX2("/servlet/excelData",P182,$B$1,$B182&amp;":"&amp;P$115&amp;":"&amp;$AI$114)</f>
        <v>#</v>
      </c>
      <c r="AW182" s="378" t="str">
        <f>_xll.BLUEMATRIX2("/servlet/excelData",Q182,$B$1,$B182&amp;":"&amp;Q$115&amp;":"&amp;$AI$114)</f>
        <v>#</v>
      </c>
    </row>
    <row r="183" spans="1:49" ht="12.95" customHeight="1">
      <c r="A183" s="348" t="s">
        <v>702</v>
      </c>
      <c r="B183" s="350" t="s">
        <v>703</v>
      </c>
      <c r="C183" s="400" t="s">
        <v>704</v>
      </c>
      <c r="D183" s="384"/>
      <c r="E183" s="384"/>
      <c r="F183" s="384"/>
      <c r="G183" s="384"/>
      <c r="H183" s="384"/>
      <c r="I183" s="384">
        <f>FY!G108</f>
        <v>25.826000000000001</v>
      </c>
      <c r="J183" s="384">
        <f>FY!H108</f>
        <v>50.832999999999998</v>
      </c>
      <c r="K183" s="384">
        <f>FY!I108</f>
        <v>86.878</v>
      </c>
      <c r="L183" s="384">
        <f>FY!J108</f>
        <v>23.98</v>
      </c>
      <c r="M183" s="384">
        <f>FY!K108</f>
        <v>29.821000000000002</v>
      </c>
      <c r="N183" s="384">
        <f>FY!L108</f>
        <v>30.573345374695865</v>
      </c>
      <c r="O183" s="384">
        <f>FY!M108</f>
        <v>31.090482660994219</v>
      </c>
      <c r="P183" s="384">
        <f>FY!N108</f>
        <v>32.506894529890275</v>
      </c>
      <c r="Q183" s="384">
        <f>FY!O108</f>
        <v>33.826365036198901</v>
      </c>
      <c r="R183" s="384"/>
      <c r="S183" s="384"/>
      <c r="T183" s="384"/>
      <c r="U183" s="384"/>
      <c r="V183" s="384"/>
      <c r="W183" s="384"/>
      <c r="X183" s="384"/>
      <c r="Y183" s="384"/>
      <c r="Z183" s="384"/>
      <c r="AA183" s="384"/>
      <c r="AB183" s="384"/>
      <c r="AC183" s="384"/>
      <c r="AD183" s="384"/>
      <c r="AE183" s="384"/>
      <c r="AF183" s="384"/>
      <c r="AG183" s="384"/>
      <c r="AH183" s="384"/>
      <c r="AI183" s="322"/>
      <c r="AJ183" s="479"/>
      <c r="AK183" s="378" t="str">
        <f>_xll.BLUEMATRIX2("/servlet/excelData",E183,$B$1,$B183&amp;":"&amp;E$115&amp;":"&amp;$AI$114)</f>
        <v>#</v>
      </c>
      <c r="AL183" s="378" t="str">
        <f>_xll.BLUEMATRIX2("/servlet/excelData",F183,$B$1,$B183&amp;":"&amp;F$115&amp;":"&amp;$AI$114)</f>
        <v>#</v>
      </c>
      <c r="AM183" s="378" t="str">
        <f>_xll.BLUEMATRIX2("/servlet/excelData",G183,$B$1,$B183&amp;":"&amp;G$115&amp;":"&amp;$AI$114)</f>
        <v>#</v>
      </c>
      <c r="AN183" s="378" t="str">
        <f>_xll.BLUEMATRIX2("/servlet/excelData",H183,$B$1,$B183&amp;":"&amp;H$115&amp;":"&amp;$AI$114)</f>
        <v>#</v>
      </c>
      <c r="AO183" s="378" t="str">
        <f>_xll.BLUEMATRIX2("/servlet/excelData",I183,$B$1,$B183&amp;":"&amp;I$115&amp;":"&amp;$AI$114)</f>
        <v>#</v>
      </c>
      <c r="AP183" s="378" t="str">
        <f>_xll.BLUEMATRIX2("/servlet/excelData",J183,$B$1,$B183&amp;":"&amp;J$115&amp;":"&amp;$AI$114)</f>
        <v>#</v>
      </c>
      <c r="AQ183" s="378" t="str">
        <f>_xll.BLUEMATRIX2("/servlet/excelData",K183,$B$1,$B183&amp;":"&amp;K$115&amp;":"&amp;$AI$114)</f>
        <v>#</v>
      </c>
      <c r="AR183" s="378" t="str">
        <f>_xll.BLUEMATRIX2("/servlet/excelData",L183,$B$1,$B183&amp;":"&amp;L$115&amp;":"&amp;$AI$114)</f>
        <v>#</v>
      </c>
      <c r="AS183" s="378" t="str">
        <f>_xll.BLUEMATRIX2("/servlet/excelData",M183,$B$1,$B183&amp;":"&amp;M$115&amp;":"&amp;$AI$114)</f>
        <v>#</v>
      </c>
      <c r="AT183" s="378" t="str">
        <f>_xll.BLUEMATRIX2("/servlet/excelData",N183,$B$1,$B183&amp;":"&amp;N$115&amp;":"&amp;$AI$114)</f>
        <v>#</v>
      </c>
      <c r="AU183" s="378" t="str">
        <f>_xll.BLUEMATRIX2("/servlet/excelData",O183,$B$1,$B183&amp;":"&amp;O$115&amp;":"&amp;$AI$114)</f>
        <v>#</v>
      </c>
      <c r="AV183" s="378" t="str">
        <f>_xll.BLUEMATRIX2("/servlet/excelData",P183,$B$1,$B183&amp;":"&amp;P$115&amp;":"&amp;$AI$114)</f>
        <v>#</v>
      </c>
      <c r="AW183" s="378" t="str">
        <f>_xll.BLUEMATRIX2("/servlet/excelData",Q183,$B$1,$B183&amp;":"&amp;Q$115&amp;":"&amp;$AI$114)</f>
        <v>#</v>
      </c>
    </row>
    <row r="184" spans="1:49" ht="12.95" customHeight="1">
      <c r="A184" s="348" t="s">
        <v>705</v>
      </c>
      <c r="B184" s="350" t="s">
        <v>706</v>
      </c>
      <c r="C184" s="400" t="s">
        <v>707</v>
      </c>
      <c r="D184" s="384"/>
      <c r="E184" s="384"/>
      <c r="F184" s="384"/>
      <c r="G184" s="384"/>
      <c r="H184" s="384"/>
      <c r="I184" s="384">
        <f>FY!G109</f>
        <v>7.5279999999999996</v>
      </c>
      <c r="J184" s="384">
        <f>FY!H109</f>
        <v>8.5820000000000007</v>
      </c>
      <c r="K184" s="384">
        <f>FY!I109</f>
        <v>8.375</v>
      </c>
      <c r="L184" s="384">
        <f>FY!J109</f>
        <v>8.1110000000000007</v>
      </c>
      <c r="M184" s="384">
        <f>FY!K109</f>
        <v>8.1940000000000008</v>
      </c>
      <c r="N184" s="384">
        <f>FY!L109</f>
        <v>8.5171411965042871</v>
      </c>
      <c r="O184" s="384">
        <f>FY!M109</f>
        <v>8.4225925116491993</v>
      </c>
      <c r="P184" s="384">
        <f>FY!N109</f>
        <v>8.6636658685408108</v>
      </c>
      <c r="Q184" s="384">
        <f>FY!O109</f>
        <v>9.0139513617391493</v>
      </c>
      <c r="R184" s="384"/>
      <c r="S184" s="384"/>
      <c r="T184" s="384"/>
      <c r="U184" s="384"/>
      <c r="V184" s="384"/>
      <c r="W184" s="384"/>
      <c r="X184" s="384"/>
      <c r="Y184" s="384"/>
      <c r="Z184" s="384"/>
      <c r="AA184" s="384"/>
      <c r="AB184" s="384"/>
      <c r="AC184" s="384"/>
      <c r="AD184" s="384"/>
      <c r="AE184" s="384"/>
      <c r="AF184" s="384"/>
      <c r="AG184" s="384"/>
      <c r="AH184" s="384"/>
      <c r="AI184" s="322"/>
      <c r="AJ184" s="479"/>
      <c r="AK184" s="378" t="str">
        <f>_xll.BLUEMATRIX2("/servlet/excelData",E184,$B$1,$B184&amp;":"&amp;E$115&amp;":"&amp;$AI$114)</f>
        <v>#</v>
      </c>
      <c r="AL184" s="378" t="str">
        <f>_xll.BLUEMATRIX2("/servlet/excelData",F184,$B$1,$B184&amp;":"&amp;F$115&amp;":"&amp;$AI$114)</f>
        <v>#</v>
      </c>
      <c r="AM184" s="378" t="str">
        <f>_xll.BLUEMATRIX2("/servlet/excelData",G184,$B$1,$B184&amp;":"&amp;G$115&amp;":"&amp;$AI$114)</f>
        <v>#</v>
      </c>
      <c r="AN184" s="378" t="str">
        <f>_xll.BLUEMATRIX2("/servlet/excelData",H184,$B$1,$B184&amp;":"&amp;H$115&amp;":"&amp;$AI$114)</f>
        <v>#</v>
      </c>
      <c r="AO184" s="378" t="str">
        <f>_xll.BLUEMATRIX2("/servlet/excelData",I184,$B$1,$B184&amp;":"&amp;I$115&amp;":"&amp;$AI$114)</f>
        <v>#</v>
      </c>
      <c r="AP184" s="378" t="str">
        <f>_xll.BLUEMATRIX2("/servlet/excelData",J184,$B$1,$B184&amp;":"&amp;J$115&amp;":"&amp;$AI$114)</f>
        <v>#</v>
      </c>
      <c r="AQ184" s="378" t="str">
        <f>_xll.BLUEMATRIX2("/servlet/excelData",K184,$B$1,$B184&amp;":"&amp;K$115&amp;":"&amp;$AI$114)</f>
        <v>#</v>
      </c>
      <c r="AR184" s="378" t="str">
        <f>_xll.BLUEMATRIX2("/servlet/excelData",L184,$B$1,$B184&amp;":"&amp;L$115&amp;":"&amp;$AI$114)</f>
        <v>#</v>
      </c>
      <c r="AS184" s="378" t="str">
        <f>_xll.BLUEMATRIX2("/servlet/excelData",M184,$B$1,$B184&amp;":"&amp;M$115&amp;":"&amp;$AI$114)</f>
        <v>#</v>
      </c>
      <c r="AT184" s="378" t="str">
        <f>_xll.BLUEMATRIX2("/servlet/excelData",N184,$B$1,$B184&amp;":"&amp;N$115&amp;":"&amp;$AI$114)</f>
        <v>#</v>
      </c>
      <c r="AU184" s="378" t="str">
        <f>_xll.BLUEMATRIX2("/servlet/excelData",O184,$B$1,$B184&amp;":"&amp;O$115&amp;":"&amp;$AI$114)</f>
        <v>#</v>
      </c>
      <c r="AV184" s="378" t="str">
        <f>_xll.BLUEMATRIX2("/servlet/excelData",P184,$B$1,$B184&amp;":"&amp;P$115&amp;":"&amp;$AI$114)</f>
        <v>#</v>
      </c>
      <c r="AW184" s="378" t="str">
        <f>_xll.BLUEMATRIX2("/servlet/excelData",Q184,$B$1,$B184&amp;":"&amp;Q$115&amp;":"&amp;$AI$114)</f>
        <v>#</v>
      </c>
    </row>
    <row r="185" spans="1:49" ht="12.95" customHeight="1">
      <c r="A185" s="348" t="s">
        <v>708</v>
      </c>
      <c r="B185" s="350" t="s">
        <v>709</v>
      </c>
      <c r="C185" s="400" t="s">
        <v>710</v>
      </c>
      <c r="D185" s="384"/>
      <c r="E185" s="384"/>
      <c r="F185" s="384"/>
      <c r="G185" s="384"/>
      <c r="H185" s="384"/>
      <c r="I185" s="384"/>
      <c r="J185" s="384"/>
      <c r="K185" s="384"/>
      <c r="L185" s="384"/>
      <c r="M185" s="384"/>
      <c r="N185" s="384"/>
      <c r="O185" s="384"/>
      <c r="P185" s="384"/>
      <c r="Q185" s="384"/>
      <c r="R185" s="384"/>
      <c r="S185" s="384"/>
      <c r="T185" s="384"/>
      <c r="U185" s="384"/>
      <c r="V185" s="384"/>
      <c r="W185" s="384"/>
      <c r="X185" s="384"/>
      <c r="Y185" s="384"/>
      <c r="Z185" s="384"/>
      <c r="AA185" s="384"/>
      <c r="AB185" s="384"/>
      <c r="AC185" s="384"/>
      <c r="AD185" s="384"/>
      <c r="AE185" s="384"/>
      <c r="AF185" s="384"/>
      <c r="AG185" s="384"/>
      <c r="AH185" s="384"/>
      <c r="AI185" s="322"/>
      <c r="AJ185" s="479"/>
      <c r="AK185" s="378" t="str">
        <f>_xll.BLUEMATRIX2("/servlet/excelData",E185,$B$1,$B185&amp;":"&amp;E$115&amp;":"&amp;$AI$114)</f>
        <v>#</v>
      </c>
      <c r="AL185" s="378" t="str">
        <f>_xll.BLUEMATRIX2("/servlet/excelData",F185,$B$1,$B185&amp;":"&amp;F$115&amp;":"&amp;$AI$114)</f>
        <v>#</v>
      </c>
      <c r="AM185" s="378" t="str">
        <f>_xll.BLUEMATRIX2("/servlet/excelData",G185,$B$1,$B185&amp;":"&amp;G$115&amp;":"&amp;$AI$114)</f>
        <v>#</v>
      </c>
      <c r="AN185" s="378" t="str">
        <f>_xll.BLUEMATRIX2("/servlet/excelData",H185,$B$1,$B185&amp;":"&amp;H$115&amp;":"&amp;$AI$114)</f>
        <v>#</v>
      </c>
      <c r="AO185" s="378" t="str">
        <f>_xll.BLUEMATRIX2("/servlet/excelData",I185,$B$1,$B185&amp;":"&amp;I$115&amp;":"&amp;$AI$114)</f>
        <v>#</v>
      </c>
      <c r="AP185" s="378" t="str">
        <f>_xll.BLUEMATRIX2("/servlet/excelData",J185,$B$1,$B185&amp;":"&amp;J$115&amp;":"&amp;$AI$114)</f>
        <v>#</v>
      </c>
      <c r="AQ185" s="378" t="str">
        <f>_xll.BLUEMATRIX2("/servlet/excelData",K185,$B$1,$B185&amp;":"&amp;K$115&amp;":"&amp;$AI$114)</f>
        <v>#</v>
      </c>
      <c r="AR185" s="378" t="str">
        <f>_xll.BLUEMATRIX2("/servlet/excelData",L185,$B$1,$B185&amp;":"&amp;L$115&amp;":"&amp;$AI$114)</f>
        <v>#</v>
      </c>
      <c r="AS185" s="378" t="str">
        <f>_xll.BLUEMATRIX2("/servlet/excelData",M185,$B$1,$B185&amp;":"&amp;M$115&amp;":"&amp;$AI$114)</f>
        <v>#</v>
      </c>
      <c r="AT185" s="378" t="str">
        <f>_xll.BLUEMATRIX2("/servlet/excelData",N185,$B$1,$B185&amp;":"&amp;N$115&amp;":"&amp;$AI$114)</f>
        <v>#</v>
      </c>
      <c r="AU185" s="378" t="str">
        <f>_xll.BLUEMATRIX2("/servlet/excelData",O185,$B$1,$B185&amp;":"&amp;O$115&amp;":"&amp;$AI$114)</f>
        <v>#</v>
      </c>
      <c r="AV185" s="378" t="str">
        <f>_xll.BLUEMATRIX2("/servlet/excelData",P185,$B$1,$B185&amp;":"&amp;P$115&amp;":"&amp;$AI$114)</f>
        <v>#</v>
      </c>
      <c r="AW185" s="378" t="str">
        <f>_xll.BLUEMATRIX2("/servlet/excelData",Q185,$B$1,$B185&amp;":"&amp;Q$115&amp;":"&amp;$AI$114)</f>
        <v>#</v>
      </c>
    </row>
    <row r="186" spans="1:49" ht="12.95" customHeight="1">
      <c r="A186" s="348" t="s">
        <v>711</v>
      </c>
      <c r="B186" s="350" t="s">
        <v>712</v>
      </c>
      <c r="C186" s="400" t="s">
        <v>713</v>
      </c>
      <c r="D186" s="384"/>
      <c r="E186" s="384"/>
      <c r="F186" s="384"/>
      <c r="G186" s="384"/>
      <c r="H186" s="384"/>
      <c r="I186" s="384">
        <f>FY!G110+FY!G111+FY!G112</f>
        <v>243.91499999999999</v>
      </c>
      <c r="J186" s="384">
        <f>FY!H110+FY!H111+FY!H112</f>
        <v>14.114000000000001</v>
      </c>
      <c r="K186" s="384">
        <f>FY!I110+FY!I111+FY!I112</f>
        <v>33.4</v>
      </c>
      <c r="L186" s="384">
        <f>FY!J110+FY!J111+FY!J112</f>
        <v>0.16500000000000001</v>
      </c>
      <c r="M186" s="384">
        <f>FY!K110+FY!K111+FY!K112</f>
        <v>133.15899999999999</v>
      </c>
      <c r="N186" s="384">
        <f>FY!L110+FY!L111+FY!L112</f>
        <v>59.102999999999994</v>
      </c>
      <c r="O186" s="384">
        <f>FY!M110+FY!M111+FY!M112</f>
        <v>59.102999999999994</v>
      </c>
      <c r="P186" s="384">
        <f>FY!N110+FY!N111+FY!N112</f>
        <v>59.102999999999994</v>
      </c>
      <c r="Q186" s="384">
        <f>FY!O110+FY!O111+FY!O112</f>
        <v>59.102999999999994</v>
      </c>
      <c r="R186" s="384"/>
      <c r="S186" s="384"/>
      <c r="T186" s="384"/>
      <c r="U186" s="384"/>
      <c r="V186" s="384"/>
      <c r="W186" s="384"/>
      <c r="X186" s="384"/>
      <c r="Y186" s="384"/>
      <c r="Z186" s="384"/>
      <c r="AA186" s="384"/>
      <c r="AB186" s="384"/>
      <c r="AC186" s="384"/>
      <c r="AD186" s="384"/>
      <c r="AE186" s="384"/>
      <c r="AF186" s="384"/>
      <c r="AG186" s="384"/>
      <c r="AH186" s="384"/>
      <c r="AI186" s="322"/>
      <c r="AJ186" s="479"/>
      <c r="AK186" s="378" t="str">
        <f>_xll.BLUEMATRIX2("/servlet/excelData",E186,$B$1,$B186&amp;":"&amp;E$115&amp;":"&amp;$AI$114)</f>
        <v>#</v>
      </c>
      <c r="AL186" s="378" t="str">
        <f>_xll.BLUEMATRIX2("/servlet/excelData",F186,$B$1,$B186&amp;":"&amp;F$115&amp;":"&amp;$AI$114)</f>
        <v>#</v>
      </c>
      <c r="AM186" s="378" t="str">
        <f>_xll.BLUEMATRIX2("/servlet/excelData",G186,$B$1,$B186&amp;":"&amp;G$115&amp;":"&amp;$AI$114)</f>
        <v>#</v>
      </c>
      <c r="AN186" s="378" t="str">
        <f>_xll.BLUEMATRIX2("/servlet/excelData",H186,$B$1,$B186&amp;":"&amp;H$115&amp;":"&amp;$AI$114)</f>
        <v>#</v>
      </c>
      <c r="AO186" s="378" t="str">
        <f>_xll.BLUEMATRIX2("/servlet/excelData",I186,$B$1,$B186&amp;":"&amp;I$115&amp;":"&amp;$AI$114)</f>
        <v>#</v>
      </c>
      <c r="AP186" s="378" t="str">
        <f>_xll.BLUEMATRIX2("/servlet/excelData",J186,$B$1,$B186&amp;":"&amp;J$115&amp;":"&amp;$AI$114)</f>
        <v>#</v>
      </c>
      <c r="AQ186" s="378" t="str">
        <f>_xll.BLUEMATRIX2("/servlet/excelData",K186,$B$1,$B186&amp;":"&amp;K$115&amp;":"&amp;$AI$114)</f>
        <v>#</v>
      </c>
      <c r="AR186" s="378" t="str">
        <f>_xll.BLUEMATRIX2("/servlet/excelData",L186,$B$1,$B186&amp;":"&amp;L$115&amp;":"&amp;$AI$114)</f>
        <v>#</v>
      </c>
      <c r="AS186" s="378" t="str">
        <f>_xll.BLUEMATRIX2("/servlet/excelData",M186,$B$1,$B186&amp;":"&amp;M$115&amp;":"&amp;$AI$114)</f>
        <v>#</v>
      </c>
      <c r="AT186" s="378" t="str">
        <f>_xll.BLUEMATRIX2("/servlet/excelData",N186,$B$1,$B186&amp;":"&amp;N$115&amp;":"&amp;$AI$114)</f>
        <v>#</v>
      </c>
      <c r="AU186" s="378" t="str">
        <f>_xll.BLUEMATRIX2("/servlet/excelData",O186,$B$1,$B186&amp;":"&amp;O$115&amp;":"&amp;$AI$114)</f>
        <v>#</v>
      </c>
      <c r="AV186" s="378" t="str">
        <f>_xll.BLUEMATRIX2("/servlet/excelData",P186,$B$1,$B186&amp;":"&amp;P$115&amp;":"&amp;$AI$114)</f>
        <v>#</v>
      </c>
      <c r="AW186" s="378" t="str">
        <f>_xll.BLUEMATRIX2("/servlet/excelData",Q186,$B$1,$B186&amp;":"&amp;Q$115&amp;":"&amp;$AI$114)</f>
        <v>#</v>
      </c>
    </row>
    <row r="187" spans="1:49" ht="12.95" customHeight="1">
      <c r="A187" s="348" t="s">
        <v>714</v>
      </c>
      <c r="B187" s="350" t="s">
        <v>715</v>
      </c>
      <c r="C187" s="401" t="s">
        <v>716</v>
      </c>
      <c r="D187" s="387"/>
      <c r="E187" s="387"/>
      <c r="F187" s="387"/>
      <c r="G187" s="387"/>
      <c r="H187" s="387"/>
      <c r="I187" s="387">
        <f t="shared" ref="I187:Q187" si="31">I182+I183+I184+I185+I186</f>
        <v>325.96699999999998</v>
      </c>
      <c r="J187" s="387">
        <f t="shared" si="31"/>
        <v>318.54199999999997</v>
      </c>
      <c r="K187" s="387">
        <f t="shared" si="31"/>
        <v>189.18899999999999</v>
      </c>
      <c r="L187" s="387">
        <f t="shared" si="31"/>
        <v>83.75500000000001</v>
      </c>
      <c r="M187" s="387">
        <f t="shared" si="31"/>
        <v>255.589</v>
      </c>
      <c r="N187" s="387">
        <f t="shared" si="31"/>
        <v>191.33764901877691</v>
      </c>
      <c r="O187" s="387">
        <f t="shared" si="31"/>
        <v>254.69267856770392</v>
      </c>
      <c r="P187" s="387">
        <f t="shared" si="31"/>
        <v>348.8372316117393</v>
      </c>
      <c r="Q187" s="387">
        <f t="shared" si="31"/>
        <v>456.91261577388383</v>
      </c>
      <c r="R187" s="387"/>
      <c r="S187" s="387"/>
      <c r="T187" s="387">
        <f t="shared" ref="T187:AH187" si="32">T182+T183+T184+T185+T186</f>
        <v>0</v>
      </c>
      <c r="U187" s="387">
        <f t="shared" si="32"/>
        <v>0</v>
      </c>
      <c r="V187" s="387">
        <f t="shared" si="32"/>
        <v>0</v>
      </c>
      <c r="W187" s="387">
        <f t="shared" si="32"/>
        <v>0</v>
      </c>
      <c r="X187" s="387">
        <f t="shared" si="32"/>
        <v>0</v>
      </c>
      <c r="Y187" s="387">
        <f t="shared" si="32"/>
        <v>0</v>
      </c>
      <c r="Z187" s="387">
        <f t="shared" si="32"/>
        <v>0</v>
      </c>
      <c r="AA187" s="387">
        <f t="shared" si="32"/>
        <v>0</v>
      </c>
      <c r="AB187" s="387">
        <f t="shared" si="32"/>
        <v>0</v>
      </c>
      <c r="AC187" s="387">
        <f t="shared" si="32"/>
        <v>0</v>
      </c>
      <c r="AD187" s="387">
        <f t="shared" si="32"/>
        <v>0</v>
      </c>
      <c r="AE187" s="387">
        <f t="shared" si="32"/>
        <v>0</v>
      </c>
      <c r="AF187" s="387">
        <f t="shared" si="32"/>
        <v>0</v>
      </c>
      <c r="AG187" s="387">
        <f t="shared" si="32"/>
        <v>0</v>
      </c>
      <c r="AH187" s="387">
        <f t="shared" si="32"/>
        <v>0</v>
      </c>
      <c r="AI187" s="322"/>
      <c r="AJ187" s="479"/>
      <c r="AK187" s="378" t="str">
        <f>_xll.BLUEMATRIX2("/servlet/excelData",E187,$B$1,$B187&amp;":"&amp;E$115&amp;":"&amp;$AI$114)</f>
        <v>#</v>
      </c>
      <c r="AL187" s="378" t="str">
        <f>_xll.BLUEMATRIX2("/servlet/excelData",F187,$B$1,$B187&amp;":"&amp;F$115&amp;":"&amp;$AI$114)</f>
        <v>#</v>
      </c>
      <c r="AM187" s="378" t="str">
        <f>_xll.BLUEMATRIX2("/servlet/excelData",G187,$B$1,$B187&amp;":"&amp;G$115&amp;":"&amp;$AI$114)</f>
        <v>#</v>
      </c>
      <c r="AN187" s="378" t="str">
        <f>_xll.BLUEMATRIX2("/servlet/excelData",H187,$B$1,$B187&amp;":"&amp;H$115&amp;":"&amp;$AI$114)</f>
        <v>#</v>
      </c>
      <c r="AO187" s="378" t="str">
        <f>_xll.BLUEMATRIX2("/servlet/excelData",I187,$B$1,$B187&amp;":"&amp;I$115&amp;":"&amp;$AI$114)</f>
        <v>#</v>
      </c>
      <c r="AP187" s="378" t="str">
        <f>_xll.BLUEMATRIX2("/servlet/excelData",J187,$B$1,$B187&amp;":"&amp;J$115&amp;":"&amp;$AI$114)</f>
        <v>#</v>
      </c>
      <c r="AQ187" s="378" t="str">
        <f>_xll.BLUEMATRIX2("/servlet/excelData",K187,$B$1,$B187&amp;":"&amp;K$115&amp;":"&amp;$AI$114)</f>
        <v>#</v>
      </c>
      <c r="AR187" s="378" t="str">
        <f>_xll.BLUEMATRIX2("/servlet/excelData",L187,$B$1,$B187&amp;":"&amp;L$115&amp;":"&amp;$AI$114)</f>
        <v>#</v>
      </c>
      <c r="AS187" s="378" t="str">
        <f>_xll.BLUEMATRIX2("/servlet/excelData",M187,$B$1,$B187&amp;":"&amp;M$115&amp;":"&amp;$AI$114)</f>
        <v>#</v>
      </c>
      <c r="AT187" s="378" t="str">
        <f>_xll.BLUEMATRIX2("/servlet/excelData",N187,$B$1,$B187&amp;":"&amp;N$115&amp;":"&amp;$AI$114)</f>
        <v>#</v>
      </c>
      <c r="AU187" s="378" t="str">
        <f>_xll.BLUEMATRIX2("/servlet/excelData",O187,$B$1,$B187&amp;":"&amp;O$115&amp;":"&amp;$AI$114)</f>
        <v>#</v>
      </c>
      <c r="AV187" s="378" t="str">
        <f>_xll.BLUEMATRIX2("/servlet/excelData",P187,$B$1,$B187&amp;":"&amp;P$115&amp;":"&amp;$AI$114)</f>
        <v>#</v>
      </c>
      <c r="AW187" s="378" t="str">
        <f>_xll.BLUEMATRIX2("/servlet/excelData",Q187,$B$1,$B187&amp;":"&amp;Q$115&amp;":"&amp;$AI$114)</f>
        <v>#</v>
      </c>
    </row>
    <row r="188" spans="1:49" ht="12.95" customHeight="1">
      <c r="A188" s="348" t="s">
        <v>717</v>
      </c>
      <c r="B188" s="350" t="s">
        <v>718</v>
      </c>
      <c r="C188" s="400" t="s">
        <v>719</v>
      </c>
      <c r="D188" s="384"/>
      <c r="E188" s="384"/>
      <c r="F188" s="384"/>
      <c r="G188" s="384"/>
      <c r="H188" s="384"/>
      <c r="I188" s="384"/>
      <c r="J188" s="384"/>
      <c r="K188" s="384"/>
      <c r="L188" s="384"/>
      <c r="M188" s="384"/>
      <c r="N188" s="384"/>
      <c r="O188" s="384"/>
      <c r="P188" s="384"/>
      <c r="Q188" s="384"/>
      <c r="R188" s="384"/>
      <c r="S188" s="384"/>
      <c r="T188" s="384"/>
      <c r="U188" s="384"/>
      <c r="V188" s="384"/>
      <c r="W188" s="384"/>
      <c r="X188" s="384"/>
      <c r="Y188" s="384"/>
      <c r="Z188" s="384"/>
      <c r="AA188" s="384"/>
      <c r="AB188" s="384"/>
      <c r="AC188" s="384"/>
      <c r="AD188" s="384"/>
      <c r="AE188" s="384"/>
      <c r="AF188" s="384"/>
      <c r="AG188" s="384"/>
      <c r="AH188" s="384"/>
      <c r="AI188" s="322"/>
      <c r="AJ188" s="479"/>
      <c r="AK188" s="378" t="str">
        <f>_xll.BLUEMATRIX2("/servlet/excelData",E188,$B$1,$B188&amp;":"&amp;E$115&amp;":"&amp;$AI$114)</f>
        <v>#</v>
      </c>
      <c r="AL188" s="378" t="str">
        <f>_xll.BLUEMATRIX2("/servlet/excelData",F188,$B$1,$B188&amp;":"&amp;F$115&amp;":"&amp;$AI$114)</f>
        <v>#</v>
      </c>
      <c r="AM188" s="378" t="str">
        <f>_xll.BLUEMATRIX2("/servlet/excelData",G188,$B$1,$B188&amp;":"&amp;G$115&amp;":"&amp;$AI$114)</f>
        <v>#</v>
      </c>
      <c r="AN188" s="378" t="str">
        <f>_xll.BLUEMATRIX2("/servlet/excelData",H188,$B$1,$B188&amp;":"&amp;H$115&amp;":"&amp;$AI$114)</f>
        <v>#</v>
      </c>
      <c r="AO188" s="378" t="str">
        <f>_xll.BLUEMATRIX2("/servlet/excelData",I188,$B$1,$B188&amp;":"&amp;I$115&amp;":"&amp;$AI$114)</f>
        <v>#</v>
      </c>
      <c r="AP188" s="378" t="str">
        <f>_xll.BLUEMATRIX2("/servlet/excelData",J188,$B$1,$B188&amp;":"&amp;J$115&amp;":"&amp;$AI$114)</f>
        <v>#</v>
      </c>
      <c r="AQ188" s="378" t="str">
        <f>_xll.BLUEMATRIX2("/servlet/excelData",K188,$B$1,$B188&amp;":"&amp;K$115&amp;":"&amp;$AI$114)</f>
        <v>#</v>
      </c>
      <c r="AR188" s="378" t="str">
        <f>_xll.BLUEMATRIX2("/servlet/excelData",L188,$B$1,$B188&amp;":"&amp;L$115&amp;":"&amp;$AI$114)</f>
        <v>#</v>
      </c>
      <c r="AS188" s="378" t="str">
        <f>_xll.BLUEMATRIX2("/servlet/excelData",M188,$B$1,$B188&amp;":"&amp;M$115&amp;":"&amp;$AI$114)</f>
        <v>#</v>
      </c>
      <c r="AT188" s="378" t="str">
        <f>_xll.BLUEMATRIX2("/servlet/excelData",N188,$B$1,$B188&amp;":"&amp;N$115&amp;":"&amp;$AI$114)</f>
        <v>#</v>
      </c>
      <c r="AU188" s="378" t="str">
        <f>_xll.BLUEMATRIX2("/servlet/excelData",O188,$B$1,$B188&amp;":"&amp;O$115&amp;":"&amp;$AI$114)</f>
        <v>#</v>
      </c>
      <c r="AV188" s="378" t="str">
        <f>_xll.BLUEMATRIX2("/servlet/excelData",P188,$B$1,$B188&amp;":"&amp;P$115&amp;":"&amp;$AI$114)</f>
        <v>#</v>
      </c>
      <c r="AW188" s="378" t="str">
        <f>_xll.BLUEMATRIX2("/servlet/excelData",Q188,$B$1,$B188&amp;":"&amp;Q$115&amp;":"&amp;$AI$114)</f>
        <v>#</v>
      </c>
    </row>
    <row r="189" spans="1:49" ht="12.95" customHeight="1">
      <c r="A189" s="348" t="s">
        <v>720</v>
      </c>
      <c r="B189" s="350" t="s">
        <v>721</v>
      </c>
      <c r="C189" s="400" t="s">
        <v>722</v>
      </c>
      <c r="D189" s="384"/>
      <c r="E189" s="384"/>
      <c r="F189" s="384"/>
      <c r="G189" s="384"/>
      <c r="H189" s="384"/>
      <c r="I189" s="384">
        <f>FY!G119+FY!G120</f>
        <v>161.85599999999999</v>
      </c>
      <c r="J189" s="384">
        <f>FY!H119+FY!H120</f>
        <v>152.00299999999999</v>
      </c>
      <c r="K189" s="384">
        <f>FY!I119+FY!I120</f>
        <v>78.8</v>
      </c>
      <c r="L189" s="384">
        <f>FY!J119+FY!J120</f>
        <v>78.724999999999994</v>
      </c>
      <c r="M189" s="384">
        <f>FY!K119+FY!K120</f>
        <v>20.75</v>
      </c>
      <c r="N189" s="384">
        <f>FY!L119+FY!L120</f>
        <v>20.75</v>
      </c>
      <c r="O189" s="384">
        <f>FY!M119+FY!M120</f>
        <v>20.75</v>
      </c>
      <c r="P189" s="384">
        <f>FY!N119+FY!N120</f>
        <v>20.75</v>
      </c>
      <c r="Q189" s="384">
        <f>FY!O119+FY!O120</f>
        <v>20.75</v>
      </c>
      <c r="R189" s="384"/>
      <c r="S189" s="384"/>
      <c r="T189" s="384"/>
      <c r="U189" s="384"/>
      <c r="V189" s="384"/>
      <c r="W189" s="384"/>
      <c r="X189" s="384"/>
      <c r="Y189" s="384"/>
      <c r="Z189" s="384"/>
      <c r="AA189" s="384"/>
      <c r="AB189" s="384"/>
      <c r="AC189" s="384"/>
      <c r="AD189" s="384"/>
      <c r="AE189" s="384"/>
      <c r="AF189" s="384"/>
      <c r="AG189" s="384"/>
      <c r="AH189" s="384"/>
      <c r="AI189" s="322"/>
      <c r="AJ189" s="479"/>
      <c r="AK189" s="378" t="str">
        <f>_xll.BLUEMATRIX2("/servlet/excelData",E189,$B$1,$B189&amp;":"&amp;E$115&amp;":"&amp;$AI$114)</f>
        <v>#</v>
      </c>
      <c r="AL189" s="378" t="str">
        <f>_xll.BLUEMATRIX2("/servlet/excelData",F189,$B$1,$B189&amp;":"&amp;F$115&amp;":"&amp;$AI$114)</f>
        <v>#</v>
      </c>
      <c r="AM189" s="378" t="str">
        <f>_xll.BLUEMATRIX2("/servlet/excelData",G189,$B$1,$B189&amp;":"&amp;G$115&amp;":"&amp;$AI$114)</f>
        <v>#</v>
      </c>
      <c r="AN189" s="378" t="str">
        <f>_xll.BLUEMATRIX2("/servlet/excelData",H189,$B$1,$B189&amp;":"&amp;H$115&amp;":"&amp;$AI$114)</f>
        <v>#</v>
      </c>
      <c r="AO189" s="378" t="str">
        <f>_xll.BLUEMATRIX2("/servlet/excelData",I189,$B$1,$B189&amp;":"&amp;I$115&amp;":"&amp;$AI$114)</f>
        <v>#</v>
      </c>
      <c r="AP189" s="378" t="str">
        <f>_xll.BLUEMATRIX2("/servlet/excelData",J189,$B$1,$B189&amp;":"&amp;J$115&amp;":"&amp;$AI$114)</f>
        <v>#</v>
      </c>
      <c r="AQ189" s="378" t="str">
        <f>_xll.BLUEMATRIX2("/servlet/excelData",K189,$B$1,$B189&amp;":"&amp;K$115&amp;":"&amp;$AI$114)</f>
        <v>#</v>
      </c>
      <c r="AR189" s="378" t="str">
        <f>_xll.BLUEMATRIX2("/servlet/excelData",L189,$B$1,$B189&amp;":"&amp;L$115&amp;":"&amp;$AI$114)</f>
        <v>#</v>
      </c>
      <c r="AS189" s="378" t="str">
        <f>_xll.BLUEMATRIX2("/servlet/excelData",M189,$B$1,$B189&amp;":"&amp;M$115&amp;":"&amp;$AI$114)</f>
        <v>#</v>
      </c>
      <c r="AT189" s="378" t="str">
        <f>_xll.BLUEMATRIX2("/servlet/excelData",N189,$B$1,$B189&amp;":"&amp;N$115&amp;":"&amp;$AI$114)</f>
        <v>#</v>
      </c>
      <c r="AU189" s="378" t="str">
        <f>_xll.BLUEMATRIX2("/servlet/excelData",O189,$B$1,$B189&amp;":"&amp;O$115&amp;":"&amp;$AI$114)</f>
        <v>#</v>
      </c>
      <c r="AV189" s="378" t="str">
        <f>_xll.BLUEMATRIX2("/servlet/excelData",P189,$B$1,$B189&amp;":"&amp;P$115&amp;":"&amp;$AI$114)</f>
        <v>#</v>
      </c>
      <c r="AW189" s="378" t="str">
        <f>_xll.BLUEMATRIX2("/servlet/excelData",Q189,$B$1,$B189&amp;":"&amp;Q$115&amp;":"&amp;$AI$114)</f>
        <v>#</v>
      </c>
    </row>
    <row r="190" spans="1:49" ht="12.95" customHeight="1">
      <c r="A190" s="348" t="s">
        <v>723</v>
      </c>
      <c r="B190" s="350" t="s">
        <v>724</v>
      </c>
      <c r="C190" s="400" t="s">
        <v>725</v>
      </c>
      <c r="D190" s="384"/>
      <c r="E190" s="384"/>
      <c r="F190" s="384"/>
      <c r="G190" s="384"/>
      <c r="H190" s="384"/>
      <c r="I190" s="384">
        <f>FY!G116</f>
        <v>1442.68</v>
      </c>
      <c r="J190" s="384">
        <f>FY!H116</f>
        <v>1652.4760000000001</v>
      </c>
      <c r="K190" s="384">
        <f>FY!I116</f>
        <v>1816.961</v>
      </c>
      <c r="L190" s="384">
        <f>FY!J116</f>
        <v>1877.4079999999999</v>
      </c>
      <c r="M190" s="384">
        <f>FY!K116</f>
        <v>1593.41</v>
      </c>
      <c r="N190" s="384">
        <f>FY!L116</f>
        <v>1364.6531222222222</v>
      </c>
      <c r="O190" s="384">
        <f>FY!M116</f>
        <v>1342.818177614321</v>
      </c>
      <c r="P190" s="384">
        <f>FY!N116</f>
        <v>1325.5304856091154</v>
      </c>
      <c r="Q190" s="384">
        <f>FY!O116</f>
        <v>1312.24819866487</v>
      </c>
      <c r="R190" s="384"/>
      <c r="S190" s="384"/>
      <c r="T190" s="384"/>
      <c r="U190" s="384"/>
      <c r="V190" s="384"/>
      <c r="W190" s="384"/>
      <c r="X190" s="384"/>
      <c r="Y190" s="384"/>
      <c r="Z190" s="384"/>
      <c r="AA190" s="384"/>
      <c r="AB190" s="384"/>
      <c r="AC190" s="384"/>
      <c r="AD190" s="384"/>
      <c r="AE190" s="384"/>
      <c r="AF190" s="384"/>
      <c r="AG190" s="384"/>
      <c r="AH190" s="384"/>
      <c r="AI190" s="322"/>
      <c r="AJ190" s="479"/>
      <c r="AK190" s="378" t="str">
        <f>_xll.BLUEMATRIX2("/servlet/excelData",E190,$B$1,$B190&amp;":"&amp;E$115&amp;":"&amp;$AI$114)</f>
        <v>#</v>
      </c>
      <c r="AL190" s="378" t="str">
        <f>_xll.BLUEMATRIX2("/servlet/excelData",F190,$B$1,$B190&amp;":"&amp;F$115&amp;":"&amp;$AI$114)</f>
        <v>#</v>
      </c>
      <c r="AM190" s="378" t="str">
        <f>_xll.BLUEMATRIX2("/servlet/excelData",G190,$B$1,$B190&amp;":"&amp;G$115&amp;":"&amp;$AI$114)</f>
        <v>#</v>
      </c>
      <c r="AN190" s="378" t="str">
        <f>_xll.BLUEMATRIX2("/servlet/excelData",H190,$B$1,$B190&amp;":"&amp;H$115&amp;":"&amp;$AI$114)</f>
        <v>#</v>
      </c>
      <c r="AO190" s="378" t="str">
        <f>_xll.BLUEMATRIX2("/servlet/excelData",I190,$B$1,$B190&amp;":"&amp;I$115&amp;":"&amp;$AI$114)</f>
        <v>#</v>
      </c>
      <c r="AP190" s="378" t="str">
        <f>_xll.BLUEMATRIX2("/servlet/excelData",J190,$B$1,$B190&amp;":"&amp;J$115&amp;":"&amp;$AI$114)</f>
        <v>#</v>
      </c>
      <c r="AQ190" s="378" t="str">
        <f>_xll.BLUEMATRIX2("/servlet/excelData",K190,$B$1,$B190&amp;":"&amp;K$115&amp;":"&amp;$AI$114)</f>
        <v>#</v>
      </c>
      <c r="AR190" s="378" t="str">
        <f>_xll.BLUEMATRIX2("/servlet/excelData",L190,$B$1,$B190&amp;":"&amp;L$115&amp;":"&amp;$AI$114)</f>
        <v>#</v>
      </c>
      <c r="AS190" s="378" t="str">
        <f>_xll.BLUEMATRIX2("/servlet/excelData",M190,$B$1,$B190&amp;":"&amp;M$115&amp;":"&amp;$AI$114)</f>
        <v>#</v>
      </c>
      <c r="AT190" s="378" t="str">
        <f>_xll.BLUEMATRIX2("/servlet/excelData",N190,$B$1,$B190&amp;":"&amp;N$115&amp;":"&amp;$AI$114)</f>
        <v>#</v>
      </c>
      <c r="AU190" s="378" t="str">
        <f>_xll.BLUEMATRIX2("/servlet/excelData",O190,$B$1,$B190&amp;":"&amp;O$115&amp;":"&amp;$AI$114)</f>
        <v>#</v>
      </c>
      <c r="AV190" s="378" t="str">
        <f>_xll.BLUEMATRIX2("/servlet/excelData",P190,$B$1,$B190&amp;":"&amp;P$115&amp;":"&amp;$AI$114)</f>
        <v>#</v>
      </c>
      <c r="AW190" s="378" t="str">
        <f>_xll.BLUEMATRIX2("/servlet/excelData",Q190,$B$1,$B190&amp;":"&amp;Q$115&amp;":"&amp;$AI$114)</f>
        <v>#</v>
      </c>
    </row>
    <row r="191" spans="1:49" ht="12.95" customHeight="1">
      <c r="A191" s="348" t="s">
        <v>726</v>
      </c>
      <c r="B191" s="350" t="s">
        <v>727</v>
      </c>
      <c r="C191" s="400" t="s">
        <v>306</v>
      </c>
      <c r="D191" s="384"/>
      <c r="E191" s="384"/>
      <c r="F191" s="384"/>
      <c r="G191" s="384"/>
      <c r="H191" s="384"/>
      <c r="I191" s="384">
        <f>FY!G118</f>
        <v>19.372</v>
      </c>
      <c r="J191" s="384">
        <f>FY!H118</f>
        <v>25.465</v>
      </c>
      <c r="K191" s="384">
        <f>FY!I118</f>
        <v>52.35</v>
      </c>
      <c r="L191" s="384">
        <f>FY!J118</f>
        <v>48.750999999999998</v>
      </c>
      <c r="M191" s="384">
        <f>FY!K118</f>
        <v>44.423999999999999</v>
      </c>
      <c r="N191" s="384">
        <f>FY!L118</f>
        <v>44.423999999999999</v>
      </c>
      <c r="O191" s="384">
        <f>FY!M118</f>
        <v>44.423999999999999</v>
      </c>
      <c r="P191" s="384">
        <f>FY!N118</f>
        <v>44.423999999999999</v>
      </c>
      <c r="Q191" s="384">
        <f>FY!O118</f>
        <v>44.423999999999999</v>
      </c>
      <c r="R191" s="384"/>
      <c r="S191" s="384"/>
      <c r="T191" s="384"/>
      <c r="U191" s="384"/>
      <c r="V191" s="384"/>
      <c r="W191" s="384"/>
      <c r="X191" s="384"/>
      <c r="Y191" s="384"/>
      <c r="Z191" s="384"/>
      <c r="AA191" s="384"/>
      <c r="AB191" s="384"/>
      <c r="AC191" s="384"/>
      <c r="AD191" s="384"/>
      <c r="AE191" s="384"/>
      <c r="AF191" s="384"/>
      <c r="AG191" s="384"/>
      <c r="AH191" s="384"/>
      <c r="AI191" s="322"/>
      <c r="AJ191" s="479"/>
      <c r="AK191" s="378" t="str">
        <f>_xll.BLUEMATRIX2("/servlet/excelData",E191,$B$1,$B191&amp;":"&amp;E$115&amp;":"&amp;$AI$114)</f>
        <v>#</v>
      </c>
      <c r="AL191" s="378" t="str">
        <f>_xll.BLUEMATRIX2("/servlet/excelData",F191,$B$1,$B191&amp;":"&amp;F$115&amp;":"&amp;$AI$114)</f>
        <v>#</v>
      </c>
      <c r="AM191" s="378" t="str">
        <f>_xll.BLUEMATRIX2("/servlet/excelData",G191,$B$1,$B191&amp;":"&amp;G$115&amp;":"&amp;$AI$114)</f>
        <v>#</v>
      </c>
      <c r="AN191" s="378" t="str">
        <f>_xll.BLUEMATRIX2("/servlet/excelData",H191,$B$1,$B191&amp;":"&amp;H$115&amp;":"&amp;$AI$114)</f>
        <v>#</v>
      </c>
      <c r="AO191" s="378" t="str">
        <f>_xll.BLUEMATRIX2("/servlet/excelData",I191,$B$1,$B191&amp;":"&amp;I$115&amp;":"&amp;$AI$114)</f>
        <v>#</v>
      </c>
      <c r="AP191" s="378" t="str">
        <f>_xll.BLUEMATRIX2("/servlet/excelData",J191,$B$1,$B191&amp;":"&amp;J$115&amp;":"&amp;$AI$114)</f>
        <v>#</v>
      </c>
      <c r="AQ191" s="378" t="str">
        <f>_xll.BLUEMATRIX2("/servlet/excelData",K191,$B$1,$B191&amp;":"&amp;K$115&amp;":"&amp;$AI$114)</f>
        <v>#</v>
      </c>
      <c r="AR191" s="378" t="str">
        <f>_xll.BLUEMATRIX2("/servlet/excelData",L191,$B$1,$B191&amp;":"&amp;L$115&amp;":"&amp;$AI$114)</f>
        <v>#</v>
      </c>
      <c r="AS191" s="378" t="str">
        <f>_xll.BLUEMATRIX2("/servlet/excelData",M191,$B$1,$B191&amp;":"&amp;M$115&amp;":"&amp;$AI$114)</f>
        <v>#</v>
      </c>
      <c r="AT191" s="378" t="str">
        <f>_xll.BLUEMATRIX2("/servlet/excelData",N191,$B$1,$B191&amp;":"&amp;N$115&amp;":"&amp;$AI$114)</f>
        <v>#</v>
      </c>
      <c r="AU191" s="378" t="str">
        <f>_xll.BLUEMATRIX2("/servlet/excelData",O191,$B$1,$B191&amp;":"&amp;O$115&amp;":"&amp;$AI$114)</f>
        <v>#</v>
      </c>
      <c r="AV191" s="378" t="str">
        <f>_xll.BLUEMATRIX2("/servlet/excelData",P191,$B$1,$B191&amp;":"&amp;P$115&amp;":"&amp;$AI$114)</f>
        <v>#</v>
      </c>
      <c r="AW191" s="378" t="str">
        <f>_xll.BLUEMATRIX2("/servlet/excelData",Q191,$B$1,$B191&amp;":"&amp;Q$115&amp;":"&amp;$AI$114)</f>
        <v>#</v>
      </c>
    </row>
    <row r="192" spans="1:49" ht="12.95" customHeight="1">
      <c r="A192" s="348" t="s">
        <v>728</v>
      </c>
      <c r="B192" s="350" t="s">
        <v>729</v>
      </c>
      <c r="C192" s="400" t="s">
        <v>730</v>
      </c>
      <c r="D192" s="384"/>
      <c r="E192" s="384"/>
      <c r="F192" s="384"/>
      <c r="G192" s="384"/>
      <c r="H192" s="384"/>
      <c r="I192" s="384"/>
      <c r="J192" s="384"/>
      <c r="K192" s="384"/>
      <c r="L192" s="384"/>
      <c r="M192" s="384"/>
      <c r="N192" s="384"/>
      <c r="O192" s="384"/>
      <c r="P192" s="384"/>
      <c r="Q192" s="384"/>
      <c r="R192" s="384"/>
      <c r="S192" s="384"/>
      <c r="T192" s="384"/>
      <c r="U192" s="384"/>
      <c r="V192" s="384"/>
      <c r="W192" s="384"/>
      <c r="X192" s="384"/>
      <c r="Y192" s="384"/>
      <c r="Z192" s="384"/>
      <c r="AA192" s="384"/>
      <c r="AB192" s="384"/>
      <c r="AC192" s="384"/>
      <c r="AD192" s="384"/>
      <c r="AE192" s="384"/>
      <c r="AF192" s="384"/>
      <c r="AG192" s="384"/>
      <c r="AH192" s="384"/>
      <c r="AI192" s="322"/>
      <c r="AJ192" s="479"/>
      <c r="AK192" s="378" t="str">
        <f>_xll.BLUEMATRIX2("/servlet/excelData",E192,$B$1,$B192&amp;":"&amp;E$115&amp;":"&amp;$AI$114)</f>
        <v>#</v>
      </c>
      <c r="AL192" s="378" t="str">
        <f>_xll.BLUEMATRIX2("/servlet/excelData",F192,$B$1,$B192&amp;":"&amp;F$115&amp;":"&amp;$AI$114)</f>
        <v>#</v>
      </c>
      <c r="AM192" s="378" t="str">
        <f>_xll.BLUEMATRIX2("/servlet/excelData",G192,$B$1,$B192&amp;":"&amp;G$115&amp;":"&amp;$AI$114)</f>
        <v>#</v>
      </c>
      <c r="AN192" s="378" t="str">
        <f>_xll.BLUEMATRIX2("/servlet/excelData",H192,$B$1,$B192&amp;":"&amp;H$115&amp;":"&amp;$AI$114)</f>
        <v>#</v>
      </c>
      <c r="AO192" s="378" t="str">
        <f>_xll.BLUEMATRIX2("/servlet/excelData",I192,$B$1,$B192&amp;":"&amp;I$115&amp;":"&amp;$AI$114)</f>
        <v>#</v>
      </c>
      <c r="AP192" s="378" t="str">
        <f>_xll.BLUEMATRIX2("/servlet/excelData",J192,$B$1,$B192&amp;":"&amp;J$115&amp;":"&amp;$AI$114)</f>
        <v>#</v>
      </c>
      <c r="AQ192" s="378" t="str">
        <f>_xll.BLUEMATRIX2("/servlet/excelData",K192,$B$1,$B192&amp;":"&amp;K$115&amp;":"&amp;$AI$114)</f>
        <v>#</v>
      </c>
      <c r="AR192" s="378" t="str">
        <f>_xll.BLUEMATRIX2("/servlet/excelData",L192,$B$1,$B192&amp;":"&amp;L$115&amp;":"&amp;$AI$114)</f>
        <v>#</v>
      </c>
      <c r="AS192" s="378" t="str">
        <f>_xll.BLUEMATRIX2("/servlet/excelData",M192,$B$1,$B192&amp;":"&amp;M$115&amp;":"&amp;$AI$114)</f>
        <v>#</v>
      </c>
      <c r="AT192" s="378" t="str">
        <f>_xll.BLUEMATRIX2("/servlet/excelData",N192,$B$1,$B192&amp;":"&amp;N$115&amp;":"&amp;$AI$114)</f>
        <v>#</v>
      </c>
      <c r="AU192" s="378" t="str">
        <f>_xll.BLUEMATRIX2("/servlet/excelData",O192,$B$1,$B192&amp;":"&amp;O$115&amp;":"&amp;$AI$114)</f>
        <v>#</v>
      </c>
      <c r="AV192" s="378" t="str">
        <f>_xll.BLUEMATRIX2("/servlet/excelData",P192,$B$1,$B192&amp;":"&amp;P$115&amp;":"&amp;$AI$114)</f>
        <v>#</v>
      </c>
      <c r="AW192" s="378" t="str">
        <f>_xll.BLUEMATRIX2("/servlet/excelData",Q192,$B$1,$B192&amp;":"&amp;Q$115&amp;":"&amp;$AI$114)</f>
        <v>#</v>
      </c>
    </row>
    <row r="193" spans="1:49" ht="12.95" customHeight="1">
      <c r="A193" s="348" t="s">
        <v>731</v>
      </c>
      <c r="B193" s="350" t="s">
        <v>732</v>
      </c>
      <c r="C193" s="400" t="s">
        <v>310</v>
      </c>
      <c r="D193" s="384"/>
      <c r="E193" s="384"/>
      <c r="F193" s="384"/>
      <c r="G193" s="384"/>
      <c r="H193" s="384"/>
      <c r="I193" s="384">
        <f>FY!G117</f>
        <v>623.89700000000005</v>
      </c>
      <c r="J193" s="384">
        <f>FY!H117</f>
        <v>566.553</v>
      </c>
      <c r="K193" s="384">
        <f>FY!I117</f>
        <v>544.60699999999997</v>
      </c>
      <c r="L193" s="384">
        <f>FY!J117</f>
        <v>555.81299999999999</v>
      </c>
      <c r="M193" s="384">
        <f>FY!K117</f>
        <v>555.255</v>
      </c>
      <c r="N193" s="384">
        <f>FY!L117</f>
        <v>549.45965784298244</v>
      </c>
      <c r="O193" s="384">
        <f>FY!M117</f>
        <v>543.99761658265572</v>
      </c>
      <c r="P193" s="384">
        <f>FY!N117</f>
        <v>539.06888251200678</v>
      </c>
      <c r="Q193" s="384">
        <f>FY!O117</f>
        <v>534.62853015965368</v>
      </c>
      <c r="R193" s="384"/>
      <c r="S193" s="384"/>
      <c r="T193" s="384"/>
      <c r="U193" s="384"/>
      <c r="V193" s="384"/>
      <c r="W193" s="384"/>
      <c r="X193" s="384"/>
      <c r="Y193" s="384"/>
      <c r="Z193" s="384"/>
      <c r="AA193" s="384"/>
      <c r="AB193" s="384"/>
      <c r="AC193" s="384"/>
      <c r="AD193" s="384"/>
      <c r="AE193" s="384"/>
      <c r="AF193" s="384"/>
      <c r="AG193" s="384"/>
      <c r="AH193" s="384"/>
      <c r="AI193" s="322"/>
      <c r="AJ193" s="479"/>
      <c r="AK193" s="378" t="str">
        <f>_xll.BLUEMATRIX2("/servlet/excelData",E193,$B$1,$B193&amp;":"&amp;E$115&amp;":"&amp;$AI$114)</f>
        <v>#</v>
      </c>
      <c r="AL193" s="378" t="str">
        <f>_xll.BLUEMATRIX2("/servlet/excelData",F193,$B$1,$B193&amp;":"&amp;F$115&amp;":"&amp;$AI$114)</f>
        <v>#</v>
      </c>
      <c r="AM193" s="378" t="str">
        <f>_xll.BLUEMATRIX2("/servlet/excelData",G193,$B$1,$B193&amp;":"&amp;G$115&amp;":"&amp;$AI$114)</f>
        <v>#</v>
      </c>
      <c r="AN193" s="378" t="str">
        <f>_xll.BLUEMATRIX2("/servlet/excelData",H193,$B$1,$B193&amp;":"&amp;H$115&amp;":"&amp;$AI$114)</f>
        <v>#</v>
      </c>
      <c r="AO193" s="378" t="str">
        <f>_xll.BLUEMATRIX2("/servlet/excelData",I193,$B$1,$B193&amp;":"&amp;I$115&amp;":"&amp;$AI$114)</f>
        <v>#</v>
      </c>
      <c r="AP193" s="378" t="str">
        <f>_xll.BLUEMATRIX2("/servlet/excelData",J193,$B$1,$B193&amp;":"&amp;J$115&amp;":"&amp;$AI$114)</f>
        <v>#</v>
      </c>
      <c r="AQ193" s="378" t="str">
        <f>_xll.BLUEMATRIX2("/servlet/excelData",K193,$B$1,$B193&amp;":"&amp;K$115&amp;":"&amp;$AI$114)</f>
        <v>#</v>
      </c>
      <c r="AR193" s="378" t="str">
        <f>_xll.BLUEMATRIX2("/servlet/excelData",L193,$B$1,$B193&amp;":"&amp;L$115&amp;":"&amp;$AI$114)</f>
        <v>#</v>
      </c>
      <c r="AS193" s="378" t="str">
        <f>_xll.BLUEMATRIX2("/servlet/excelData",M193,$B$1,$B193&amp;":"&amp;M$115&amp;":"&amp;$AI$114)</f>
        <v>#</v>
      </c>
      <c r="AT193" s="378" t="str">
        <f>_xll.BLUEMATRIX2("/servlet/excelData",N193,$B$1,$B193&amp;":"&amp;N$115&amp;":"&amp;$AI$114)</f>
        <v>#</v>
      </c>
      <c r="AU193" s="378" t="str">
        <f>_xll.BLUEMATRIX2("/servlet/excelData",O193,$B$1,$B193&amp;":"&amp;O$115&amp;":"&amp;$AI$114)</f>
        <v>#</v>
      </c>
      <c r="AV193" s="378" t="str">
        <f>_xll.BLUEMATRIX2("/servlet/excelData",P193,$B$1,$B193&amp;":"&amp;P$115&amp;":"&amp;$AI$114)</f>
        <v>#</v>
      </c>
      <c r="AW193" s="378" t="str">
        <f>_xll.BLUEMATRIX2("/servlet/excelData",Q193,$B$1,$B193&amp;":"&amp;Q$115&amp;":"&amp;$AI$114)</f>
        <v>#</v>
      </c>
    </row>
    <row r="194" spans="1:49" ht="12.95" customHeight="1">
      <c r="A194" s="348" t="s">
        <v>733</v>
      </c>
      <c r="B194" s="350" t="s">
        <v>734</v>
      </c>
      <c r="C194" s="400" t="s">
        <v>735</v>
      </c>
      <c r="D194" s="384"/>
      <c r="E194" s="384"/>
      <c r="F194" s="384"/>
      <c r="G194" s="384"/>
      <c r="H194" s="384"/>
      <c r="I194" s="384">
        <f>FY!G122+FY!G121</f>
        <v>169.93</v>
      </c>
      <c r="J194" s="384">
        <f>FY!H122+FY!H121</f>
        <v>148.459</v>
      </c>
      <c r="K194" s="384">
        <f>FY!I122+FY!I121</f>
        <v>99.128999999999991</v>
      </c>
      <c r="L194" s="384">
        <f>FY!J122+FY!J121</f>
        <v>115.232</v>
      </c>
      <c r="M194" s="384">
        <f>FY!K122+FY!K121</f>
        <v>135.57</v>
      </c>
      <c r="N194" s="384">
        <f>FY!L122+FY!L121</f>
        <v>135.57</v>
      </c>
      <c r="O194" s="384">
        <f>FY!M122+FY!M121</f>
        <v>135.57</v>
      </c>
      <c r="P194" s="384">
        <f>FY!N122+FY!N121</f>
        <v>135.57</v>
      </c>
      <c r="Q194" s="384">
        <f>FY!O122+FY!O121</f>
        <v>135.57</v>
      </c>
      <c r="R194" s="384"/>
      <c r="S194" s="384"/>
      <c r="T194" s="384"/>
      <c r="U194" s="384"/>
      <c r="V194" s="384"/>
      <c r="W194" s="384"/>
      <c r="X194" s="384"/>
      <c r="Y194" s="384"/>
      <c r="Z194" s="384"/>
      <c r="AA194" s="384"/>
      <c r="AB194" s="384"/>
      <c r="AC194" s="384"/>
      <c r="AD194" s="384"/>
      <c r="AE194" s="384"/>
      <c r="AF194" s="384"/>
      <c r="AG194" s="384"/>
      <c r="AH194" s="384"/>
      <c r="AI194" s="322"/>
      <c r="AJ194" s="479"/>
      <c r="AK194" s="378" t="str">
        <f>_xll.BLUEMATRIX2("/servlet/excelData",E194,$B$1,$B194&amp;":"&amp;E$115&amp;":"&amp;$AI$114)</f>
        <v>#</v>
      </c>
      <c r="AL194" s="378" t="str">
        <f>_xll.BLUEMATRIX2("/servlet/excelData",F194,$B$1,$B194&amp;":"&amp;F$115&amp;":"&amp;$AI$114)</f>
        <v>#</v>
      </c>
      <c r="AM194" s="378" t="str">
        <f>_xll.BLUEMATRIX2("/servlet/excelData",G194,$B$1,$B194&amp;":"&amp;G$115&amp;":"&amp;$AI$114)</f>
        <v>#</v>
      </c>
      <c r="AN194" s="378" t="str">
        <f>_xll.BLUEMATRIX2("/servlet/excelData",H194,$B$1,$B194&amp;":"&amp;H$115&amp;":"&amp;$AI$114)</f>
        <v>#</v>
      </c>
      <c r="AO194" s="378" t="str">
        <f>_xll.BLUEMATRIX2("/servlet/excelData",I194,$B$1,$B194&amp;":"&amp;I$115&amp;":"&amp;$AI$114)</f>
        <v>#</v>
      </c>
      <c r="AP194" s="378" t="str">
        <f>_xll.BLUEMATRIX2("/servlet/excelData",J194,$B$1,$B194&amp;":"&amp;J$115&amp;":"&amp;$AI$114)</f>
        <v>#</v>
      </c>
      <c r="AQ194" s="378" t="str">
        <f>_xll.BLUEMATRIX2("/servlet/excelData",K194,$B$1,$B194&amp;":"&amp;K$115&amp;":"&amp;$AI$114)</f>
        <v>#</v>
      </c>
      <c r="AR194" s="378" t="str">
        <f>_xll.BLUEMATRIX2("/servlet/excelData",L194,$B$1,$B194&amp;":"&amp;L$115&amp;":"&amp;$AI$114)</f>
        <v>#</v>
      </c>
      <c r="AS194" s="378" t="str">
        <f>_xll.BLUEMATRIX2("/servlet/excelData",M194,$B$1,$B194&amp;":"&amp;M$115&amp;":"&amp;$AI$114)</f>
        <v>#</v>
      </c>
      <c r="AT194" s="378" t="str">
        <f>_xll.BLUEMATRIX2("/servlet/excelData",N194,$B$1,$B194&amp;":"&amp;N$115&amp;":"&amp;$AI$114)</f>
        <v>#</v>
      </c>
      <c r="AU194" s="378" t="str">
        <f>_xll.BLUEMATRIX2("/servlet/excelData",O194,$B$1,$B194&amp;":"&amp;O$115&amp;":"&amp;$AI$114)</f>
        <v>#</v>
      </c>
      <c r="AV194" s="378" t="str">
        <f>_xll.BLUEMATRIX2("/servlet/excelData",P194,$B$1,$B194&amp;":"&amp;P$115&amp;":"&amp;$AI$114)</f>
        <v>#</v>
      </c>
      <c r="AW194" s="378" t="str">
        <f>_xll.BLUEMATRIX2("/servlet/excelData",Q194,$B$1,$B194&amp;":"&amp;Q$115&amp;":"&amp;$AI$114)</f>
        <v>#</v>
      </c>
    </row>
    <row r="195" spans="1:49" ht="12.95" customHeight="1">
      <c r="A195" s="348" t="s">
        <v>736</v>
      </c>
      <c r="B195" s="350" t="s">
        <v>737</v>
      </c>
      <c r="C195" s="402" t="s">
        <v>738</v>
      </c>
      <c r="D195" s="390"/>
      <c r="E195" s="390"/>
      <c r="F195" s="390"/>
      <c r="G195" s="390"/>
      <c r="H195" s="390"/>
      <c r="I195" s="390">
        <f t="shared" ref="I195:Q195" si="33">I188+I189+I190+I191+I192+I193+I194</f>
        <v>2417.7350000000001</v>
      </c>
      <c r="J195" s="390">
        <f t="shared" si="33"/>
        <v>2544.9559999999997</v>
      </c>
      <c r="K195" s="390">
        <f t="shared" si="33"/>
        <v>2591.8469999999998</v>
      </c>
      <c r="L195" s="390">
        <f t="shared" si="33"/>
        <v>2675.9289999999996</v>
      </c>
      <c r="M195" s="390">
        <f t="shared" si="33"/>
        <v>2349.4090000000001</v>
      </c>
      <c r="N195" s="390">
        <f t="shared" si="33"/>
        <v>2114.8567800652049</v>
      </c>
      <c r="O195" s="390">
        <f t="shared" si="33"/>
        <v>2087.5597941969768</v>
      </c>
      <c r="P195" s="390">
        <f t="shared" si="33"/>
        <v>2065.3433681211222</v>
      </c>
      <c r="Q195" s="390">
        <f t="shared" si="33"/>
        <v>2047.6207288245234</v>
      </c>
      <c r="R195" s="390"/>
      <c r="S195" s="390"/>
      <c r="T195" s="390">
        <f t="shared" ref="T195:AH195" si="34">T188+T189+T190+T191+T192+T193+T194</f>
        <v>0</v>
      </c>
      <c r="U195" s="390">
        <f t="shared" si="34"/>
        <v>0</v>
      </c>
      <c r="V195" s="390">
        <f t="shared" si="34"/>
        <v>0</v>
      </c>
      <c r="W195" s="390">
        <f t="shared" si="34"/>
        <v>0</v>
      </c>
      <c r="X195" s="390">
        <f t="shared" si="34"/>
        <v>0</v>
      </c>
      <c r="Y195" s="390">
        <f t="shared" si="34"/>
        <v>0</v>
      </c>
      <c r="Z195" s="390">
        <f t="shared" si="34"/>
        <v>0</v>
      </c>
      <c r="AA195" s="390">
        <f t="shared" si="34"/>
        <v>0</v>
      </c>
      <c r="AB195" s="390">
        <f t="shared" si="34"/>
        <v>0</v>
      </c>
      <c r="AC195" s="390">
        <f t="shared" si="34"/>
        <v>0</v>
      </c>
      <c r="AD195" s="390">
        <f t="shared" si="34"/>
        <v>0</v>
      </c>
      <c r="AE195" s="390">
        <f t="shared" si="34"/>
        <v>0</v>
      </c>
      <c r="AF195" s="390">
        <f t="shared" si="34"/>
        <v>0</v>
      </c>
      <c r="AG195" s="390">
        <f t="shared" si="34"/>
        <v>0</v>
      </c>
      <c r="AH195" s="390">
        <f t="shared" si="34"/>
        <v>0</v>
      </c>
      <c r="AI195" s="385"/>
      <c r="AJ195" s="479"/>
      <c r="AK195" s="378" t="str">
        <f>_xll.BLUEMATRIX2("/servlet/excelData",E195,$B$1,$B195&amp;":"&amp;E$115&amp;":"&amp;$AI$114)</f>
        <v>#</v>
      </c>
      <c r="AL195" s="378" t="str">
        <f>_xll.BLUEMATRIX2("/servlet/excelData",F195,$B$1,$B195&amp;":"&amp;F$115&amp;":"&amp;$AI$114)</f>
        <v>#</v>
      </c>
      <c r="AM195" s="378" t="str">
        <f>_xll.BLUEMATRIX2("/servlet/excelData",G195,$B$1,$B195&amp;":"&amp;G$115&amp;":"&amp;$AI$114)</f>
        <v>#</v>
      </c>
      <c r="AN195" s="378" t="str">
        <f>_xll.BLUEMATRIX2("/servlet/excelData",H195,$B$1,$B195&amp;":"&amp;H$115&amp;":"&amp;$AI$114)</f>
        <v>#</v>
      </c>
      <c r="AO195" s="378" t="str">
        <f>_xll.BLUEMATRIX2("/servlet/excelData",I195,$B$1,$B195&amp;":"&amp;I$115&amp;":"&amp;$AI$114)</f>
        <v>#</v>
      </c>
      <c r="AP195" s="378" t="str">
        <f>_xll.BLUEMATRIX2("/servlet/excelData",J195,$B$1,$B195&amp;":"&amp;J$115&amp;":"&amp;$AI$114)</f>
        <v>#</v>
      </c>
      <c r="AQ195" s="378" t="str">
        <f>_xll.BLUEMATRIX2("/servlet/excelData",K195,$B$1,$B195&amp;":"&amp;K$115&amp;":"&amp;$AI$114)</f>
        <v>#</v>
      </c>
      <c r="AR195" s="378" t="str">
        <f>_xll.BLUEMATRIX2("/servlet/excelData",L195,$B$1,$B195&amp;":"&amp;L$115&amp;":"&amp;$AI$114)</f>
        <v>#</v>
      </c>
      <c r="AS195" s="378" t="str">
        <f>_xll.BLUEMATRIX2("/servlet/excelData",M195,$B$1,$B195&amp;":"&amp;M$115&amp;":"&amp;$AI$114)</f>
        <v>#</v>
      </c>
      <c r="AT195" s="378" t="str">
        <f>_xll.BLUEMATRIX2("/servlet/excelData",N195,$B$1,$B195&amp;":"&amp;N$115&amp;":"&amp;$AI$114)</f>
        <v>#</v>
      </c>
      <c r="AU195" s="378" t="str">
        <f>_xll.BLUEMATRIX2("/servlet/excelData",O195,$B$1,$B195&amp;":"&amp;O$115&amp;":"&amp;$AI$114)</f>
        <v>#</v>
      </c>
      <c r="AV195" s="378" t="str">
        <f>_xll.BLUEMATRIX2("/servlet/excelData",P195,$B$1,$B195&amp;":"&amp;P$115&amp;":"&amp;$AI$114)</f>
        <v>#</v>
      </c>
      <c r="AW195" s="378" t="str">
        <f>_xll.BLUEMATRIX2("/servlet/excelData",Q195,$B$1,$B195&amp;":"&amp;Q$115&amp;":"&amp;$AI$114)</f>
        <v>#</v>
      </c>
    </row>
    <row r="196" spans="1:49" ht="12.95" customHeight="1">
      <c r="A196" s="348" t="s">
        <v>739</v>
      </c>
      <c r="B196" s="350" t="s">
        <v>740</v>
      </c>
      <c r="C196" s="389" t="s">
        <v>741</v>
      </c>
      <c r="D196" s="390"/>
      <c r="E196" s="390"/>
      <c r="F196" s="390"/>
      <c r="G196" s="390"/>
      <c r="H196" s="390"/>
      <c r="I196" s="390">
        <f t="shared" ref="I196:Q196" si="35">I183+I184</f>
        <v>33.353999999999999</v>
      </c>
      <c r="J196" s="390">
        <f t="shared" si="35"/>
        <v>59.414999999999999</v>
      </c>
      <c r="K196" s="390">
        <f t="shared" si="35"/>
        <v>95.253</v>
      </c>
      <c r="L196" s="390">
        <f t="shared" si="35"/>
        <v>32.091000000000001</v>
      </c>
      <c r="M196" s="390">
        <f t="shared" si="35"/>
        <v>38.015000000000001</v>
      </c>
      <c r="N196" s="390">
        <f t="shared" si="35"/>
        <v>39.090486571200152</v>
      </c>
      <c r="O196" s="390">
        <f t="shared" si="35"/>
        <v>39.513075172643418</v>
      </c>
      <c r="P196" s="390">
        <f t="shared" si="35"/>
        <v>41.170560398431086</v>
      </c>
      <c r="Q196" s="390">
        <f t="shared" si="35"/>
        <v>42.840316397938054</v>
      </c>
      <c r="R196" s="390"/>
      <c r="S196" s="390"/>
      <c r="T196" s="390">
        <f t="shared" ref="T196:AH196" si="36">T183+T184</f>
        <v>0</v>
      </c>
      <c r="U196" s="390">
        <f t="shared" si="36"/>
        <v>0</v>
      </c>
      <c r="V196" s="390">
        <f t="shared" si="36"/>
        <v>0</v>
      </c>
      <c r="W196" s="390">
        <f t="shared" si="36"/>
        <v>0</v>
      </c>
      <c r="X196" s="390">
        <f t="shared" si="36"/>
        <v>0</v>
      </c>
      <c r="Y196" s="390">
        <f t="shared" si="36"/>
        <v>0</v>
      </c>
      <c r="Z196" s="390">
        <f t="shared" si="36"/>
        <v>0</v>
      </c>
      <c r="AA196" s="390">
        <f t="shared" si="36"/>
        <v>0</v>
      </c>
      <c r="AB196" s="390">
        <f t="shared" si="36"/>
        <v>0</v>
      </c>
      <c r="AC196" s="390">
        <f t="shared" si="36"/>
        <v>0</v>
      </c>
      <c r="AD196" s="390">
        <f t="shared" si="36"/>
        <v>0</v>
      </c>
      <c r="AE196" s="390">
        <f t="shared" si="36"/>
        <v>0</v>
      </c>
      <c r="AF196" s="390">
        <f t="shared" si="36"/>
        <v>0</v>
      </c>
      <c r="AG196" s="390">
        <f t="shared" si="36"/>
        <v>0</v>
      </c>
      <c r="AH196" s="390">
        <f t="shared" si="36"/>
        <v>0</v>
      </c>
      <c r="AI196" s="322"/>
      <c r="AJ196" s="479"/>
      <c r="AK196" s="378" t="str">
        <f>_xll.BLUEMATRIX2("/servlet/excelData",E196,$B$1,$B196&amp;":"&amp;E$115&amp;":"&amp;$AI$114)</f>
        <v>#</v>
      </c>
      <c r="AL196" s="378" t="str">
        <f>_xll.BLUEMATRIX2("/servlet/excelData",F196,$B$1,$B196&amp;":"&amp;F$115&amp;":"&amp;$AI$114)</f>
        <v>#</v>
      </c>
      <c r="AM196" s="378" t="str">
        <f>_xll.BLUEMATRIX2("/servlet/excelData",G196,$B$1,$B196&amp;":"&amp;G$115&amp;":"&amp;$AI$114)</f>
        <v>#</v>
      </c>
      <c r="AN196" s="378" t="str">
        <f>_xll.BLUEMATRIX2("/servlet/excelData",H196,$B$1,$B196&amp;":"&amp;H$115&amp;":"&amp;$AI$114)</f>
        <v>#</v>
      </c>
      <c r="AO196" s="378" t="str">
        <f>_xll.BLUEMATRIX2("/servlet/excelData",I196,$B$1,$B196&amp;":"&amp;I$115&amp;":"&amp;$AI$114)</f>
        <v>#</v>
      </c>
      <c r="AP196" s="378" t="str">
        <f>_xll.BLUEMATRIX2("/servlet/excelData",J196,$B$1,$B196&amp;":"&amp;J$115&amp;":"&amp;$AI$114)</f>
        <v>#</v>
      </c>
      <c r="AQ196" s="378" t="str">
        <f>_xll.BLUEMATRIX2("/servlet/excelData",K196,$B$1,$B196&amp;":"&amp;K$115&amp;":"&amp;$AI$114)</f>
        <v>#</v>
      </c>
      <c r="AR196" s="378" t="str">
        <f>_xll.BLUEMATRIX2("/servlet/excelData",L196,$B$1,$B196&amp;":"&amp;L$115&amp;":"&amp;$AI$114)</f>
        <v>#</v>
      </c>
      <c r="AS196" s="378" t="str">
        <f>_xll.BLUEMATRIX2("/servlet/excelData",M196,$B$1,$B196&amp;":"&amp;M$115&amp;":"&amp;$AI$114)</f>
        <v>#</v>
      </c>
      <c r="AT196" s="378" t="str">
        <f>_xll.BLUEMATRIX2("/servlet/excelData",N196,$B$1,$B196&amp;":"&amp;N$115&amp;":"&amp;$AI$114)</f>
        <v>#</v>
      </c>
      <c r="AU196" s="378" t="str">
        <f>_xll.BLUEMATRIX2("/servlet/excelData",O196,$B$1,$B196&amp;":"&amp;O$115&amp;":"&amp;$AI$114)</f>
        <v>#</v>
      </c>
      <c r="AV196" s="378" t="str">
        <f>_xll.BLUEMATRIX2("/servlet/excelData",P196,$B$1,$B196&amp;":"&amp;P$115&amp;":"&amp;$AI$114)</f>
        <v>#</v>
      </c>
      <c r="AW196" s="378" t="str">
        <f>_xll.BLUEMATRIX2("/servlet/excelData",Q196,$B$1,$B196&amp;":"&amp;Q$115&amp;":"&amp;$AI$114)</f>
        <v>#</v>
      </c>
    </row>
    <row r="197" spans="1:49" ht="12.95" customHeight="1">
      <c r="A197" s="348" t="s">
        <v>742</v>
      </c>
      <c r="B197" s="350" t="s">
        <v>743</v>
      </c>
      <c r="C197" s="391" t="s">
        <v>744</v>
      </c>
      <c r="D197" s="392"/>
      <c r="E197" s="392"/>
      <c r="F197" s="392"/>
      <c r="G197" s="392"/>
      <c r="H197" s="392"/>
      <c r="I197" s="392">
        <f t="shared" ref="I197:Q197" si="37">I187+I195</f>
        <v>2743.7020000000002</v>
      </c>
      <c r="J197" s="392">
        <f t="shared" si="37"/>
        <v>2863.4979999999996</v>
      </c>
      <c r="K197" s="392">
        <f t="shared" si="37"/>
        <v>2781.0359999999996</v>
      </c>
      <c r="L197" s="392">
        <f t="shared" si="37"/>
        <v>2759.6839999999997</v>
      </c>
      <c r="M197" s="392">
        <f t="shared" si="37"/>
        <v>2604.998</v>
      </c>
      <c r="N197" s="392">
        <f t="shared" si="37"/>
        <v>2306.194429083982</v>
      </c>
      <c r="O197" s="392">
        <f t="shared" si="37"/>
        <v>2342.2524727646805</v>
      </c>
      <c r="P197" s="392">
        <f t="shared" si="37"/>
        <v>2414.1805997328615</v>
      </c>
      <c r="Q197" s="392">
        <f t="shared" si="37"/>
        <v>2504.5333445984074</v>
      </c>
      <c r="R197" s="392"/>
      <c r="S197" s="392"/>
      <c r="T197" s="392">
        <f t="shared" ref="T197:AH197" si="38">T187+T195</f>
        <v>0</v>
      </c>
      <c r="U197" s="392">
        <f t="shared" si="38"/>
        <v>0</v>
      </c>
      <c r="V197" s="392">
        <f t="shared" si="38"/>
        <v>0</v>
      </c>
      <c r="W197" s="392">
        <f t="shared" si="38"/>
        <v>0</v>
      </c>
      <c r="X197" s="392">
        <f t="shared" si="38"/>
        <v>0</v>
      </c>
      <c r="Y197" s="392">
        <f t="shared" si="38"/>
        <v>0</v>
      </c>
      <c r="Z197" s="392">
        <f t="shared" si="38"/>
        <v>0</v>
      </c>
      <c r="AA197" s="392">
        <f t="shared" si="38"/>
        <v>0</v>
      </c>
      <c r="AB197" s="392">
        <f t="shared" si="38"/>
        <v>0</v>
      </c>
      <c r="AC197" s="392">
        <f t="shared" si="38"/>
        <v>0</v>
      </c>
      <c r="AD197" s="392">
        <f t="shared" si="38"/>
        <v>0</v>
      </c>
      <c r="AE197" s="392">
        <f t="shared" si="38"/>
        <v>0</v>
      </c>
      <c r="AF197" s="392">
        <f t="shared" si="38"/>
        <v>0</v>
      </c>
      <c r="AG197" s="392">
        <f t="shared" si="38"/>
        <v>0</v>
      </c>
      <c r="AH197" s="392">
        <f t="shared" si="38"/>
        <v>0</v>
      </c>
      <c r="AI197" s="322"/>
      <c r="AJ197" s="479"/>
      <c r="AK197" s="378" t="str">
        <f>_xll.BLUEMATRIX2("/servlet/excelData",E197,$B$1,$B197&amp;":"&amp;E$115&amp;":"&amp;$AI$114)</f>
        <v>#</v>
      </c>
      <c r="AL197" s="378" t="str">
        <f>_xll.BLUEMATRIX2("/servlet/excelData",F197,$B$1,$B197&amp;":"&amp;F$115&amp;":"&amp;$AI$114)</f>
        <v>#</v>
      </c>
      <c r="AM197" s="378" t="str">
        <f>_xll.BLUEMATRIX2("/servlet/excelData",G197,$B$1,$B197&amp;":"&amp;G$115&amp;":"&amp;$AI$114)</f>
        <v>#</v>
      </c>
      <c r="AN197" s="378" t="str">
        <f>_xll.BLUEMATRIX2("/servlet/excelData",H197,$B$1,$B197&amp;":"&amp;H$115&amp;":"&amp;$AI$114)</f>
        <v>#</v>
      </c>
      <c r="AO197" s="378" t="str">
        <f>_xll.BLUEMATRIX2("/servlet/excelData",I197,$B$1,$B197&amp;":"&amp;I$115&amp;":"&amp;$AI$114)</f>
        <v>#</v>
      </c>
      <c r="AP197" s="378" t="str">
        <f>_xll.BLUEMATRIX2("/servlet/excelData",J197,$B$1,$B197&amp;":"&amp;J$115&amp;":"&amp;$AI$114)</f>
        <v>#</v>
      </c>
      <c r="AQ197" s="378" t="str">
        <f>_xll.BLUEMATRIX2("/servlet/excelData",K197,$B$1,$B197&amp;":"&amp;K$115&amp;":"&amp;$AI$114)</f>
        <v>#</v>
      </c>
      <c r="AR197" s="378" t="str">
        <f>_xll.BLUEMATRIX2("/servlet/excelData",L197,$B$1,$B197&amp;":"&amp;L$115&amp;":"&amp;$AI$114)</f>
        <v>#</v>
      </c>
      <c r="AS197" s="378" t="str">
        <f>_xll.BLUEMATRIX2("/servlet/excelData",M197,$B$1,$B197&amp;":"&amp;M$115&amp;":"&amp;$AI$114)</f>
        <v>#</v>
      </c>
      <c r="AT197" s="378" t="str">
        <f>_xll.BLUEMATRIX2("/servlet/excelData",N197,$B$1,$B197&amp;":"&amp;N$115&amp;":"&amp;$AI$114)</f>
        <v>#</v>
      </c>
      <c r="AU197" s="378" t="str">
        <f>_xll.BLUEMATRIX2("/servlet/excelData",O197,$B$1,$B197&amp;":"&amp;O$115&amp;":"&amp;$AI$114)</f>
        <v>#</v>
      </c>
      <c r="AV197" s="378" t="str">
        <f>_xll.BLUEMATRIX2("/servlet/excelData",P197,$B$1,$B197&amp;":"&amp;P$115&amp;":"&amp;$AI$114)</f>
        <v>#</v>
      </c>
      <c r="AW197" s="378" t="str">
        <f>_xll.BLUEMATRIX2("/servlet/excelData",Q197,$B$1,$B197&amp;":"&amp;Q$115&amp;":"&amp;$AI$114)</f>
        <v>#</v>
      </c>
    </row>
    <row r="198" spans="1:49" ht="12.95" customHeight="1">
      <c r="A198" s="348"/>
      <c r="B198" s="350"/>
      <c r="C198" s="483" t="s">
        <v>745</v>
      </c>
      <c r="D198" s="484"/>
      <c r="E198" s="484"/>
      <c r="F198" s="485"/>
      <c r="G198" s="485"/>
      <c r="H198" s="485"/>
      <c r="I198" s="485">
        <f>ROUND(FY!G125-I197,2)</f>
        <v>0</v>
      </c>
      <c r="J198" s="485">
        <f>ROUND(FY!H125-J197,2)</f>
        <v>0</v>
      </c>
      <c r="K198" s="485">
        <f>ROUND(FY!I125-K197,2)</f>
        <v>0</v>
      </c>
      <c r="L198" s="485">
        <f>ROUND(FY!J125-L197,2)</f>
        <v>0</v>
      </c>
      <c r="M198" s="485">
        <f>ROUND(FY!K125-M197,2)</f>
        <v>0</v>
      </c>
      <c r="N198" s="485">
        <f>ROUND(FY!L125-N197,2)</f>
        <v>0</v>
      </c>
      <c r="O198" s="485">
        <f>ROUND(FY!M125-O197,2)</f>
        <v>0</v>
      </c>
      <c r="P198" s="485">
        <f>ROUND(FY!N125-P197,2)</f>
        <v>0</v>
      </c>
      <c r="Q198" s="485">
        <f>ROUND(FY!O125-Q197,2)</f>
        <v>0</v>
      </c>
      <c r="R198" s="404"/>
      <c r="S198" s="397"/>
      <c r="T198" s="397"/>
      <c r="U198" s="397"/>
      <c r="V198" s="397"/>
      <c r="W198" s="397"/>
      <c r="X198" s="397"/>
      <c r="Y198" s="397"/>
      <c r="Z198" s="397"/>
      <c r="AA198" s="397"/>
      <c r="AB198" s="397"/>
      <c r="AC198" s="397"/>
      <c r="AD198" s="397"/>
      <c r="AE198" s="397"/>
      <c r="AF198" s="397"/>
      <c r="AG198" s="397"/>
      <c r="AH198" s="397"/>
      <c r="AI198" s="385"/>
      <c r="AJ198" s="479"/>
      <c r="AK198" s="378"/>
      <c r="AL198" s="378"/>
      <c r="AM198" s="378"/>
      <c r="AN198" s="378"/>
      <c r="AO198" s="378"/>
      <c r="AP198" s="378"/>
      <c r="AQ198" s="378"/>
      <c r="AR198" s="378"/>
      <c r="AS198" s="378"/>
      <c r="AT198" s="378"/>
      <c r="AU198" s="378"/>
      <c r="AV198" s="378"/>
      <c r="AW198" s="378"/>
    </row>
    <row r="199" spans="1:49" ht="12.95" customHeight="1">
      <c r="A199" s="348"/>
      <c r="B199" s="350"/>
      <c r="C199" s="403"/>
      <c r="D199" s="404"/>
      <c r="E199" s="404"/>
      <c r="F199" s="404"/>
      <c r="G199" s="404"/>
      <c r="H199" s="404"/>
      <c r="I199" s="404"/>
      <c r="J199" s="404"/>
      <c r="K199" s="404"/>
      <c r="L199" s="404"/>
      <c r="M199" s="404"/>
      <c r="N199" s="404"/>
      <c r="O199" s="404"/>
      <c r="P199" s="404"/>
      <c r="Q199" s="404"/>
      <c r="R199" s="404"/>
      <c r="S199" s="397"/>
      <c r="T199" s="397"/>
      <c r="U199" s="397"/>
      <c r="V199" s="397"/>
      <c r="W199" s="397"/>
      <c r="X199" s="397"/>
      <c r="Y199" s="397"/>
      <c r="Z199" s="397"/>
      <c r="AA199" s="397"/>
      <c r="AB199" s="397"/>
      <c r="AC199" s="397"/>
      <c r="AD199" s="397"/>
      <c r="AE199" s="397"/>
      <c r="AF199" s="397"/>
      <c r="AG199" s="397"/>
      <c r="AH199" s="397"/>
      <c r="AI199" s="385"/>
      <c r="AJ199" s="479"/>
      <c r="AK199" s="378"/>
      <c r="AL199" s="378"/>
      <c r="AM199" s="378"/>
      <c r="AN199" s="378"/>
      <c r="AO199" s="378"/>
      <c r="AP199" s="378"/>
      <c r="AQ199" s="378"/>
      <c r="AR199" s="378"/>
      <c r="AS199" s="378"/>
      <c r="AT199" s="378"/>
      <c r="AU199" s="378"/>
      <c r="AV199" s="378"/>
      <c r="AW199" s="378"/>
    </row>
    <row r="200" spans="1:49" ht="12.95" customHeight="1">
      <c r="A200" s="348"/>
      <c r="B200" s="350"/>
      <c r="C200" s="403"/>
      <c r="D200" s="404"/>
      <c r="E200" s="404"/>
      <c r="F200" s="404"/>
      <c r="G200" s="404"/>
      <c r="H200" s="404"/>
      <c r="I200" s="404"/>
      <c r="J200" s="404"/>
      <c r="K200" s="404"/>
      <c r="L200" s="404"/>
      <c r="M200" s="404"/>
      <c r="N200" s="404"/>
      <c r="O200" s="404"/>
      <c r="P200" s="404"/>
      <c r="Q200" s="404"/>
      <c r="R200" s="404"/>
      <c r="S200" s="397"/>
      <c r="T200" s="397"/>
      <c r="U200" s="397"/>
      <c r="V200" s="397"/>
      <c r="W200" s="397"/>
      <c r="X200" s="397"/>
      <c r="Y200" s="397"/>
      <c r="Z200" s="397"/>
      <c r="AA200" s="397"/>
      <c r="AB200" s="397"/>
      <c r="AC200" s="397"/>
      <c r="AD200" s="397"/>
      <c r="AE200" s="397"/>
      <c r="AF200" s="397"/>
      <c r="AG200" s="397"/>
      <c r="AH200" s="397"/>
      <c r="AI200" s="385"/>
      <c r="AJ200" s="479"/>
      <c r="AK200" s="378"/>
      <c r="AL200" s="378"/>
      <c r="AM200" s="378"/>
      <c r="AN200" s="378"/>
      <c r="AO200" s="378"/>
      <c r="AP200" s="378"/>
      <c r="AQ200" s="378"/>
      <c r="AR200" s="378"/>
      <c r="AS200" s="378"/>
      <c r="AT200" s="378"/>
      <c r="AU200" s="378"/>
      <c r="AV200" s="378"/>
      <c r="AW200" s="378"/>
    </row>
    <row r="201" spans="1:49" ht="12.95" customHeight="1">
      <c r="A201" s="348"/>
      <c r="B201" s="350"/>
      <c r="C201" s="403"/>
      <c r="D201" s="404"/>
      <c r="E201" s="404"/>
      <c r="F201" s="404"/>
      <c r="G201" s="404"/>
      <c r="H201" s="404"/>
      <c r="I201" s="404"/>
      <c r="J201" s="404"/>
      <c r="K201" s="404"/>
      <c r="L201" s="404"/>
      <c r="M201" s="404"/>
      <c r="N201" s="404"/>
      <c r="O201" s="404"/>
      <c r="P201" s="404"/>
      <c r="Q201" s="404"/>
      <c r="R201" s="404"/>
      <c r="S201" s="397"/>
      <c r="T201" s="397"/>
      <c r="U201" s="397"/>
      <c r="V201" s="397"/>
      <c r="W201" s="397"/>
      <c r="X201" s="397"/>
      <c r="Y201" s="397"/>
      <c r="Z201" s="397"/>
      <c r="AA201" s="397"/>
      <c r="AB201" s="397"/>
      <c r="AC201" s="397"/>
      <c r="AD201" s="397"/>
      <c r="AE201" s="397"/>
      <c r="AF201" s="397"/>
      <c r="AG201" s="397"/>
      <c r="AH201" s="397"/>
      <c r="AI201" s="385"/>
      <c r="AJ201" s="479"/>
      <c r="AK201" s="378"/>
      <c r="AL201" s="378"/>
      <c r="AM201" s="378"/>
      <c r="AN201" s="378"/>
      <c r="AO201" s="378"/>
      <c r="AP201" s="378"/>
      <c r="AQ201" s="378"/>
      <c r="AR201" s="378"/>
      <c r="AS201" s="378"/>
      <c r="AT201" s="378"/>
      <c r="AU201" s="378"/>
      <c r="AV201" s="378"/>
      <c r="AW201" s="378"/>
    </row>
    <row r="202" spans="1:49" ht="12.95" customHeight="1">
      <c r="A202" s="368"/>
      <c r="B202" s="350"/>
      <c r="C202" s="398" t="s">
        <v>746</v>
      </c>
      <c r="D202" s="399"/>
      <c r="E202" s="399"/>
      <c r="F202" s="399"/>
      <c r="G202" s="399"/>
      <c r="H202" s="399"/>
      <c r="I202" s="399"/>
      <c r="J202" s="399"/>
      <c r="K202" s="399"/>
      <c r="L202" s="399"/>
      <c r="M202" s="399"/>
      <c r="N202" s="399"/>
      <c r="O202" s="399"/>
      <c r="P202" s="399"/>
      <c r="Q202" s="399"/>
      <c r="R202" s="399"/>
      <c r="S202" s="399"/>
      <c r="T202" s="399"/>
      <c r="U202" s="399"/>
      <c r="V202" s="399"/>
      <c r="W202" s="399"/>
      <c r="X202" s="399"/>
      <c r="Y202" s="399"/>
      <c r="Z202" s="399"/>
      <c r="AA202" s="399"/>
      <c r="AB202" s="399"/>
      <c r="AC202" s="399"/>
      <c r="AD202" s="399"/>
      <c r="AE202" s="399"/>
      <c r="AF202" s="399"/>
      <c r="AG202" s="399"/>
      <c r="AH202" s="399"/>
      <c r="AI202" s="328"/>
      <c r="AJ202" s="479"/>
      <c r="AK202" s="378"/>
      <c r="AL202" s="378"/>
      <c r="AM202" s="378"/>
      <c r="AN202" s="378"/>
      <c r="AO202" s="378"/>
      <c r="AP202" s="378"/>
      <c r="AQ202" s="378"/>
      <c r="AR202" s="378"/>
      <c r="AS202" s="378"/>
      <c r="AT202" s="378"/>
      <c r="AU202" s="378"/>
      <c r="AV202" s="378"/>
      <c r="AW202" s="378"/>
    </row>
    <row r="203" spans="1:49" ht="12.95" customHeight="1">
      <c r="A203" s="348" t="s">
        <v>747</v>
      </c>
      <c r="B203" s="350" t="s">
        <v>748</v>
      </c>
      <c r="C203" s="400" t="s">
        <v>749</v>
      </c>
      <c r="D203" s="384"/>
      <c r="E203" s="384"/>
      <c r="F203" s="384"/>
      <c r="G203" s="384"/>
      <c r="H203" s="384"/>
      <c r="I203" s="384"/>
      <c r="J203" s="384"/>
      <c r="K203" s="384"/>
      <c r="L203" s="384"/>
      <c r="M203" s="384"/>
      <c r="N203" s="384"/>
      <c r="O203" s="384"/>
      <c r="P203" s="384"/>
      <c r="Q203" s="384"/>
      <c r="R203" s="384"/>
      <c r="S203" s="384"/>
      <c r="T203" s="384"/>
      <c r="U203" s="384"/>
      <c r="V203" s="384"/>
      <c r="W203" s="384"/>
      <c r="X203" s="384"/>
      <c r="Y203" s="384"/>
      <c r="Z203" s="384"/>
      <c r="AA203" s="384"/>
      <c r="AB203" s="384"/>
      <c r="AC203" s="384"/>
      <c r="AD203" s="384"/>
      <c r="AE203" s="384"/>
      <c r="AF203" s="384"/>
      <c r="AG203" s="384"/>
      <c r="AH203" s="384"/>
      <c r="AI203" s="322"/>
      <c r="AJ203" s="479"/>
      <c r="AK203" s="378" t="str">
        <f>_xll.BLUEMATRIX2("/servlet/excelData",E203,$B$1,$B203&amp;":"&amp;E$115&amp;":"&amp;$AI$114)</f>
        <v>#</v>
      </c>
      <c r="AL203" s="378" t="str">
        <f>_xll.BLUEMATRIX2("/servlet/excelData",F203,$B$1,$B203&amp;":"&amp;F$115&amp;":"&amp;$AI$114)</f>
        <v>#</v>
      </c>
      <c r="AM203" s="378" t="str">
        <f>_xll.BLUEMATRIX2("/servlet/excelData",G203,$B$1,$B203&amp;":"&amp;G$115&amp;":"&amp;$AI$114)</f>
        <v>#</v>
      </c>
      <c r="AN203" s="378" t="str">
        <f>_xll.BLUEMATRIX2("/servlet/excelData",H203,$B$1,$B203&amp;":"&amp;H$115&amp;":"&amp;$AI$114)</f>
        <v>#</v>
      </c>
      <c r="AO203" s="378" t="str">
        <f>_xll.BLUEMATRIX2("/servlet/excelData",I203,$B$1,$B203&amp;":"&amp;I$115&amp;":"&amp;$AI$114)</f>
        <v>#</v>
      </c>
      <c r="AP203" s="378" t="str">
        <f>_xll.BLUEMATRIX2("/servlet/excelData",J203,$B$1,$B203&amp;":"&amp;J$115&amp;":"&amp;$AI$114)</f>
        <v>#</v>
      </c>
      <c r="AQ203" s="378" t="str">
        <f>_xll.BLUEMATRIX2("/servlet/excelData",K203,$B$1,$B203&amp;":"&amp;K$115&amp;":"&amp;$AI$114)</f>
        <v>#</v>
      </c>
      <c r="AR203" s="378" t="str">
        <f>_xll.BLUEMATRIX2("/servlet/excelData",L203,$B$1,$B203&amp;":"&amp;L$115&amp;":"&amp;$AI$114)</f>
        <v>#</v>
      </c>
      <c r="AS203" s="378" t="str">
        <f>_xll.BLUEMATRIX2("/servlet/excelData",M203,$B$1,$B203&amp;":"&amp;M$115&amp;":"&amp;$AI$114)</f>
        <v>#</v>
      </c>
      <c r="AT203" s="378" t="str">
        <f>_xll.BLUEMATRIX2("/servlet/excelData",N203,$B$1,$B203&amp;":"&amp;N$115&amp;":"&amp;$AI$114)</f>
        <v>#</v>
      </c>
      <c r="AU203" s="378" t="str">
        <f>_xll.BLUEMATRIX2("/servlet/excelData",O203,$B$1,$B203&amp;":"&amp;O$115&amp;":"&amp;$AI$114)</f>
        <v>#</v>
      </c>
      <c r="AV203" s="378" t="str">
        <f>_xll.BLUEMATRIX2("/servlet/excelData",P203,$B$1,$B203&amp;":"&amp;P$115&amp;":"&amp;$AI$114)</f>
        <v>#</v>
      </c>
      <c r="AW203" s="378" t="str">
        <f>_xll.BLUEMATRIX2("/servlet/excelData",Q203,$B$1,$B203&amp;":"&amp;Q$115&amp;":"&amp;$AI$114)</f>
        <v>#</v>
      </c>
    </row>
    <row r="204" spans="1:49" ht="12.95" customHeight="1">
      <c r="A204" s="348" t="s">
        <v>750</v>
      </c>
      <c r="B204" s="350" t="s">
        <v>751</v>
      </c>
      <c r="C204" s="400" t="s">
        <v>752</v>
      </c>
      <c r="D204" s="384"/>
      <c r="E204" s="384"/>
      <c r="F204" s="384"/>
      <c r="G204" s="384"/>
      <c r="H204" s="384"/>
      <c r="I204" s="384">
        <f>FY!G128</f>
        <v>187.19900000000001</v>
      </c>
      <c r="J204" s="384">
        <f>FY!H128</f>
        <v>215.99700000000001</v>
      </c>
      <c r="K204" s="384">
        <f>FY!I128</f>
        <v>226.79599999999999</v>
      </c>
      <c r="L204" s="384">
        <f>FY!J128</f>
        <v>143.82400000000001</v>
      </c>
      <c r="M204" s="384">
        <f>FY!K128</f>
        <v>150.96700000000001</v>
      </c>
      <c r="N204" s="384">
        <f>FY!L128</f>
        <v>153.71310623204423</v>
      </c>
      <c r="O204" s="384">
        <f>FY!M128</f>
        <v>152.00673883670328</v>
      </c>
      <c r="P204" s="384">
        <f>FY!N128</f>
        <v>156.35751025902096</v>
      </c>
      <c r="Q204" s="384">
        <f>FY!O128</f>
        <v>162.67928771759352</v>
      </c>
      <c r="R204" s="384"/>
      <c r="S204" s="384"/>
      <c r="T204" s="384"/>
      <c r="U204" s="384"/>
      <c r="V204" s="384"/>
      <c r="W204" s="384"/>
      <c r="X204" s="384"/>
      <c r="Y204" s="384"/>
      <c r="Z204" s="384"/>
      <c r="AA204" s="384"/>
      <c r="AB204" s="384"/>
      <c r="AC204" s="384"/>
      <c r="AD204" s="384"/>
      <c r="AE204" s="384"/>
      <c r="AF204" s="384"/>
      <c r="AG204" s="384"/>
      <c r="AH204" s="384"/>
      <c r="AI204" s="322"/>
      <c r="AJ204" s="479"/>
      <c r="AK204" s="378" t="str">
        <f>_xll.BLUEMATRIX2("/servlet/excelData",E204,$B$1,$B204&amp;":"&amp;E$115&amp;":"&amp;$AI$114)</f>
        <v>#</v>
      </c>
      <c r="AL204" s="378" t="str">
        <f>_xll.BLUEMATRIX2("/servlet/excelData",F204,$B$1,$B204&amp;":"&amp;F$115&amp;":"&amp;$AI$114)</f>
        <v>#</v>
      </c>
      <c r="AM204" s="378" t="str">
        <f>_xll.BLUEMATRIX2("/servlet/excelData",G204,$B$1,$B204&amp;":"&amp;G$115&amp;":"&amp;$AI$114)</f>
        <v>#</v>
      </c>
      <c r="AN204" s="378" t="str">
        <f>_xll.BLUEMATRIX2("/servlet/excelData",H204,$B$1,$B204&amp;":"&amp;H$115&amp;":"&amp;$AI$114)</f>
        <v>#</v>
      </c>
      <c r="AO204" s="378" t="str">
        <f>_xll.BLUEMATRIX2("/servlet/excelData",I204,$B$1,$B204&amp;":"&amp;I$115&amp;":"&amp;$AI$114)</f>
        <v>#</v>
      </c>
      <c r="AP204" s="378" t="str">
        <f>_xll.BLUEMATRIX2("/servlet/excelData",J204,$B$1,$B204&amp;":"&amp;J$115&amp;":"&amp;$AI$114)</f>
        <v>#</v>
      </c>
      <c r="AQ204" s="378" t="str">
        <f>_xll.BLUEMATRIX2("/servlet/excelData",K204,$B$1,$B204&amp;":"&amp;K$115&amp;":"&amp;$AI$114)</f>
        <v>#</v>
      </c>
      <c r="AR204" s="378" t="str">
        <f>_xll.BLUEMATRIX2("/servlet/excelData",L204,$B$1,$B204&amp;":"&amp;L$115&amp;":"&amp;$AI$114)</f>
        <v>#</v>
      </c>
      <c r="AS204" s="378" t="str">
        <f>_xll.BLUEMATRIX2("/servlet/excelData",M204,$B$1,$B204&amp;":"&amp;M$115&amp;":"&amp;$AI$114)</f>
        <v>#</v>
      </c>
      <c r="AT204" s="378" t="str">
        <f>_xll.BLUEMATRIX2("/servlet/excelData",N204,$B$1,$B204&amp;":"&amp;N$115&amp;":"&amp;$AI$114)</f>
        <v>#</v>
      </c>
      <c r="AU204" s="378" t="str">
        <f>_xll.BLUEMATRIX2("/servlet/excelData",O204,$B$1,$B204&amp;":"&amp;O$115&amp;":"&amp;$AI$114)</f>
        <v>#</v>
      </c>
      <c r="AV204" s="378" t="str">
        <f>_xll.BLUEMATRIX2("/servlet/excelData",P204,$B$1,$B204&amp;":"&amp;P$115&amp;":"&amp;$AI$114)</f>
        <v>#</v>
      </c>
      <c r="AW204" s="378" t="str">
        <f>_xll.BLUEMATRIX2("/servlet/excelData",Q204,$B$1,$B204&amp;":"&amp;Q$115&amp;":"&amp;$AI$114)</f>
        <v>#</v>
      </c>
    </row>
    <row r="205" spans="1:49" ht="12.95" customHeight="1">
      <c r="A205" s="348" t="s">
        <v>753</v>
      </c>
      <c r="B205" s="350" t="s">
        <v>754</v>
      </c>
      <c r="C205" s="400" t="s">
        <v>319</v>
      </c>
      <c r="D205" s="384"/>
      <c r="E205" s="384"/>
      <c r="F205" s="384"/>
      <c r="G205" s="384"/>
      <c r="H205" s="384"/>
      <c r="I205" s="384">
        <f>FY!G131</f>
        <v>78</v>
      </c>
      <c r="J205" s="384">
        <f>FY!H131</f>
        <v>45.814</v>
      </c>
      <c r="K205" s="384">
        <f>FY!I131</f>
        <v>241.11600000000001</v>
      </c>
      <c r="L205" s="384">
        <f>FY!J131</f>
        <v>0</v>
      </c>
      <c r="M205" s="384">
        <f>FY!K131</f>
        <v>175</v>
      </c>
      <c r="N205" s="384">
        <f>FY!L131</f>
        <v>0</v>
      </c>
      <c r="O205" s="384">
        <f>FY!M131</f>
        <v>0</v>
      </c>
      <c r="P205" s="384">
        <f>FY!N131</f>
        <v>0</v>
      </c>
      <c r="Q205" s="384">
        <f>FY!O131</f>
        <v>0</v>
      </c>
      <c r="R205" s="384"/>
      <c r="S205" s="384"/>
      <c r="T205" s="384"/>
      <c r="U205" s="384"/>
      <c r="V205" s="384"/>
      <c r="W205" s="384"/>
      <c r="X205" s="384"/>
      <c r="Y205" s="384"/>
      <c r="Z205" s="384"/>
      <c r="AA205" s="384"/>
      <c r="AB205" s="384"/>
      <c r="AC205" s="384"/>
      <c r="AD205" s="384"/>
      <c r="AE205" s="384"/>
      <c r="AF205" s="384"/>
      <c r="AG205" s="384"/>
      <c r="AH205" s="384"/>
      <c r="AI205" s="322"/>
      <c r="AJ205" s="479"/>
      <c r="AK205" s="378" t="str">
        <f>_xll.BLUEMATRIX2("/servlet/excelData",E205,$B$1,$B205&amp;":"&amp;E$115&amp;":"&amp;$AI$114)</f>
        <v>#</v>
      </c>
      <c r="AL205" s="378" t="str">
        <f>_xll.BLUEMATRIX2("/servlet/excelData",F205,$B$1,$B205&amp;":"&amp;F$115&amp;":"&amp;$AI$114)</f>
        <v>#</v>
      </c>
      <c r="AM205" s="378" t="str">
        <f>_xll.BLUEMATRIX2("/servlet/excelData",G205,$B$1,$B205&amp;":"&amp;G$115&amp;":"&amp;$AI$114)</f>
        <v>#</v>
      </c>
      <c r="AN205" s="378" t="str">
        <f>_xll.BLUEMATRIX2("/servlet/excelData",H205,$B$1,$B205&amp;":"&amp;H$115&amp;":"&amp;$AI$114)</f>
        <v>#</v>
      </c>
      <c r="AO205" s="378" t="str">
        <f>_xll.BLUEMATRIX2("/servlet/excelData",I205,$B$1,$B205&amp;":"&amp;I$115&amp;":"&amp;$AI$114)</f>
        <v>#</v>
      </c>
      <c r="AP205" s="378" t="str">
        <f>_xll.BLUEMATRIX2("/servlet/excelData",J205,$B$1,$B205&amp;":"&amp;J$115&amp;":"&amp;$AI$114)</f>
        <v>#</v>
      </c>
      <c r="AQ205" s="378" t="str">
        <f>_xll.BLUEMATRIX2("/servlet/excelData",K205,$B$1,$B205&amp;":"&amp;K$115&amp;":"&amp;$AI$114)</f>
        <v>#</v>
      </c>
      <c r="AR205" s="378" t="str">
        <f>_xll.BLUEMATRIX2("/servlet/excelData",L205,$B$1,$B205&amp;":"&amp;L$115&amp;":"&amp;$AI$114)</f>
        <v>#</v>
      </c>
      <c r="AS205" s="378" t="str">
        <f>_xll.BLUEMATRIX2("/servlet/excelData",M205,$B$1,$B205&amp;":"&amp;M$115&amp;":"&amp;$AI$114)</f>
        <v>#</v>
      </c>
      <c r="AT205" s="378" t="str">
        <f>_xll.BLUEMATRIX2("/servlet/excelData",N205,$B$1,$B205&amp;":"&amp;N$115&amp;":"&amp;$AI$114)</f>
        <v>#</v>
      </c>
      <c r="AU205" s="378" t="str">
        <f>_xll.BLUEMATRIX2("/servlet/excelData",O205,$B$1,$B205&amp;":"&amp;O$115&amp;":"&amp;$AI$114)</f>
        <v>#</v>
      </c>
      <c r="AV205" s="378" t="str">
        <f>_xll.BLUEMATRIX2("/servlet/excelData",P205,$B$1,$B205&amp;":"&amp;P$115&amp;":"&amp;$AI$114)</f>
        <v>#</v>
      </c>
      <c r="AW205" s="378" t="str">
        <f>_xll.BLUEMATRIX2("/servlet/excelData",Q205,$B$1,$B205&amp;":"&amp;Q$115&amp;":"&amp;$AI$114)</f>
        <v>#</v>
      </c>
    </row>
    <row r="206" spans="1:49" ht="12.95" customHeight="1">
      <c r="A206" s="348" t="s">
        <v>755</v>
      </c>
      <c r="B206" s="350" t="s">
        <v>756</v>
      </c>
      <c r="C206" s="400" t="s">
        <v>757</v>
      </c>
      <c r="D206" s="384"/>
      <c r="E206" s="384"/>
      <c r="F206" s="384"/>
      <c r="G206" s="384"/>
      <c r="H206" s="384"/>
      <c r="I206" s="384"/>
      <c r="J206" s="384"/>
      <c r="K206" s="384"/>
      <c r="L206" s="384"/>
      <c r="M206" s="384"/>
      <c r="N206" s="384"/>
      <c r="O206" s="384"/>
      <c r="P206" s="384"/>
      <c r="Q206" s="384"/>
      <c r="R206" s="384"/>
      <c r="S206" s="384"/>
      <c r="T206" s="384"/>
      <c r="U206" s="384"/>
      <c r="V206" s="384"/>
      <c r="W206" s="384"/>
      <c r="X206" s="384"/>
      <c r="Y206" s="384"/>
      <c r="Z206" s="384"/>
      <c r="AA206" s="384"/>
      <c r="AB206" s="384"/>
      <c r="AC206" s="384"/>
      <c r="AD206" s="384"/>
      <c r="AE206" s="384"/>
      <c r="AF206" s="384"/>
      <c r="AG206" s="384"/>
      <c r="AH206" s="384"/>
      <c r="AI206" s="322"/>
      <c r="AJ206" s="479"/>
      <c r="AK206" s="378" t="str">
        <f>_xll.BLUEMATRIX2("/servlet/excelData",E206,$B$1,$B206&amp;":"&amp;E$115&amp;":"&amp;$AI$114)</f>
        <v>#</v>
      </c>
      <c r="AL206" s="378" t="str">
        <f>_xll.BLUEMATRIX2("/servlet/excelData",F206,$B$1,$B206&amp;":"&amp;F$115&amp;":"&amp;$AI$114)</f>
        <v>#</v>
      </c>
      <c r="AM206" s="378" t="str">
        <f>_xll.BLUEMATRIX2("/servlet/excelData",G206,$B$1,$B206&amp;":"&amp;G$115&amp;":"&amp;$AI$114)</f>
        <v>#</v>
      </c>
      <c r="AN206" s="378" t="str">
        <f>_xll.BLUEMATRIX2("/servlet/excelData",H206,$B$1,$B206&amp;":"&amp;H$115&amp;":"&amp;$AI$114)</f>
        <v>#</v>
      </c>
      <c r="AO206" s="378" t="str">
        <f>_xll.BLUEMATRIX2("/servlet/excelData",I206,$B$1,$B206&amp;":"&amp;I$115&amp;":"&amp;$AI$114)</f>
        <v>#</v>
      </c>
      <c r="AP206" s="378" t="str">
        <f>_xll.BLUEMATRIX2("/servlet/excelData",J206,$B$1,$B206&amp;":"&amp;J$115&amp;":"&amp;$AI$114)</f>
        <v>#</v>
      </c>
      <c r="AQ206" s="378" t="str">
        <f>_xll.BLUEMATRIX2("/servlet/excelData",K206,$B$1,$B206&amp;":"&amp;K$115&amp;":"&amp;$AI$114)</f>
        <v>#</v>
      </c>
      <c r="AR206" s="378" t="str">
        <f>_xll.BLUEMATRIX2("/servlet/excelData",L206,$B$1,$B206&amp;":"&amp;L$115&amp;":"&amp;$AI$114)</f>
        <v>#</v>
      </c>
      <c r="AS206" s="378" t="str">
        <f>_xll.BLUEMATRIX2("/servlet/excelData",M206,$B$1,$B206&amp;":"&amp;M$115&amp;":"&amp;$AI$114)</f>
        <v>#</v>
      </c>
      <c r="AT206" s="378" t="str">
        <f>_xll.BLUEMATRIX2("/servlet/excelData",N206,$B$1,$B206&amp;":"&amp;N$115&amp;":"&amp;$AI$114)</f>
        <v>#</v>
      </c>
      <c r="AU206" s="378" t="str">
        <f>_xll.BLUEMATRIX2("/servlet/excelData",O206,$B$1,$B206&amp;":"&amp;O$115&amp;":"&amp;$AI$114)</f>
        <v>#</v>
      </c>
      <c r="AV206" s="378" t="str">
        <f>_xll.BLUEMATRIX2("/servlet/excelData",P206,$B$1,$B206&amp;":"&amp;P$115&amp;":"&amp;$AI$114)</f>
        <v>#</v>
      </c>
      <c r="AW206" s="378" t="str">
        <f>_xll.BLUEMATRIX2("/servlet/excelData",Q206,$B$1,$B206&amp;":"&amp;Q$115&amp;":"&amp;$AI$114)</f>
        <v>#</v>
      </c>
    </row>
    <row r="207" spans="1:49" ht="12.95" customHeight="1">
      <c r="A207" s="348" t="s">
        <v>758</v>
      </c>
      <c r="B207" s="350" t="s">
        <v>759</v>
      </c>
      <c r="C207" s="400" t="s">
        <v>760</v>
      </c>
      <c r="D207" s="384"/>
      <c r="E207" s="384"/>
      <c r="F207" s="384"/>
      <c r="G207" s="384"/>
      <c r="H207" s="384"/>
      <c r="I207" s="384">
        <f>FY!G129</f>
        <v>9.4E-2</v>
      </c>
      <c r="J207" s="384">
        <f>FY!H129</f>
        <v>42.848999999999997</v>
      </c>
      <c r="K207" s="384">
        <f>FY!I129</f>
        <v>34.707000000000001</v>
      </c>
      <c r="L207" s="384">
        <f>FY!J129</f>
        <v>10.943</v>
      </c>
      <c r="M207" s="384">
        <f>FY!K129</f>
        <v>0</v>
      </c>
      <c r="N207" s="384">
        <f>FY!L129</f>
        <v>0</v>
      </c>
      <c r="O207" s="384">
        <f>FY!M129</f>
        <v>0</v>
      </c>
      <c r="P207" s="384">
        <f>FY!N129</f>
        <v>0</v>
      </c>
      <c r="Q207" s="384">
        <f>FY!O129</f>
        <v>0</v>
      </c>
      <c r="R207" s="384"/>
      <c r="S207" s="384"/>
      <c r="T207" s="384"/>
      <c r="U207" s="384"/>
      <c r="V207" s="384"/>
      <c r="W207" s="384"/>
      <c r="X207" s="384"/>
      <c r="Y207" s="384"/>
      <c r="Z207" s="384"/>
      <c r="AA207" s="384"/>
      <c r="AB207" s="384"/>
      <c r="AC207" s="384"/>
      <c r="AD207" s="384"/>
      <c r="AE207" s="384"/>
      <c r="AF207" s="384"/>
      <c r="AG207" s="384"/>
      <c r="AH207" s="384"/>
      <c r="AI207" s="322"/>
      <c r="AJ207" s="479"/>
      <c r="AK207" s="378" t="str">
        <f>_xll.BLUEMATRIX2("/servlet/excelData",E207,$B$1,$B207&amp;":"&amp;E$115&amp;":"&amp;$AI$114)</f>
        <v>#</v>
      </c>
      <c r="AL207" s="378" t="str">
        <f>_xll.BLUEMATRIX2("/servlet/excelData",F207,$B$1,$B207&amp;":"&amp;F$115&amp;":"&amp;$AI$114)</f>
        <v>#</v>
      </c>
      <c r="AM207" s="378" t="str">
        <f>_xll.BLUEMATRIX2("/servlet/excelData",G207,$B$1,$B207&amp;":"&amp;G$115&amp;":"&amp;$AI$114)</f>
        <v>#</v>
      </c>
      <c r="AN207" s="378" t="str">
        <f>_xll.BLUEMATRIX2("/servlet/excelData",H207,$B$1,$B207&amp;":"&amp;H$115&amp;":"&amp;$AI$114)</f>
        <v>#</v>
      </c>
      <c r="AO207" s="378" t="str">
        <f>_xll.BLUEMATRIX2("/servlet/excelData",I207,$B$1,$B207&amp;":"&amp;I$115&amp;":"&amp;$AI$114)</f>
        <v>#</v>
      </c>
      <c r="AP207" s="378" t="str">
        <f>_xll.BLUEMATRIX2("/servlet/excelData",J207,$B$1,$B207&amp;":"&amp;J$115&amp;":"&amp;$AI$114)</f>
        <v>#</v>
      </c>
      <c r="AQ207" s="378" t="str">
        <f>_xll.BLUEMATRIX2("/servlet/excelData",K207,$B$1,$B207&amp;":"&amp;K$115&amp;":"&amp;$AI$114)</f>
        <v>#</v>
      </c>
      <c r="AR207" s="378" t="str">
        <f>_xll.BLUEMATRIX2("/servlet/excelData",L207,$B$1,$B207&amp;":"&amp;L$115&amp;":"&amp;$AI$114)</f>
        <v>#</v>
      </c>
      <c r="AS207" s="378" t="str">
        <f>_xll.BLUEMATRIX2("/servlet/excelData",M207,$B$1,$B207&amp;":"&amp;M$115&amp;":"&amp;$AI$114)</f>
        <v>#</v>
      </c>
      <c r="AT207" s="378" t="str">
        <f>_xll.BLUEMATRIX2("/servlet/excelData",N207,$B$1,$B207&amp;":"&amp;N$115&amp;":"&amp;$AI$114)</f>
        <v>#</v>
      </c>
      <c r="AU207" s="378" t="str">
        <f>_xll.BLUEMATRIX2("/servlet/excelData",O207,$B$1,$B207&amp;":"&amp;O$115&amp;":"&amp;$AI$114)</f>
        <v>#</v>
      </c>
      <c r="AV207" s="378" t="str">
        <f>_xll.BLUEMATRIX2("/servlet/excelData",P207,$B$1,$B207&amp;":"&amp;P$115&amp;":"&amp;$AI$114)</f>
        <v>#</v>
      </c>
      <c r="AW207" s="378" t="str">
        <f>_xll.BLUEMATRIX2("/servlet/excelData",Q207,$B$1,$B207&amp;":"&amp;Q$115&amp;":"&amp;$AI$114)</f>
        <v>#</v>
      </c>
    </row>
    <row r="208" spans="1:49" ht="12.95" customHeight="1">
      <c r="A208" s="348" t="s">
        <v>761</v>
      </c>
      <c r="B208" s="350" t="s">
        <v>762</v>
      </c>
      <c r="C208" s="400" t="s">
        <v>763</v>
      </c>
      <c r="D208" s="405"/>
      <c r="E208" s="384"/>
      <c r="F208" s="384"/>
      <c r="G208" s="384"/>
      <c r="H208" s="384"/>
      <c r="I208" s="384">
        <f>FY!G132+FY!G130</f>
        <v>3.5880000000000001</v>
      </c>
      <c r="J208" s="384">
        <f>FY!H132+FY!H130</f>
        <v>42.877000000000002</v>
      </c>
      <c r="K208" s="384">
        <f>FY!I132+FY!I130</f>
        <v>3.6510000000000002</v>
      </c>
      <c r="L208" s="384">
        <f>FY!J132+FY!J130</f>
        <v>253.76399999999998</v>
      </c>
      <c r="M208" s="384">
        <f>FY!K132+FY!K130</f>
        <v>8.4290000000000003</v>
      </c>
      <c r="N208" s="384">
        <f>FY!L132+FY!L130</f>
        <v>8.4290000000000003</v>
      </c>
      <c r="O208" s="384">
        <f>FY!M132+FY!M130</f>
        <v>8.4290000000000003</v>
      </c>
      <c r="P208" s="384">
        <f>FY!N132+FY!N130</f>
        <v>8.4290000000000003</v>
      </c>
      <c r="Q208" s="384">
        <f>FY!O132+FY!O130</f>
        <v>8.4290000000000003</v>
      </c>
      <c r="R208" s="384"/>
      <c r="S208" s="384"/>
      <c r="T208" s="384"/>
      <c r="U208" s="384"/>
      <c r="V208" s="384"/>
      <c r="W208" s="384"/>
      <c r="X208" s="384"/>
      <c r="Y208" s="384"/>
      <c r="Z208" s="384"/>
      <c r="AA208" s="384"/>
      <c r="AB208" s="384"/>
      <c r="AC208" s="384"/>
      <c r="AD208" s="384"/>
      <c r="AE208" s="384"/>
      <c r="AF208" s="384"/>
      <c r="AG208" s="384"/>
      <c r="AH208" s="384"/>
      <c r="AI208" s="322"/>
      <c r="AJ208" s="479"/>
      <c r="AK208" s="378" t="str">
        <f>_xll.BLUEMATRIX2("/servlet/excelData",E208,$B$1,$B208&amp;":"&amp;E$115&amp;":"&amp;$AI$114)</f>
        <v>#</v>
      </c>
      <c r="AL208" s="378" t="str">
        <f>_xll.BLUEMATRIX2("/servlet/excelData",F208,$B$1,$B208&amp;":"&amp;F$115&amp;":"&amp;$AI$114)</f>
        <v>#</v>
      </c>
      <c r="AM208" s="378" t="str">
        <f>_xll.BLUEMATRIX2("/servlet/excelData",G208,$B$1,$B208&amp;":"&amp;G$115&amp;":"&amp;$AI$114)</f>
        <v>#</v>
      </c>
      <c r="AN208" s="378" t="str">
        <f>_xll.BLUEMATRIX2("/servlet/excelData",H208,$B$1,$B208&amp;":"&amp;H$115&amp;":"&amp;$AI$114)</f>
        <v>#</v>
      </c>
      <c r="AO208" s="378" t="str">
        <f>_xll.BLUEMATRIX2("/servlet/excelData",I208,$B$1,$B208&amp;":"&amp;I$115&amp;":"&amp;$AI$114)</f>
        <v>#</v>
      </c>
      <c r="AP208" s="378" t="str">
        <f>_xll.BLUEMATRIX2("/servlet/excelData",J208,$B$1,$B208&amp;":"&amp;J$115&amp;":"&amp;$AI$114)</f>
        <v>#</v>
      </c>
      <c r="AQ208" s="378" t="str">
        <f>_xll.BLUEMATRIX2("/servlet/excelData",K208,$B$1,$B208&amp;":"&amp;K$115&amp;":"&amp;$AI$114)</f>
        <v>#</v>
      </c>
      <c r="AR208" s="378" t="str">
        <f>_xll.BLUEMATRIX2("/servlet/excelData",L208,$B$1,$B208&amp;":"&amp;L$115&amp;":"&amp;$AI$114)</f>
        <v>#</v>
      </c>
      <c r="AS208" s="378" t="str">
        <f>_xll.BLUEMATRIX2("/servlet/excelData",M208,$B$1,$B208&amp;":"&amp;M$115&amp;":"&amp;$AI$114)</f>
        <v>#</v>
      </c>
      <c r="AT208" s="378" t="str">
        <f>_xll.BLUEMATRIX2("/servlet/excelData",N208,$B$1,$B208&amp;":"&amp;N$115&amp;":"&amp;$AI$114)</f>
        <v>#</v>
      </c>
      <c r="AU208" s="378" t="str">
        <f>_xll.BLUEMATRIX2("/servlet/excelData",O208,$B$1,$B208&amp;":"&amp;O$115&amp;":"&amp;$AI$114)</f>
        <v>#</v>
      </c>
      <c r="AV208" s="378" t="str">
        <f>_xll.BLUEMATRIX2("/servlet/excelData",P208,$B$1,$B208&amp;":"&amp;P$115&amp;":"&amp;$AI$114)</f>
        <v>#</v>
      </c>
      <c r="AW208" s="378" t="str">
        <f>_xll.BLUEMATRIX2("/servlet/excelData",Q208,$B$1,$B208&amp;":"&amp;Q$115&amp;":"&amp;$AI$114)</f>
        <v>#</v>
      </c>
    </row>
    <row r="209" spans="1:49" ht="12.95" customHeight="1">
      <c r="A209" s="348" t="s">
        <v>764</v>
      </c>
      <c r="B209" s="350" t="s">
        <v>765</v>
      </c>
      <c r="C209" s="401" t="s">
        <v>766</v>
      </c>
      <c r="D209" s="387"/>
      <c r="E209" s="387"/>
      <c r="F209" s="387"/>
      <c r="G209" s="387"/>
      <c r="H209" s="387"/>
      <c r="I209" s="387">
        <f t="shared" ref="I209:Q209" si="39">SUM(I203:I208)</f>
        <v>268.88100000000003</v>
      </c>
      <c r="J209" s="387">
        <f t="shared" si="39"/>
        <v>347.53700000000003</v>
      </c>
      <c r="K209" s="387">
        <f t="shared" si="39"/>
        <v>506.27000000000004</v>
      </c>
      <c r="L209" s="387">
        <f t="shared" si="39"/>
        <v>408.53100000000001</v>
      </c>
      <c r="M209" s="387">
        <f t="shared" si="39"/>
        <v>334.39599999999996</v>
      </c>
      <c r="N209" s="387">
        <f t="shared" si="39"/>
        <v>162.14210623204423</v>
      </c>
      <c r="O209" s="387">
        <f t="shared" si="39"/>
        <v>160.43573883670328</v>
      </c>
      <c r="P209" s="387">
        <f t="shared" si="39"/>
        <v>164.78651025902096</v>
      </c>
      <c r="Q209" s="387">
        <f t="shared" si="39"/>
        <v>171.10828771759353</v>
      </c>
      <c r="R209" s="387"/>
      <c r="S209" s="387"/>
      <c r="T209" s="387">
        <f t="shared" ref="T209:AH209" si="40">SUM(T203:T208)</f>
        <v>0</v>
      </c>
      <c r="U209" s="387">
        <f t="shared" si="40"/>
        <v>0</v>
      </c>
      <c r="V209" s="387">
        <f t="shared" si="40"/>
        <v>0</v>
      </c>
      <c r="W209" s="387">
        <f t="shared" si="40"/>
        <v>0</v>
      </c>
      <c r="X209" s="387">
        <f t="shared" si="40"/>
        <v>0</v>
      </c>
      <c r="Y209" s="387">
        <f t="shared" si="40"/>
        <v>0</v>
      </c>
      <c r="Z209" s="387">
        <f t="shared" si="40"/>
        <v>0</v>
      </c>
      <c r="AA209" s="387">
        <f t="shared" si="40"/>
        <v>0</v>
      </c>
      <c r="AB209" s="387">
        <f t="shared" si="40"/>
        <v>0</v>
      </c>
      <c r="AC209" s="387">
        <f t="shared" si="40"/>
        <v>0</v>
      </c>
      <c r="AD209" s="387">
        <f t="shared" si="40"/>
        <v>0</v>
      </c>
      <c r="AE209" s="387">
        <f t="shared" si="40"/>
        <v>0</v>
      </c>
      <c r="AF209" s="387">
        <f t="shared" si="40"/>
        <v>0</v>
      </c>
      <c r="AG209" s="387">
        <f t="shared" si="40"/>
        <v>0</v>
      </c>
      <c r="AH209" s="387">
        <f t="shared" si="40"/>
        <v>0</v>
      </c>
      <c r="AI209" s="322"/>
      <c r="AJ209" s="479"/>
      <c r="AK209" s="378" t="str">
        <f>_xll.BLUEMATRIX2("/servlet/excelData",E209,$B$1,$B209&amp;":"&amp;E$115&amp;":"&amp;$AI$114)</f>
        <v>#</v>
      </c>
      <c r="AL209" s="378" t="str">
        <f>_xll.BLUEMATRIX2("/servlet/excelData",F209,$B$1,$B209&amp;":"&amp;F$115&amp;":"&amp;$AI$114)</f>
        <v>#</v>
      </c>
      <c r="AM209" s="378" t="str">
        <f>_xll.BLUEMATRIX2("/servlet/excelData",G209,$B$1,$B209&amp;":"&amp;G$115&amp;":"&amp;$AI$114)</f>
        <v>#</v>
      </c>
      <c r="AN209" s="378" t="str">
        <f>_xll.BLUEMATRIX2("/servlet/excelData",H209,$B$1,$B209&amp;":"&amp;H$115&amp;":"&amp;$AI$114)</f>
        <v>#</v>
      </c>
      <c r="AO209" s="378" t="str">
        <f>_xll.BLUEMATRIX2("/servlet/excelData",I209,$B$1,$B209&amp;":"&amp;I$115&amp;":"&amp;$AI$114)</f>
        <v>#</v>
      </c>
      <c r="AP209" s="378" t="str">
        <f>_xll.BLUEMATRIX2("/servlet/excelData",J209,$B$1,$B209&amp;":"&amp;J$115&amp;":"&amp;$AI$114)</f>
        <v>#</v>
      </c>
      <c r="AQ209" s="378" t="str">
        <f>_xll.BLUEMATRIX2("/servlet/excelData",K209,$B$1,$B209&amp;":"&amp;K$115&amp;":"&amp;$AI$114)</f>
        <v>#</v>
      </c>
      <c r="AR209" s="378" t="str">
        <f>_xll.BLUEMATRIX2("/servlet/excelData",L209,$B$1,$B209&amp;":"&amp;L$115&amp;":"&amp;$AI$114)</f>
        <v>#</v>
      </c>
      <c r="AS209" s="378" t="str">
        <f>_xll.BLUEMATRIX2("/servlet/excelData",M209,$B$1,$B209&amp;":"&amp;M$115&amp;":"&amp;$AI$114)</f>
        <v>#</v>
      </c>
      <c r="AT209" s="378" t="str">
        <f>_xll.BLUEMATRIX2("/servlet/excelData",N209,$B$1,$B209&amp;":"&amp;N$115&amp;":"&amp;$AI$114)</f>
        <v>#</v>
      </c>
      <c r="AU209" s="378" t="str">
        <f>_xll.BLUEMATRIX2("/servlet/excelData",O209,$B$1,$B209&amp;":"&amp;O$115&amp;":"&amp;$AI$114)</f>
        <v>#</v>
      </c>
      <c r="AV209" s="378" t="str">
        <f>_xll.BLUEMATRIX2("/servlet/excelData",P209,$B$1,$B209&amp;":"&amp;P$115&amp;":"&amp;$AI$114)</f>
        <v>#</v>
      </c>
      <c r="AW209" s="378" t="str">
        <f>_xll.BLUEMATRIX2("/servlet/excelData",Q209,$B$1,$B209&amp;":"&amp;Q$115&amp;":"&amp;$AI$114)</f>
        <v>#</v>
      </c>
    </row>
    <row r="210" spans="1:49" ht="12.95" customHeight="1">
      <c r="A210" s="348" t="s">
        <v>767</v>
      </c>
      <c r="B210" s="350" t="s">
        <v>768</v>
      </c>
      <c r="C210" s="400" t="s">
        <v>323</v>
      </c>
      <c r="D210" s="384"/>
      <c r="E210" s="384"/>
      <c r="F210" s="384"/>
      <c r="G210" s="384"/>
      <c r="H210" s="384"/>
      <c r="I210" s="384">
        <f>FY!G138</f>
        <v>451.37200000000001</v>
      </c>
      <c r="J210" s="384">
        <f>FY!H138</f>
        <v>525.66600000000005</v>
      </c>
      <c r="K210" s="384">
        <f>FY!I138</f>
        <v>368.38099999999997</v>
      </c>
      <c r="L210" s="384">
        <f>FY!J138</f>
        <v>666.48400000000004</v>
      </c>
      <c r="M210" s="384">
        <f>FY!K138</f>
        <v>390.108</v>
      </c>
      <c r="N210" s="384">
        <f>FY!L138</f>
        <v>280.108</v>
      </c>
      <c r="O210" s="384">
        <f>FY!M138</f>
        <v>280.108</v>
      </c>
      <c r="P210" s="384">
        <f>FY!N138</f>
        <v>280.108</v>
      </c>
      <c r="Q210" s="384">
        <f>FY!O138</f>
        <v>280.108</v>
      </c>
      <c r="R210" s="384"/>
      <c r="S210" s="384"/>
      <c r="T210" s="384"/>
      <c r="U210" s="384"/>
      <c r="V210" s="384"/>
      <c r="W210" s="384"/>
      <c r="X210" s="384"/>
      <c r="Y210" s="384"/>
      <c r="Z210" s="384"/>
      <c r="AA210" s="384"/>
      <c r="AB210" s="384"/>
      <c r="AC210" s="384"/>
      <c r="AD210" s="384"/>
      <c r="AE210" s="384"/>
      <c r="AF210" s="384"/>
      <c r="AG210" s="384"/>
      <c r="AH210" s="384"/>
      <c r="AI210" s="322"/>
      <c r="AJ210" s="479"/>
      <c r="AK210" s="378" t="str">
        <f>_xll.BLUEMATRIX2("/servlet/excelData",E210,$B$1,$B210&amp;":"&amp;E$115&amp;":"&amp;$AI$114)</f>
        <v>#</v>
      </c>
      <c r="AL210" s="378" t="str">
        <f>_xll.BLUEMATRIX2("/servlet/excelData",F210,$B$1,$B210&amp;":"&amp;F$115&amp;":"&amp;$AI$114)</f>
        <v>#</v>
      </c>
      <c r="AM210" s="378" t="str">
        <f>_xll.BLUEMATRIX2("/servlet/excelData",G210,$B$1,$B210&amp;":"&amp;G$115&amp;":"&amp;$AI$114)</f>
        <v>#</v>
      </c>
      <c r="AN210" s="378" t="str">
        <f>_xll.BLUEMATRIX2("/servlet/excelData",H210,$B$1,$B210&amp;":"&amp;H$115&amp;":"&amp;$AI$114)</f>
        <v>#</v>
      </c>
      <c r="AO210" s="378" t="str">
        <f>_xll.BLUEMATRIX2("/servlet/excelData",I210,$B$1,$B210&amp;":"&amp;I$115&amp;":"&amp;$AI$114)</f>
        <v>#</v>
      </c>
      <c r="AP210" s="378" t="str">
        <f>_xll.BLUEMATRIX2("/servlet/excelData",J210,$B$1,$B210&amp;":"&amp;J$115&amp;":"&amp;$AI$114)</f>
        <v>#</v>
      </c>
      <c r="AQ210" s="378" t="str">
        <f>_xll.BLUEMATRIX2("/servlet/excelData",K210,$B$1,$B210&amp;":"&amp;K$115&amp;":"&amp;$AI$114)</f>
        <v>#</v>
      </c>
      <c r="AR210" s="378" t="str">
        <f>_xll.BLUEMATRIX2("/servlet/excelData",L210,$B$1,$B210&amp;":"&amp;L$115&amp;":"&amp;$AI$114)</f>
        <v>#</v>
      </c>
      <c r="AS210" s="378" t="str">
        <f>_xll.BLUEMATRIX2("/servlet/excelData",M210,$B$1,$B210&amp;":"&amp;M$115&amp;":"&amp;$AI$114)</f>
        <v>#</v>
      </c>
      <c r="AT210" s="378" t="str">
        <f>_xll.BLUEMATRIX2("/servlet/excelData",N210,$B$1,$B210&amp;":"&amp;N$115&amp;":"&amp;$AI$114)</f>
        <v>#</v>
      </c>
      <c r="AU210" s="378" t="str">
        <f>_xll.BLUEMATRIX2("/servlet/excelData",O210,$B$1,$B210&amp;":"&amp;O$115&amp;":"&amp;$AI$114)</f>
        <v>#</v>
      </c>
      <c r="AV210" s="378" t="str">
        <f>_xll.BLUEMATRIX2("/servlet/excelData",P210,$B$1,$B210&amp;":"&amp;P$115&amp;":"&amp;$AI$114)</f>
        <v>#</v>
      </c>
      <c r="AW210" s="378" t="str">
        <f>_xll.BLUEMATRIX2("/servlet/excelData",Q210,$B$1,$B210&amp;":"&amp;Q$115&amp;":"&amp;$AI$114)</f>
        <v>#</v>
      </c>
    </row>
    <row r="211" spans="1:49" ht="12.95" customHeight="1">
      <c r="A211" s="348" t="s">
        <v>769</v>
      </c>
      <c r="B211" s="350" t="s">
        <v>770</v>
      </c>
      <c r="C211" s="400" t="s">
        <v>771</v>
      </c>
      <c r="D211" s="384"/>
      <c r="E211" s="384"/>
      <c r="F211" s="384"/>
      <c r="G211" s="384"/>
      <c r="H211" s="384"/>
      <c r="I211" s="384"/>
      <c r="J211" s="384"/>
      <c r="K211" s="384"/>
      <c r="L211" s="384"/>
      <c r="M211" s="384"/>
      <c r="N211" s="384"/>
      <c r="O211" s="384"/>
      <c r="P211" s="384"/>
      <c r="Q211" s="384"/>
      <c r="R211" s="384"/>
      <c r="S211" s="384"/>
      <c r="T211" s="384"/>
      <c r="U211" s="384"/>
      <c r="V211" s="384"/>
      <c r="W211" s="384"/>
      <c r="X211" s="384"/>
      <c r="Y211" s="384"/>
      <c r="Z211" s="384"/>
      <c r="AA211" s="384"/>
      <c r="AB211" s="384"/>
      <c r="AC211" s="384"/>
      <c r="AD211" s="384"/>
      <c r="AE211" s="384"/>
      <c r="AF211" s="384"/>
      <c r="AG211" s="384"/>
      <c r="AH211" s="384"/>
      <c r="AI211" s="322"/>
      <c r="AJ211" s="479"/>
      <c r="AK211" s="378" t="str">
        <f>_xll.BLUEMATRIX2("/servlet/excelData",E211,$B$1,$B211&amp;":"&amp;E$115&amp;":"&amp;$AI$114)</f>
        <v>#</v>
      </c>
      <c r="AL211" s="378" t="str">
        <f>_xll.BLUEMATRIX2("/servlet/excelData",F211,$B$1,$B211&amp;":"&amp;F$115&amp;":"&amp;$AI$114)</f>
        <v>#</v>
      </c>
      <c r="AM211" s="378" t="str">
        <f>_xll.BLUEMATRIX2("/servlet/excelData",G211,$B$1,$B211&amp;":"&amp;G$115&amp;":"&amp;$AI$114)</f>
        <v>#</v>
      </c>
      <c r="AN211" s="378" t="str">
        <f>_xll.BLUEMATRIX2("/servlet/excelData",H211,$B$1,$B211&amp;":"&amp;H$115&amp;":"&amp;$AI$114)</f>
        <v>#</v>
      </c>
      <c r="AO211" s="378" t="str">
        <f>_xll.BLUEMATRIX2("/servlet/excelData",I211,$B$1,$B211&amp;":"&amp;I$115&amp;":"&amp;$AI$114)</f>
        <v>#</v>
      </c>
      <c r="AP211" s="378" t="str">
        <f>_xll.BLUEMATRIX2("/servlet/excelData",J211,$B$1,$B211&amp;":"&amp;J$115&amp;":"&amp;$AI$114)</f>
        <v>#</v>
      </c>
      <c r="AQ211" s="378" t="str">
        <f>_xll.BLUEMATRIX2("/servlet/excelData",K211,$B$1,$B211&amp;":"&amp;K$115&amp;":"&amp;$AI$114)</f>
        <v>#</v>
      </c>
      <c r="AR211" s="378" t="str">
        <f>_xll.BLUEMATRIX2("/servlet/excelData",L211,$B$1,$B211&amp;":"&amp;L$115&amp;":"&amp;$AI$114)</f>
        <v>#</v>
      </c>
      <c r="AS211" s="378" t="str">
        <f>_xll.BLUEMATRIX2("/servlet/excelData",M211,$B$1,$B211&amp;":"&amp;M$115&amp;":"&amp;$AI$114)</f>
        <v>#</v>
      </c>
      <c r="AT211" s="378" t="str">
        <f>_xll.BLUEMATRIX2("/servlet/excelData",N211,$B$1,$B211&amp;":"&amp;N$115&amp;":"&amp;$AI$114)</f>
        <v>#</v>
      </c>
      <c r="AU211" s="378" t="str">
        <f>_xll.BLUEMATRIX2("/servlet/excelData",O211,$B$1,$B211&amp;":"&amp;O$115&amp;":"&amp;$AI$114)</f>
        <v>#</v>
      </c>
      <c r="AV211" s="378" t="str">
        <f>_xll.BLUEMATRIX2("/servlet/excelData",P211,$B$1,$B211&amp;":"&amp;P$115&amp;":"&amp;$AI$114)</f>
        <v>#</v>
      </c>
      <c r="AW211" s="378" t="str">
        <f>_xll.BLUEMATRIX2("/servlet/excelData",Q211,$B$1,$B211&amp;":"&amp;Q$115&amp;":"&amp;$AI$114)</f>
        <v>#</v>
      </c>
    </row>
    <row r="212" spans="1:49" ht="12.95" customHeight="1">
      <c r="A212" s="348" t="s">
        <v>772</v>
      </c>
      <c r="B212" s="350" t="s">
        <v>773</v>
      </c>
      <c r="C212" s="400" t="s">
        <v>774</v>
      </c>
      <c r="D212" s="384"/>
      <c r="E212" s="384"/>
      <c r="F212" s="384"/>
      <c r="G212" s="384"/>
      <c r="H212" s="384"/>
      <c r="I212" s="384"/>
      <c r="J212" s="384"/>
      <c r="K212" s="384"/>
      <c r="L212" s="384"/>
      <c r="M212" s="384"/>
      <c r="N212" s="384"/>
      <c r="O212" s="384"/>
      <c r="P212" s="384"/>
      <c r="Q212" s="384"/>
      <c r="R212" s="384"/>
      <c r="S212" s="384"/>
      <c r="T212" s="384"/>
      <c r="U212" s="384"/>
      <c r="V212" s="384"/>
      <c r="W212" s="384"/>
      <c r="X212" s="384"/>
      <c r="Y212" s="384"/>
      <c r="Z212" s="384"/>
      <c r="AA212" s="384"/>
      <c r="AB212" s="384"/>
      <c r="AC212" s="384"/>
      <c r="AD212" s="384"/>
      <c r="AE212" s="384"/>
      <c r="AF212" s="384"/>
      <c r="AG212" s="384"/>
      <c r="AH212" s="384"/>
      <c r="AI212" s="322"/>
      <c r="AJ212" s="479"/>
      <c r="AK212" s="378" t="str">
        <f>_xll.BLUEMATRIX2("/servlet/excelData",E212,$B$1,$B212&amp;":"&amp;E$115&amp;":"&amp;$AI$114)</f>
        <v>#</v>
      </c>
      <c r="AL212" s="378" t="str">
        <f>_xll.BLUEMATRIX2("/servlet/excelData",F212,$B$1,$B212&amp;":"&amp;F$115&amp;":"&amp;$AI$114)</f>
        <v>#</v>
      </c>
      <c r="AM212" s="378" t="str">
        <f>_xll.BLUEMATRIX2("/servlet/excelData",G212,$B$1,$B212&amp;":"&amp;G$115&amp;":"&amp;$AI$114)</f>
        <v>#</v>
      </c>
      <c r="AN212" s="378" t="str">
        <f>_xll.BLUEMATRIX2("/servlet/excelData",H212,$B$1,$B212&amp;":"&amp;H$115&amp;":"&amp;$AI$114)</f>
        <v>#</v>
      </c>
      <c r="AO212" s="378" t="str">
        <f>_xll.BLUEMATRIX2("/servlet/excelData",I212,$B$1,$B212&amp;":"&amp;I$115&amp;":"&amp;$AI$114)</f>
        <v>#</v>
      </c>
      <c r="AP212" s="378" t="str">
        <f>_xll.BLUEMATRIX2("/servlet/excelData",J212,$B$1,$B212&amp;":"&amp;J$115&amp;":"&amp;$AI$114)</f>
        <v>#</v>
      </c>
      <c r="AQ212" s="378" t="str">
        <f>_xll.BLUEMATRIX2("/servlet/excelData",K212,$B$1,$B212&amp;":"&amp;K$115&amp;":"&amp;$AI$114)</f>
        <v>#</v>
      </c>
      <c r="AR212" s="378" t="str">
        <f>_xll.BLUEMATRIX2("/servlet/excelData",L212,$B$1,$B212&amp;":"&amp;L$115&amp;":"&amp;$AI$114)</f>
        <v>#</v>
      </c>
      <c r="AS212" s="378" t="str">
        <f>_xll.BLUEMATRIX2("/servlet/excelData",M212,$B$1,$B212&amp;":"&amp;M$115&amp;":"&amp;$AI$114)</f>
        <v>#</v>
      </c>
      <c r="AT212" s="378" t="str">
        <f>_xll.BLUEMATRIX2("/servlet/excelData",N212,$B$1,$B212&amp;":"&amp;N$115&amp;":"&amp;$AI$114)</f>
        <v>#</v>
      </c>
      <c r="AU212" s="378" t="str">
        <f>_xll.BLUEMATRIX2("/servlet/excelData",O212,$B$1,$B212&amp;":"&amp;O$115&amp;":"&amp;$AI$114)</f>
        <v>#</v>
      </c>
      <c r="AV212" s="378" t="str">
        <f>_xll.BLUEMATRIX2("/servlet/excelData",P212,$B$1,$B212&amp;":"&amp;P$115&amp;":"&amp;$AI$114)</f>
        <v>#</v>
      </c>
      <c r="AW212" s="378" t="str">
        <f>_xll.BLUEMATRIX2("/servlet/excelData",Q212,$B$1,$B212&amp;":"&amp;Q$115&amp;":"&amp;$AI$114)</f>
        <v>#</v>
      </c>
    </row>
    <row r="213" spans="1:49" ht="12.95" customHeight="1">
      <c r="A213" s="348" t="s">
        <v>775</v>
      </c>
      <c r="B213" s="350" t="s">
        <v>776</v>
      </c>
      <c r="C213" s="400" t="s">
        <v>777</v>
      </c>
      <c r="D213" s="384"/>
      <c r="E213" s="384"/>
      <c r="F213" s="384"/>
      <c r="G213" s="384"/>
      <c r="H213" s="384"/>
      <c r="I213" s="384"/>
      <c r="J213" s="384"/>
      <c r="K213" s="384"/>
      <c r="L213" s="384"/>
      <c r="M213" s="384"/>
      <c r="N213" s="384"/>
      <c r="O213" s="384"/>
      <c r="P213" s="384"/>
      <c r="Q213" s="384"/>
      <c r="R213" s="384"/>
      <c r="S213" s="384"/>
      <c r="T213" s="384"/>
      <c r="U213" s="384"/>
      <c r="V213" s="384"/>
      <c r="W213" s="384"/>
      <c r="X213" s="384"/>
      <c r="Y213" s="384"/>
      <c r="Z213" s="384"/>
      <c r="AA213" s="384"/>
      <c r="AB213" s="384"/>
      <c r="AC213" s="384"/>
      <c r="AD213" s="384"/>
      <c r="AE213" s="384"/>
      <c r="AF213" s="384"/>
      <c r="AG213" s="384"/>
      <c r="AH213" s="384"/>
      <c r="AI213" s="322"/>
      <c r="AJ213" s="479"/>
      <c r="AK213" s="378" t="str">
        <f>_xll.BLUEMATRIX2("/servlet/excelData",E213,$B$1,$B213&amp;":"&amp;E$115&amp;":"&amp;$AI$114)</f>
        <v>#</v>
      </c>
      <c r="AL213" s="378" t="str">
        <f>_xll.BLUEMATRIX2("/servlet/excelData",F213,$B$1,$B213&amp;":"&amp;F$115&amp;":"&amp;$AI$114)</f>
        <v>#</v>
      </c>
      <c r="AM213" s="378" t="str">
        <f>_xll.BLUEMATRIX2("/servlet/excelData",G213,$B$1,$B213&amp;":"&amp;G$115&amp;":"&amp;$AI$114)</f>
        <v>#</v>
      </c>
      <c r="AN213" s="378" t="str">
        <f>_xll.BLUEMATRIX2("/servlet/excelData",H213,$B$1,$B213&amp;":"&amp;H$115&amp;":"&amp;$AI$114)</f>
        <v>#</v>
      </c>
      <c r="AO213" s="378" t="str">
        <f>_xll.BLUEMATRIX2("/servlet/excelData",I213,$B$1,$B213&amp;":"&amp;I$115&amp;":"&amp;$AI$114)</f>
        <v>#</v>
      </c>
      <c r="AP213" s="378" t="str">
        <f>_xll.BLUEMATRIX2("/servlet/excelData",J213,$B$1,$B213&amp;":"&amp;J$115&amp;":"&amp;$AI$114)</f>
        <v>#</v>
      </c>
      <c r="AQ213" s="378" t="str">
        <f>_xll.BLUEMATRIX2("/servlet/excelData",K213,$B$1,$B213&amp;":"&amp;K$115&amp;":"&amp;$AI$114)</f>
        <v>#</v>
      </c>
      <c r="AR213" s="378" t="str">
        <f>_xll.BLUEMATRIX2("/servlet/excelData",L213,$B$1,$B213&amp;":"&amp;L$115&amp;":"&amp;$AI$114)</f>
        <v>#</v>
      </c>
      <c r="AS213" s="378" t="str">
        <f>_xll.BLUEMATRIX2("/servlet/excelData",M213,$B$1,$B213&amp;":"&amp;M$115&amp;":"&amp;$AI$114)</f>
        <v>#</v>
      </c>
      <c r="AT213" s="378" t="str">
        <f>_xll.BLUEMATRIX2("/servlet/excelData",N213,$B$1,$B213&amp;":"&amp;N$115&amp;":"&amp;$AI$114)</f>
        <v>#</v>
      </c>
      <c r="AU213" s="378" t="str">
        <f>_xll.BLUEMATRIX2("/servlet/excelData",O213,$B$1,$B213&amp;":"&amp;O$115&amp;":"&amp;$AI$114)</f>
        <v>#</v>
      </c>
      <c r="AV213" s="378" t="str">
        <f>_xll.BLUEMATRIX2("/servlet/excelData",P213,$B$1,$B213&amp;":"&amp;P$115&amp;":"&amp;$AI$114)</f>
        <v>#</v>
      </c>
      <c r="AW213" s="378" t="str">
        <f>_xll.BLUEMATRIX2("/servlet/excelData",Q213,$B$1,$B213&amp;":"&amp;Q$115&amp;":"&amp;$AI$114)</f>
        <v>#</v>
      </c>
    </row>
    <row r="214" spans="1:49" ht="12.95" customHeight="1">
      <c r="A214" s="348" t="s">
        <v>778</v>
      </c>
      <c r="B214" s="350" t="s">
        <v>779</v>
      </c>
      <c r="C214" s="400" t="s">
        <v>780</v>
      </c>
      <c r="D214" s="384"/>
      <c r="E214" s="384"/>
      <c r="F214" s="384"/>
      <c r="G214" s="384"/>
      <c r="H214" s="384"/>
      <c r="I214" s="384">
        <f>FY!G136</f>
        <v>60.591000000000001</v>
      </c>
      <c r="J214" s="384">
        <f>FY!H136</f>
        <v>56.1</v>
      </c>
      <c r="K214" s="384">
        <f>FY!I136</f>
        <v>210.739</v>
      </c>
      <c r="L214" s="384">
        <f>FY!J136</f>
        <v>207.69200000000001</v>
      </c>
      <c r="M214" s="384">
        <f>FY!K136</f>
        <v>170.245</v>
      </c>
      <c r="N214" s="384">
        <f>FY!L136</f>
        <v>170.245</v>
      </c>
      <c r="O214" s="384">
        <f>FY!M136</f>
        <v>170.245</v>
      </c>
      <c r="P214" s="384">
        <f>FY!N136</f>
        <v>170.245</v>
      </c>
      <c r="Q214" s="384">
        <f>FY!O136</f>
        <v>170.245</v>
      </c>
      <c r="R214" s="384"/>
      <c r="S214" s="384"/>
      <c r="T214" s="384"/>
      <c r="U214" s="384"/>
      <c r="V214" s="384"/>
      <c r="W214" s="384"/>
      <c r="X214" s="384"/>
      <c r="Y214" s="384"/>
      <c r="Z214" s="384"/>
      <c r="AA214" s="384"/>
      <c r="AB214" s="384"/>
      <c r="AC214" s="384"/>
      <c r="AD214" s="384"/>
      <c r="AE214" s="384"/>
      <c r="AF214" s="384"/>
      <c r="AG214" s="384"/>
      <c r="AH214" s="384"/>
      <c r="AI214" s="322"/>
      <c r="AJ214" s="479"/>
      <c r="AK214" s="378" t="str">
        <f>_xll.BLUEMATRIX2("/servlet/excelData",E214,$B$1,$B214&amp;":"&amp;E$115&amp;":"&amp;$AI$114)</f>
        <v>#</v>
      </c>
      <c r="AL214" s="378" t="str">
        <f>_xll.BLUEMATRIX2("/servlet/excelData",F214,$B$1,$B214&amp;":"&amp;F$115&amp;":"&amp;$AI$114)</f>
        <v>#</v>
      </c>
      <c r="AM214" s="378" t="str">
        <f>_xll.BLUEMATRIX2("/servlet/excelData",G214,$B$1,$B214&amp;":"&amp;G$115&amp;":"&amp;$AI$114)</f>
        <v>#</v>
      </c>
      <c r="AN214" s="378" t="str">
        <f>_xll.BLUEMATRIX2("/servlet/excelData",H214,$B$1,$B214&amp;":"&amp;H$115&amp;":"&amp;$AI$114)</f>
        <v>#</v>
      </c>
      <c r="AO214" s="378" t="str">
        <f>_xll.BLUEMATRIX2("/servlet/excelData",I214,$B$1,$B214&amp;":"&amp;I$115&amp;":"&amp;$AI$114)</f>
        <v>#</v>
      </c>
      <c r="AP214" s="378" t="str">
        <f>_xll.BLUEMATRIX2("/servlet/excelData",J214,$B$1,$B214&amp;":"&amp;J$115&amp;":"&amp;$AI$114)</f>
        <v>#</v>
      </c>
      <c r="AQ214" s="378" t="str">
        <f>_xll.BLUEMATRIX2("/servlet/excelData",K214,$B$1,$B214&amp;":"&amp;K$115&amp;":"&amp;$AI$114)</f>
        <v>#</v>
      </c>
      <c r="AR214" s="378" t="str">
        <f>_xll.BLUEMATRIX2("/servlet/excelData",L214,$B$1,$B214&amp;":"&amp;L$115&amp;":"&amp;$AI$114)</f>
        <v>#</v>
      </c>
      <c r="AS214" s="378" t="str">
        <f>_xll.BLUEMATRIX2("/servlet/excelData",M214,$B$1,$B214&amp;":"&amp;M$115&amp;":"&amp;$AI$114)</f>
        <v>#</v>
      </c>
      <c r="AT214" s="378" t="str">
        <f>_xll.BLUEMATRIX2("/servlet/excelData",N214,$B$1,$B214&amp;":"&amp;N$115&amp;":"&amp;$AI$114)</f>
        <v>#</v>
      </c>
      <c r="AU214" s="378" t="str">
        <f>_xll.BLUEMATRIX2("/servlet/excelData",O214,$B$1,$B214&amp;":"&amp;O$115&amp;":"&amp;$AI$114)</f>
        <v>#</v>
      </c>
      <c r="AV214" s="378" t="str">
        <f>_xll.BLUEMATRIX2("/servlet/excelData",P214,$B$1,$B214&amp;":"&amp;P$115&amp;":"&amp;$AI$114)</f>
        <v>#</v>
      </c>
      <c r="AW214" s="378" t="str">
        <f>_xll.BLUEMATRIX2("/servlet/excelData",Q214,$B$1,$B214&amp;":"&amp;Q$115&amp;":"&amp;$AI$114)</f>
        <v>#</v>
      </c>
    </row>
    <row r="215" spans="1:49" ht="12.95" customHeight="1">
      <c r="A215" s="348" t="s">
        <v>781</v>
      </c>
      <c r="B215" s="350" t="s">
        <v>782</v>
      </c>
      <c r="C215" s="400" t="s">
        <v>783</v>
      </c>
      <c r="D215" s="384"/>
      <c r="E215" s="384"/>
      <c r="F215" s="384"/>
      <c r="G215" s="384"/>
      <c r="H215" s="384"/>
      <c r="I215" s="384"/>
      <c r="J215" s="384"/>
      <c r="K215" s="384"/>
      <c r="L215" s="384"/>
      <c r="M215" s="384"/>
      <c r="N215" s="384"/>
      <c r="O215" s="384"/>
      <c r="P215" s="384"/>
      <c r="Q215" s="384"/>
      <c r="R215" s="384"/>
      <c r="S215" s="384"/>
      <c r="T215" s="384"/>
      <c r="U215" s="384"/>
      <c r="V215" s="384"/>
      <c r="W215" s="384"/>
      <c r="X215" s="384"/>
      <c r="Y215" s="384"/>
      <c r="Z215" s="384"/>
      <c r="AA215" s="384"/>
      <c r="AB215" s="384"/>
      <c r="AC215" s="384"/>
      <c r="AD215" s="384"/>
      <c r="AE215" s="384"/>
      <c r="AF215" s="384"/>
      <c r="AG215" s="384"/>
      <c r="AH215" s="384"/>
      <c r="AI215" s="322"/>
      <c r="AJ215" s="479"/>
      <c r="AK215" s="378" t="str">
        <f>_xll.BLUEMATRIX2("/servlet/excelData",E215,$B$1,$B215&amp;":"&amp;E$115&amp;":"&amp;$AI$114)</f>
        <v>#</v>
      </c>
      <c r="AL215" s="378" t="str">
        <f>_xll.BLUEMATRIX2("/servlet/excelData",F215,$B$1,$B215&amp;":"&amp;F$115&amp;":"&amp;$AI$114)</f>
        <v>#</v>
      </c>
      <c r="AM215" s="378" t="str">
        <f>_xll.BLUEMATRIX2("/servlet/excelData",G215,$B$1,$B215&amp;":"&amp;G$115&amp;":"&amp;$AI$114)</f>
        <v>#</v>
      </c>
      <c r="AN215" s="378" t="str">
        <f>_xll.BLUEMATRIX2("/servlet/excelData",H215,$B$1,$B215&amp;":"&amp;H$115&amp;":"&amp;$AI$114)</f>
        <v>#</v>
      </c>
      <c r="AO215" s="378" t="str">
        <f>_xll.BLUEMATRIX2("/servlet/excelData",I215,$B$1,$B215&amp;":"&amp;I$115&amp;":"&amp;$AI$114)</f>
        <v>#</v>
      </c>
      <c r="AP215" s="378" t="str">
        <f>_xll.BLUEMATRIX2("/servlet/excelData",J215,$B$1,$B215&amp;":"&amp;J$115&amp;":"&amp;$AI$114)</f>
        <v>#</v>
      </c>
      <c r="AQ215" s="378" t="str">
        <f>_xll.BLUEMATRIX2("/servlet/excelData",K215,$B$1,$B215&amp;":"&amp;K$115&amp;":"&amp;$AI$114)</f>
        <v>#</v>
      </c>
      <c r="AR215" s="378" t="str">
        <f>_xll.BLUEMATRIX2("/servlet/excelData",L215,$B$1,$B215&amp;":"&amp;L$115&amp;":"&amp;$AI$114)</f>
        <v>#</v>
      </c>
      <c r="AS215" s="378" t="str">
        <f>_xll.BLUEMATRIX2("/servlet/excelData",M215,$B$1,$B215&amp;":"&amp;M$115&amp;":"&amp;$AI$114)</f>
        <v>#</v>
      </c>
      <c r="AT215" s="378" t="str">
        <f>_xll.BLUEMATRIX2("/servlet/excelData",N215,$B$1,$B215&amp;":"&amp;N$115&amp;":"&amp;$AI$114)</f>
        <v>#</v>
      </c>
      <c r="AU215" s="378" t="str">
        <f>_xll.BLUEMATRIX2("/servlet/excelData",O215,$B$1,$B215&amp;":"&amp;O$115&amp;":"&amp;$AI$114)</f>
        <v>#</v>
      </c>
      <c r="AV215" s="378" t="str">
        <f>_xll.BLUEMATRIX2("/servlet/excelData",P215,$B$1,$B215&amp;":"&amp;P$115&amp;":"&amp;$AI$114)</f>
        <v>#</v>
      </c>
      <c r="AW215" s="378" t="str">
        <f>_xll.BLUEMATRIX2("/servlet/excelData",Q215,$B$1,$B215&amp;":"&amp;Q$115&amp;":"&amp;$AI$114)</f>
        <v>#</v>
      </c>
    </row>
    <row r="216" spans="1:49" ht="12.95" customHeight="1">
      <c r="A216" s="348" t="s">
        <v>784</v>
      </c>
      <c r="B216" s="350" t="s">
        <v>785</v>
      </c>
      <c r="C216" s="400" t="s">
        <v>786</v>
      </c>
      <c r="D216" s="384"/>
      <c r="E216" s="384"/>
      <c r="F216" s="384"/>
      <c r="G216" s="384"/>
      <c r="H216" s="384"/>
      <c r="I216" s="384">
        <f>FY!G137+FY!G139</f>
        <v>391.58400000000006</v>
      </c>
      <c r="J216" s="384">
        <f>FY!H137+FY!H139</f>
        <v>403.99800000000005</v>
      </c>
      <c r="K216" s="384">
        <f>FY!I137+FY!I139</f>
        <v>391.78499999999997</v>
      </c>
      <c r="L216" s="384">
        <f>FY!J137+FY!J139</f>
        <v>146.553</v>
      </c>
      <c r="M216" s="384">
        <f>FY!K137+FY!K139</f>
        <v>165.215</v>
      </c>
      <c r="N216" s="384">
        <f>FY!L137+FY!L139</f>
        <v>165.215</v>
      </c>
      <c r="O216" s="384">
        <f>FY!M137+FY!M139</f>
        <v>165.215</v>
      </c>
      <c r="P216" s="384">
        <f>FY!N137+FY!N139</f>
        <v>165.215</v>
      </c>
      <c r="Q216" s="384">
        <f>FY!O137+FY!O139</f>
        <v>165.215</v>
      </c>
      <c r="R216" s="384"/>
      <c r="S216" s="384"/>
      <c r="T216" s="384"/>
      <c r="U216" s="384"/>
      <c r="V216" s="384"/>
      <c r="W216" s="384"/>
      <c r="X216" s="384"/>
      <c r="Y216" s="384"/>
      <c r="Z216" s="384"/>
      <c r="AA216" s="384"/>
      <c r="AB216" s="384"/>
      <c r="AC216" s="384"/>
      <c r="AD216" s="384"/>
      <c r="AE216" s="384"/>
      <c r="AF216" s="384"/>
      <c r="AG216" s="384"/>
      <c r="AH216" s="384"/>
      <c r="AI216" s="322"/>
      <c r="AJ216" s="479"/>
      <c r="AK216" s="378" t="str">
        <f>_xll.BLUEMATRIX2("/servlet/excelData",E216,$B$1,$B216&amp;":"&amp;E$115&amp;":"&amp;$AI$114)</f>
        <v>#</v>
      </c>
      <c r="AL216" s="378" t="str">
        <f>_xll.BLUEMATRIX2("/servlet/excelData",F216,$B$1,$B216&amp;":"&amp;F$115&amp;":"&amp;$AI$114)</f>
        <v>#</v>
      </c>
      <c r="AM216" s="378" t="str">
        <f>_xll.BLUEMATRIX2("/servlet/excelData",G216,$B$1,$B216&amp;":"&amp;G$115&amp;":"&amp;$AI$114)</f>
        <v>#</v>
      </c>
      <c r="AN216" s="378" t="str">
        <f>_xll.BLUEMATRIX2("/servlet/excelData",H216,$B$1,$B216&amp;":"&amp;H$115&amp;":"&amp;$AI$114)</f>
        <v>#</v>
      </c>
      <c r="AO216" s="378" t="str">
        <f>_xll.BLUEMATRIX2("/servlet/excelData",I216,$B$1,$B216&amp;":"&amp;I$115&amp;":"&amp;$AI$114)</f>
        <v>#</v>
      </c>
      <c r="AP216" s="378" t="str">
        <f>_xll.BLUEMATRIX2("/servlet/excelData",J216,$B$1,$B216&amp;":"&amp;J$115&amp;":"&amp;$AI$114)</f>
        <v>#</v>
      </c>
      <c r="AQ216" s="378" t="str">
        <f>_xll.BLUEMATRIX2("/servlet/excelData",K216,$B$1,$B216&amp;":"&amp;K$115&amp;":"&amp;$AI$114)</f>
        <v>#</v>
      </c>
      <c r="AR216" s="378" t="str">
        <f>_xll.BLUEMATRIX2("/servlet/excelData",L216,$B$1,$B216&amp;":"&amp;L$115&amp;":"&amp;$AI$114)</f>
        <v>#</v>
      </c>
      <c r="AS216" s="378" t="str">
        <f>_xll.BLUEMATRIX2("/servlet/excelData",M216,$B$1,$B216&amp;":"&amp;M$115&amp;":"&amp;$AI$114)</f>
        <v>#</v>
      </c>
      <c r="AT216" s="378" t="str">
        <f>_xll.BLUEMATRIX2("/servlet/excelData",N216,$B$1,$B216&amp;":"&amp;N$115&amp;":"&amp;$AI$114)</f>
        <v>#</v>
      </c>
      <c r="AU216" s="378" t="str">
        <f>_xll.BLUEMATRIX2("/servlet/excelData",O216,$B$1,$B216&amp;":"&amp;O$115&amp;":"&amp;$AI$114)</f>
        <v>#</v>
      </c>
      <c r="AV216" s="378" t="str">
        <f>_xll.BLUEMATRIX2("/servlet/excelData",P216,$B$1,$B216&amp;":"&amp;P$115&amp;":"&amp;$AI$114)</f>
        <v>#</v>
      </c>
      <c r="AW216" s="378" t="str">
        <f>_xll.BLUEMATRIX2("/servlet/excelData",Q216,$B$1,$B216&amp;":"&amp;Q$115&amp;":"&amp;$AI$114)</f>
        <v>#</v>
      </c>
    </row>
    <row r="217" spans="1:49" ht="12.95" customHeight="1">
      <c r="A217" s="348" t="s">
        <v>787</v>
      </c>
      <c r="B217" s="350" t="s">
        <v>788</v>
      </c>
      <c r="C217" s="406" t="s">
        <v>789</v>
      </c>
      <c r="D217" s="387"/>
      <c r="E217" s="387"/>
      <c r="F217" s="387"/>
      <c r="G217" s="387"/>
      <c r="H217" s="387"/>
      <c r="I217" s="387">
        <f t="shared" ref="I217:Q217" si="41">I210+I211+I212+I213+I214+I215+I216</f>
        <v>903.54700000000003</v>
      </c>
      <c r="J217" s="387">
        <f t="shared" si="41"/>
        <v>985.76400000000012</v>
      </c>
      <c r="K217" s="387">
        <f t="shared" si="41"/>
        <v>970.90499999999997</v>
      </c>
      <c r="L217" s="387">
        <f t="shared" si="41"/>
        <v>1020.729</v>
      </c>
      <c r="M217" s="387">
        <f t="shared" si="41"/>
        <v>725.5680000000001</v>
      </c>
      <c r="N217" s="387">
        <f t="shared" si="41"/>
        <v>615.56799999999998</v>
      </c>
      <c r="O217" s="387">
        <f t="shared" si="41"/>
        <v>615.56799999999998</v>
      </c>
      <c r="P217" s="387">
        <f t="shared" si="41"/>
        <v>615.56799999999998</v>
      </c>
      <c r="Q217" s="387">
        <f t="shared" si="41"/>
        <v>615.56799999999998</v>
      </c>
      <c r="R217" s="387"/>
      <c r="S217" s="387"/>
      <c r="T217" s="387">
        <f t="shared" ref="T217:AH217" si="42">T210+T211+T212+T213+T214+T215+T216</f>
        <v>0</v>
      </c>
      <c r="U217" s="387">
        <f t="shared" si="42"/>
        <v>0</v>
      </c>
      <c r="V217" s="387">
        <f t="shared" si="42"/>
        <v>0</v>
      </c>
      <c r="W217" s="387">
        <f t="shared" si="42"/>
        <v>0</v>
      </c>
      <c r="X217" s="387">
        <f t="shared" si="42"/>
        <v>0</v>
      </c>
      <c r="Y217" s="387">
        <f t="shared" si="42"/>
        <v>0</v>
      </c>
      <c r="Z217" s="387">
        <f t="shared" si="42"/>
        <v>0</v>
      </c>
      <c r="AA217" s="387">
        <f t="shared" si="42"/>
        <v>0</v>
      </c>
      <c r="AB217" s="387">
        <f t="shared" si="42"/>
        <v>0</v>
      </c>
      <c r="AC217" s="387">
        <f t="shared" si="42"/>
        <v>0</v>
      </c>
      <c r="AD217" s="387">
        <f t="shared" si="42"/>
        <v>0</v>
      </c>
      <c r="AE217" s="387">
        <f t="shared" si="42"/>
        <v>0</v>
      </c>
      <c r="AF217" s="387">
        <f t="shared" si="42"/>
        <v>0</v>
      </c>
      <c r="AG217" s="387">
        <f t="shared" si="42"/>
        <v>0</v>
      </c>
      <c r="AH217" s="387">
        <f t="shared" si="42"/>
        <v>0</v>
      </c>
      <c r="AI217" s="322"/>
      <c r="AJ217" s="479"/>
      <c r="AK217" s="378" t="str">
        <f>_xll.BLUEMATRIX2("/servlet/excelData",E217,$B$1,$B217&amp;":"&amp;E$115&amp;":"&amp;$AI$114)</f>
        <v>#</v>
      </c>
      <c r="AL217" s="378" t="str">
        <f>_xll.BLUEMATRIX2("/servlet/excelData",F217,$B$1,$B217&amp;":"&amp;F$115&amp;":"&amp;$AI$114)</f>
        <v>#</v>
      </c>
      <c r="AM217" s="378" t="str">
        <f>_xll.BLUEMATRIX2("/servlet/excelData",G217,$B$1,$B217&amp;":"&amp;G$115&amp;":"&amp;$AI$114)</f>
        <v>#</v>
      </c>
      <c r="AN217" s="378" t="str">
        <f>_xll.BLUEMATRIX2("/servlet/excelData",H217,$B$1,$B217&amp;":"&amp;H$115&amp;":"&amp;$AI$114)</f>
        <v>#</v>
      </c>
      <c r="AO217" s="378" t="str">
        <f>_xll.BLUEMATRIX2("/servlet/excelData",I217,$B$1,$B217&amp;":"&amp;I$115&amp;":"&amp;$AI$114)</f>
        <v>#</v>
      </c>
      <c r="AP217" s="378" t="str">
        <f>_xll.BLUEMATRIX2("/servlet/excelData",J217,$B$1,$B217&amp;":"&amp;J$115&amp;":"&amp;$AI$114)</f>
        <v>#</v>
      </c>
      <c r="AQ217" s="378" t="str">
        <f>_xll.BLUEMATRIX2("/servlet/excelData",K217,$B$1,$B217&amp;":"&amp;K$115&amp;":"&amp;$AI$114)</f>
        <v>#</v>
      </c>
      <c r="AR217" s="378" t="str">
        <f>_xll.BLUEMATRIX2("/servlet/excelData",L217,$B$1,$B217&amp;":"&amp;L$115&amp;":"&amp;$AI$114)</f>
        <v>#</v>
      </c>
      <c r="AS217" s="378" t="str">
        <f>_xll.BLUEMATRIX2("/servlet/excelData",M217,$B$1,$B217&amp;":"&amp;M$115&amp;":"&amp;$AI$114)</f>
        <v>#</v>
      </c>
      <c r="AT217" s="378" t="str">
        <f>_xll.BLUEMATRIX2("/servlet/excelData",N217,$B$1,$B217&amp;":"&amp;N$115&amp;":"&amp;$AI$114)</f>
        <v>#</v>
      </c>
      <c r="AU217" s="378" t="str">
        <f>_xll.BLUEMATRIX2("/servlet/excelData",O217,$B$1,$B217&amp;":"&amp;O$115&amp;":"&amp;$AI$114)</f>
        <v>#</v>
      </c>
      <c r="AV217" s="378" t="str">
        <f>_xll.BLUEMATRIX2("/servlet/excelData",P217,$B$1,$B217&amp;":"&amp;P$115&amp;":"&amp;$AI$114)</f>
        <v>#</v>
      </c>
      <c r="AW217" s="378" t="str">
        <f>_xll.BLUEMATRIX2("/servlet/excelData",Q217,$B$1,$B217&amp;":"&amp;Q$115&amp;":"&amp;$AI$114)</f>
        <v>#</v>
      </c>
    </row>
    <row r="218" spans="1:49" ht="12.95" customHeight="1">
      <c r="A218" s="348" t="s">
        <v>790</v>
      </c>
      <c r="B218" s="350" t="s">
        <v>791</v>
      </c>
      <c r="C218" s="407" t="s">
        <v>792</v>
      </c>
      <c r="D218" s="387"/>
      <c r="E218" s="387"/>
      <c r="F218" s="387"/>
      <c r="G218" s="387"/>
      <c r="H218" s="387"/>
      <c r="I218" s="387">
        <f t="shared" ref="I218:Q218" si="43">I204</f>
        <v>187.19900000000001</v>
      </c>
      <c r="J218" s="387">
        <f t="shared" si="43"/>
        <v>215.99700000000001</v>
      </c>
      <c r="K218" s="387">
        <f t="shared" si="43"/>
        <v>226.79599999999999</v>
      </c>
      <c r="L218" s="387">
        <f t="shared" si="43"/>
        <v>143.82400000000001</v>
      </c>
      <c r="M218" s="387">
        <f t="shared" si="43"/>
        <v>150.96700000000001</v>
      </c>
      <c r="N218" s="387">
        <f t="shared" si="43"/>
        <v>153.71310623204423</v>
      </c>
      <c r="O218" s="387">
        <f t="shared" si="43"/>
        <v>152.00673883670328</v>
      </c>
      <c r="P218" s="387">
        <f t="shared" si="43"/>
        <v>156.35751025902096</v>
      </c>
      <c r="Q218" s="387">
        <f t="shared" si="43"/>
        <v>162.67928771759352</v>
      </c>
      <c r="R218" s="387"/>
      <c r="S218" s="387"/>
      <c r="T218" s="387">
        <f t="shared" ref="T218:AH218" si="44">T204</f>
        <v>0</v>
      </c>
      <c r="U218" s="387">
        <f t="shared" si="44"/>
        <v>0</v>
      </c>
      <c r="V218" s="387">
        <f t="shared" si="44"/>
        <v>0</v>
      </c>
      <c r="W218" s="387">
        <f t="shared" si="44"/>
        <v>0</v>
      </c>
      <c r="X218" s="387">
        <f t="shared" si="44"/>
        <v>0</v>
      </c>
      <c r="Y218" s="387">
        <f t="shared" si="44"/>
        <v>0</v>
      </c>
      <c r="Z218" s="387">
        <f t="shared" si="44"/>
        <v>0</v>
      </c>
      <c r="AA218" s="387">
        <f t="shared" si="44"/>
        <v>0</v>
      </c>
      <c r="AB218" s="387">
        <f t="shared" si="44"/>
        <v>0</v>
      </c>
      <c r="AC218" s="387">
        <f t="shared" si="44"/>
        <v>0</v>
      </c>
      <c r="AD218" s="387">
        <f t="shared" si="44"/>
        <v>0</v>
      </c>
      <c r="AE218" s="387">
        <f t="shared" si="44"/>
        <v>0</v>
      </c>
      <c r="AF218" s="387">
        <f t="shared" si="44"/>
        <v>0</v>
      </c>
      <c r="AG218" s="387">
        <f t="shared" si="44"/>
        <v>0</v>
      </c>
      <c r="AH218" s="387">
        <f t="shared" si="44"/>
        <v>0</v>
      </c>
      <c r="AI218" s="322"/>
      <c r="AJ218" s="479"/>
      <c r="AK218" s="378" t="str">
        <f>_xll.BLUEMATRIX2("/servlet/excelData",E218,$B$1,$B218&amp;":"&amp;E$115&amp;":"&amp;$AI$114)</f>
        <v>#</v>
      </c>
      <c r="AL218" s="378" t="str">
        <f>_xll.BLUEMATRIX2("/servlet/excelData",F218,$B$1,$B218&amp;":"&amp;F$115&amp;":"&amp;$AI$114)</f>
        <v>#</v>
      </c>
      <c r="AM218" s="378" t="str">
        <f>_xll.BLUEMATRIX2("/servlet/excelData",G218,$B$1,$B218&amp;":"&amp;G$115&amp;":"&amp;$AI$114)</f>
        <v>#</v>
      </c>
      <c r="AN218" s="378" t="str">
        <f>_xll.BLUEMATRIX2("/servlet/excelData",H218,$B$1,$B218&amp;":"&amp;H$115&amp;":"&amp;$AI$114)</f>
        <v>#</v>
      </c>
      <c r="AO218" s="378" t="str">
        <f>_xll.BLUEMATRIX2("/servlet/excelData",I218,$B$1,$B218&amp;":"&amp;I$115&amp;":"&amp;$AI$114)</f>
        <v>#</v>
      </c>
      <c r="AP218" s="378" t="str">
        <f>_xll.BLUEMATRIX2("/servlet/excelData",J218,$B$1,$B218&amp;":"&amp;J$115&amp;":"&amp;$AI$114)</f>
        <v>#</v>
      </c>
      <c r="AQ218" s="378" t="str">
        <f>_xll.BLUEMATRIX2("/servlet/excelData",K218,$B$1,$B218&amp;":"&amp;K$115&amp;":"&amp;$AI$114)</f>
        <v>#</v>
      </c>
      <c r="AR218" s="378" t="str">
        <f>_xll.BLUEMATRIX2("/servlet/excelData",L218,$B$1,$B218&amp;":"&amp;L$115&amp;":"&amp;$AI$114)</f>
        <v>#</v>
      </c>
      <c r="AS218" s="378" t="str">
        <f>_xll.BLUEMATRIX2("/servlet/excelData",M218,$B$1,$B218&amp;":"&amp;M$115&amp;":"&amp;$AI$114)</f>
        <v>#</v>
      </c>
      <c r="AT218" s="378" t="str">
        <f>_xll.BLUEMATRIX2("/servlet/excelData",N218,$B$1,$B218&amp;":"&amp;N$115&amp;":"&amp;$AI$114)</f>
        <v>#</v>
      </c>
      <c r="AU218" s="378" t="str">
        <f>_xll.BLUEMATRIX2("/servlet/excelData",O218,$B$1,$B218&amp;":"&amp;O$115&amp;":"&amp;$AI$114)</f>
        <v>#</v>
      </c>
      <c r="AV218" s="378" t="str">
        <f>_xll.BLUEMATRIX2("/servlet/excelData",P218,$B$1,$B218&amp;":"&amp;P$115&amp;":"&amp;$AI$114)</f>
        <v>#</v>
      </c>
      <c r="AW218" s="378" t="str">
        <f>_xll.BLUEMATRIX2("/servlet/excelData",Q218,$B$1,$B218&amp;":"&amp;Q$115&amp;":"&amp;$AI$114)</f>
        <v>#</v>
      </c>
    </row>
    <row r="219" spans="1:49" ht="12.95" customHeight="1">
      <c r="A219" s="348" t="s">
        <v>793</v>
      </c>
      <c r="B219" s="350" t="s">
        <v>794</v>
      </c>
      <c r="C219" s="408" t="s">
        <v>795</v>
      </c>
      <c r="D219" s="387"/>
      <c r="E219" s="387"/>
      <c r="F219" s="387"/>
      <c r="G219" s="387"/>
      <c r="H219" s="387"/>
      <c r="I219" s="387">
        <f t="shared" ref="I219:Q219" si="45">I209+I217</f>
        <v>1172.4280000000001</v>
      </c>
      <c r="J219" s="387">
        <f t="shared" si="45"/>
        <v>1333.3010000000002</v>
      </c>
      <c r="K219" s="387">
        <f t="shared" si="45"/>
        <v>1477.175</v>
      </c>
      <c r="L219" s="387">
        <f t="shared" si="45"/>
        <v>1429.26</v>
      </c>
      <c r="M219" s="387">
        <f t="shared" si="45"/>
        <v>1059.9639999999999</v>
      </c>
      <c r="N219" s="387">
        <f t="shared" si="45"/>
        <v>777.71010623204415</v>
      </c>
      <c r="O219" s="387">
        <f t="shared" si="45"/>
        <v>776.00373883670329</v>
      </c>
      <c r="P219" s="387">
        <f t="shared" si="45"/>
        <v>780.35451025902091</v>
      </c>
      <c r="Q219" s="387">
        <f t="shared" si="45"/>
        <v>786.67628771759348</v>
      </c>
      <c r="R219" s="387"/>
      <c r="S219" s="387"/>
      <c r="T219" s="387">
        <f t="shared" ref="T219:AH219" si="46">T209+T217</f>
        <v>0</v>
      </c>
      <c r="U219" s="387">
        <f t="shared" si="46"/>
        <v>0</v>
      </c>
      <c r="V219" s="387">
        <f t="shared" si="46"/>
        <v>0</v>
      </c>
      <c r="W219" s="387">
        <f t="shared" si="46"/>
        <v>0</v>
      </c>
      <c r="X219" s="387">
        <f t="shared" si="46"/>
        <v>0</v>
      </c>
      <c r="Y219" s="387">
        <f t="shared" si="46"/>
        <v>0</v>
      </c>
      <c r="Z219" s="387">
        <f t="shared" si="46"/>
        <v>0</v>
      </c>
      <c r="AA219" s="387">
        <f t="shared" si="46"/>
        <v>0</v>
      </c>
      <c r="AB219" s="387">
        <f t="shared" si="46"/>
        <v>0</v>
      </c>
      <c r="AC219" s="387">
        <f t="shared" si="46"/>
        <v>0</v>
      </c>
      <c r="AD219" s="387">
        <f t="shared" si="46"/>
        <v>0</v>
      </c>
      <c r="AE219" s="387">
        <f t="shared" si="46"/>
        <v>0</v>
      </c>
      <c r="AF219" s="387">
        <f t="shared" si="46"/>
        <v>0</v>
      </c>
      <c r="AG219" s="387">
        <f t="shared" si="46"/>
        <v>0</v>
      </c>
      <c r="AH219" s="387">
        <f t="shared" si="46"/>
        <v>0</v>
      </c>
      <c r="AI219" s="322"/>
      <c r="AJ219" s="479"/>
      <c r="AK219" s="378" t="str">
        <f>_xll.BLUEMATRIX2("/servlet/excelData",E219,$B$1,$B219&amp;":"&amp;E$115&amp;":"&amp;$AI$114)</f>
        <v>#</v>
      </c>
      <c r="AL219" s="378" t="str">
        <f>_xll.BLUEMATRIX2("/servlet/excelData",F219,$B$1,$B219&amp;":"&amp;F$115&amp;":"&amp;$AI$114)</f>
        <v>#</v>
      </c>
      <c r="AM219" s="378" t="str">
        <f>_xll.BLUEMATRIX2("/servlet/excelData",G219,$B$1,$B219&amp;":"&amp;G$115&amp;":"&amp;$AI$114)</f>
        <v>#</v>
      </c>
      <c r="AN219" s="378" t="str">
        <f>_xll.BLUEMATRIX2("/servlet/excelData",H219,$B$1,$B219&amp;":"&amp;H$115&amp;":"&amp;$AI$114)</f>
        <v>#</v>
      </c>
      <c r="AO219" s="378" t="str">
        <f>_xll.BLUEMATRIX2("/servlet/excelData",I219,$B$1,$B219&amp;":"&amp;I$115&amp;":"&amp;$AI$114)</f>
        <v>#</v>
      </c>
      <c r="AP219" s="378" t="str">
        <f>_xll.BLUEMATRIX2("/servlet/excelData",J219,$B$1,$B219&amp;":"&amp;J$115&amp;":"&amp;$AI$114)</f>
        <v>#</v>
      </c>
      <c r="AQ219" s="378" t="str">
        <f>_xll.BLUEMATRIX2("/servlet/excelData",K219,$B$1,$B219&amp;":"&amp;K$115&amp;":"&amp;$AI$114)</f>
        <v>#</v>
      </c>
      <c r="AR219" s="378" t="str">
        <f>_xll.BLUEMATRIX2("/servlet/excelData",L219,$B$1,$B219&amp;":"&amp;L$115&amp;":"&amp;$AI$114)</f>
        <v>#</v>
      </c>
      <c r="AS219" s="378" t="str">
        <f>_xll.BLUEMATRIX2("/servlet/excelData",M219,$B$1,$B219&amp;":"&amp;M$115&amp;":"&amp;$AI$114)</f>
        <v>#</v>
      </c>
      <c r="AT219" s="378" t="str">
        <f>_xll.BLUEMATRIX2("/servlet/excelData",N219,$B$1,$B219&amp;":"&amp;N$115&amp;":"&amp;$AI$114)</f>
        <v>#</v>
      </c>
      <c r="AU219" s="378" t="str">
        <f>_xll.BLUEMATRIX2("/servlet/excelData",O219,$B$1,$B219&amp;":"&amp;O$115&amp;":"&amp;$AI$114)</f>
        <v>#</v>
      </c>
      <c r="AV219" s="378" t="str">
        <f>_xll.BLUEMATRIX2("/servlet/excelData",P219,$B$1,$B219&amp;":"&amp;P$115&amp;":"&amp;$AI$114)</f>
        <v>#</v>
      </c>
      <c r="AW219" s="378" t="str">
        <f>_xll.BLUEMATRIX2("/servlet/excelData",Q219,$B$1,$B219&amp;":"&amp;Q$115&amp;":"&amp;$AI$114)</f>
        <v>#</v>
      </c>
    </row>
    <row r="220" spans="1:49" ht="12.95" customHeight="1">
      <c r="A220" s="348"/>
      <c r="B220" s="350"/>
      <c r="C220" s="483" t="s">
        <v>796</v>
      </c>
      <c r="D220" s="484"/>
      <c r="E220" s="484"/>
      <c r="F220" s="485"/>
      <c r="G220" s="485"/>
      <c r="H220" s="485"/>
      <c r="I220" s="485">
        <f>ROUND(FY!G142-I219,2)</f>
        <v>0</v>
      </c>
      <c r="J220" s="485">
        <f>ROUND(FY!H142-J219,2)</f>
        <v>0</v>
      </c>
      <c r="K220" s="485">
        <f>ROUND(FY!I142-K219,2)</f>
        <v>0</v>
      </c>
      <c r="L220" s="485">
        <f>ROUND(FY!J142-L219,2)</f>
        <v>0</v>
      </c>
      <c r="M220" s="485">
        <f>ROUND(FY!K142-M219,2)</f>
        <v>0</v>
      </c>
      <c r="N220" s="485">
        <f>ROUND(FY!L142-N219,2)</f>
        <v>0</v>
      </c>
      <c r="O220" s="485">
        <f>ROUND(FY!M142-O219,2)</f>
        <v>0</v>
      </c>
      <c r="P220" s="485">
        <f>ROUND(FY!N142-P219,2)</f>
        <v>0</v>
      </c>
      <c r="Q220" s="485">
        <f>ROUND(FY!O142-Q219,2)</f>
        <v>0</v>
      </c>
      <c r="R220" s="404"/>
      <c r="S220" s="397"/>
      <c r="T220" s="397"/>
      <c r="U220" s="397"/>
      <c r="V220" s="397"/>
      <c r="W220" s="397"/>
      <c r="X220" s="397"/>
      <c r="Y220" s="397"/>
      <c r="Z220" s="397"/>
      <c r="AA220" s="397"/>
      <c r="AB220" s="397"/>
      <c r="AC220" s="397"/>
      <c r="AD220" s="397"/>
      <c r="AE220" s="397"/>
      <c r="AF220" s="397"/>
      <c r="AG220" s="397"/>
      <c r="AH220" s="397"/>
      <c r="AI220" s="385"/>
      <c r="AJ220" s="479"/>
      <c r="AK220" s="378"/>
      <c r="AL220" s="378"/>
      <c r="AM220" s="378"/>
      <c r="AN220" s="378"/>
      <c r="AO220" s="378"/>
      <c r="AP220" s="378"/>
      <c r="AQ220" s="378"/>
      <c r="AR220" s="378"/>
      <c r="AS220" s="378"/>
      <c r="AT220" s="378"/>
      <c r="AU220" s="378"/>
      <c r="AV220" s="378"/>
      <c r="AW220" s="378"/>
    </row>
    <row r="221" spans="1:49" ht="12.95" customHeight="1">
      <c r="A221" s="348"/>
      <c r="B221" s="350"/>
      <c r="C221" s="483"/>
      <c r="D221" s="486"/>
      <c r="E221" s="486"/>
      <c r="F221" s="487"/>
      <c r="G221" s="487"/>
      <c r="H221" s="487"/>
      <c r="I221" s="487"/>
      <c r="J221" s="487"/>
      <c r="K221" s="487"/>
      <c r="L221" s="487"/>
      <c r="M221" s="487"/>
      <c r="N221" s="487"/>
      <c r="O221" s="487"/>
      <c r="P221" s="487"/>
      <c r="Q221" s="487"/>
      <c r="R221" s="404"/>
      <c r="S221" s="397"/>
      <c r="T221" s="397"/>
      <c r="U221" s="397"/>
      <c r="V221" s="397"/>
      <c r="W221" s="397"/>
      <c r="X221" s="397"/>
      <c r="Y221" s="397"/>
      <c r="Z221" s="397"/>
      <c r="AA221" s="397"/>
      <c r="AB221" s="397"/>
      <c r="AC221" s="397"/>
      <c r="AD221" s="397"/>
      <c r="AE221" s="397"/>
      <c r="AF221" s="397"/>
      <c r="AG221" s="397"/>
      <c r="AH221" s="397"/>
      <c r="AI221" s="385"/>
      <c r="AJ221" s="479"/>
      <c r="AK221" s="378"/>
      <c r="AL221" s="378"/>
      <c r="AM221" s="378"/>
      <c r="AN221" s="378"/>
      <c r="AO221" s="378"/>
      <c r="AP221" s="378"/>
      <c r="AQ221" s="378"/>
      <c r="AR221" s="378"/>
      <c r="AS221" s="378"/>
      <c r="AT221" s="378"/>
      <c r="AU221" s="378"/>
      <c r="AV221" s="378"/>
      <c r="AW221" s="378"/>
    </row>
    <row r="222" spans="1:49" ht="12.95" customHeight="1">
      <c r="A222" s="348"/>
      <c r="B222" s="350"/>
      <c r="C222" s="410" t="s">
        <v>797</v>
      </c>
      <c r="D222" s="409"/>
      <c r="E222" s="409"/>
      <c r="F222" s="409"/>
      <c r="G222" s="409"/>
      <c r="H222" s="409"/>
      <c r="I222" s="409"/>
      <c r="J222" s="409"/>
      <c r="K222" s="409"/>
      <c r="L222" s="409"/>
      <c r="M222" s="409"/>
      <c r="N222" s="409"/>
      <c r="O222" s="409"/>
      <c r="P222" s="409"/>
      <c r="Q222" s="409"/>
      <c r="R222" s="409"/>
      <c r="S222" s="409"/>
      <c r="T222" s="409"/>
      <c r="U222" s="409"/>
      <c r="V222" s="409"/>
      <c r="W222" s="409"/>
      <c r="X222" s="409"/>
      <c r="Y222" s="409"/>
      <c r="Z222" s="409"/>
      <c r="AA222" s="409"/>
      <c r="AB222" s="409"/>
      <c r="AC222" s="409"/>
      <c r="AD222" s="409"/>
      <c r="AE222" s="409"/>
      <c r="AF222" s="409"/>
      <c r="AG222" s="409"/>
      <c r="AH222" s="409"/>
      <c r="AI222" s="322"/>
      <c r="AJ222" s="479"/>
      <c r="AK222" s="378" t="str">
        <f>_xll.BLUEMATRIX2("/servlet/excelData",E222,$B$1,$B222&amp;":"&amp;E$115&amp;":"&amp;$AI$114)</f>
        <v>#</v>
      </c>
      <c r="AL222" s="378" t="str">
        <f>_xll.BLUEMATRIX2("/servlet/excelData",F222,$B$1,$B222&amp;":"&amp;F$115&amp;":"&amp;$AI$114)</f>
        <v>#</v>
      </c>
      <c r="AM222" s="378" t="str">
        <f>_xll.BLUEMATRIX2("/servlet/excelData",G222,$B$1,$B222&amp;":"&amp;G$115&amp;":"&amp;$AI$114)</f>
        <v>#</v>
      </c>
      <c r="AN222" s="378" t="str">
        <f>_xll.BLUEMATRIX2("/servlet/excelData",H222,$B$1,$B222&amp;":"&amp;H$115&amp;":"&amp;$AI$114)</f>
        <v>#</v>
      </c>
      <c r="AO222" s="378" t="str">
        <f>_xll.BLUEMATRIX2("/servlet/excelData",I222,$B$1,$B222&amp;":"&amp;I$115&amp;":"&amp;$AI$114)</f>
        <v>#</v>
      </c>
      <c r="AP222" s="378" t="str">
        <f>_xll.BLUEMATRIX2("/servlet/excelData",J222,$B$1,$B222&amp;":"&amp;J$115&amp;":"&amp;$AI$114)</f>
        <v>#</v>
      </c>
      <c r="AQ222" s="378" t="str">
        <f>_xll.BLUEMATRIX2("/servlet/excelData",K222,$B$1,$B222&amp;":"&amp;K$115&amp;":"&amp;$AI$114)</f>
        <v>#</v>
      </c>
      <c r="AR222" s="378" t="str">
        <f>_xll.BLUEMATRIX2("/servlet/excelData",L222,$B$1,$B222&amp;":"&amp;L$115&amp;":"&amp;$AI$114)</f>
        <v>#</v>
      </c>
      <c r="AS222" s="378" t="str">
        <f>_xll.BLUEMATRIX2("/servlet/excelData",M222,$B$1,$B222&amp;":"&amp;M$115&amp;":"&amp;$AI$114)</f>
        <v>#</v>
      </c>
      <c r="AT222" s="378" t="str">
        <f>_xll.BLUEMATRIX2("/servlet/excelData",N222,$B$1,$B222&amp;":"&amp;N$115&amp;":"&amp;$AI$114)</f>
        <v>#</v>
      </c>
      <c r="AU222" s="378" t="str">
        <f>_xll.BLUEMATRIX2("/servlet/excelData",O222,$B$1,$B222&amp;":"&amp;O$115&amp;":"&amp;$AI$114)</f>
        <v>#</v>
      </c>
      <c r="AV222" s="378" t="str">
        <f>_xll.BLUEMATRIX2("/servlet/excelData",P222,$B$1,$B222&amp;":"&amp;P$115&amp;":"&amp;$AI$114)</f>
        <v>#</v>
      </c>
      <c r="AW222" s="378" t="str">
        <f>_xll.BLUEMATRIX2("/servlet/excelData",Q222,$B$1,$B222&amp;":"&amp;Q$115&amp;":"&amp;$AI$114)</f>
        <v>#</v>
      </c>
    </row>
    <row r="223" spans="1:49" ht="12.95" customHeight="1">
      <c r="A223" s="348" t="s">
        <v>798</v>
      </c>
      <c r="B223" s="350" t="s">
        <v>799</v>
      </c>
      <c r="C223" s="400" t="s">
        <v>800</v>
      </c>
      <c r="D223" s="384"/>
      <c r="E223" s="384"/>
      <c r="F223" s="384"/>
      <c r="G223" s="384"/>
      <c r="H223" s="384"/>
      <c r="I223" s="384">
        <f>FY!G144</f>
        <v>1340.556</v>
      </c>
      <c r="J223" s="384">
        <f>FY!H144</f>
        <v>1343.027</v>
      </c>
      <c r="K223" s="384">
        <f>FY!I144</f>
        <v>1342.4359999999999</v>
      </c>
      <c r="L223" s="384">
        <f>FY!J144</f>
        <v>1343.627</v>
      </c>
      <c r="M223" s="384">
        <f>FY!K144</f>
        <v>1573.414</v>
      </c>
      <c r="N223" s="384">
        <f>FY!L144</f>
        <v>1573.414</v>
      </c>
      <c r="O223" s="384">
        <f>FY!M144</f>
        <v>1573.414</v>
      </c>
      <c r="P223" s="384">
        <f>FY!N144</f>
        <v>1573.414</v>
      </c>
      <c r="Q223" s="384">
        <f>FY!O144</f>
        <v>1573.414</v>
      </c>
      <c r="R223" s="384"/>
      <c r="S223" s="384"/>
      <c r="T223" s="384"/>
      <c r="U223" s="384"/>
      <c r="V223" s="384"/>
      <c r="W223" s="384"/>
      <c r="X223" s="384"/>
      <c r="Y223" s="384"/>
      <c r="Z223" s="384"/>
      <c r="AA223" s="384"/>
      <c r="AB223" s="384"/>
      <c r="AC223" s="384"/>
      <c r="AD223" s="384"/>
      <c r="AE223" s="384"/>
      <c r="AF223" s="384"/>
      <c r="AG223" s="384"/>
      <c r="AH223" s="384"/>
      <c r="AI223" s="322"/>
      <c r="AJ223" s="479"/>
      <c r="AK223" s="378" t="str">
        <f>_xll.BLUEMATRIX2("/servlet/excelData",E223,$B$1,$B223&amp;":"&amp;E$115&amp;":"&amp;$AI$114)</f>
        <v>#</v>
      </c>
      <c r="AL223" s="378" t="str">
        <f>_xll.BLUEMATRIX2("/servlet/excelData",F223,$B$1,$B223&amp;":"&amp;F$115&amp;":"&amp;$AI$114)</f>
        <v>#</v>
      </c>
      <c r="AM223" s="378" t="str">
        <f>_xll.BLUEMATRIX2("/servlet/excelData",G223,$B$1,$B223&amp;":"&amp;G$115&amp;":"&amp;$AI$114)</f>
        <v>#</v>
      </c>
      <c r="AN223" s="378" t="str">
        <f>_xll.BLUEMATRIX2("/servlet/excelData",H223,$B$1,$B223&amp;":"&amp;H$115&amp;":"&amp;$AI$114)</f>
        <v>#</v>
      </c>
      <c r="AO223" s="378" t="str">
        <f>_xll.BLUEMATRIX2("/servlet/excelData",I223,$B$1,$B223&amp;":"&amp;I$115&amp;":"&amp;$AI$114)</f>
        <v>#</v>
      </c>
      <c r="AP223" s="378" t="str">
        <f>_xll.BLUEMATRIX2("/servlet/excelData",J223,$B$1,$B223&amp;":"&amp;J$115&amp;":"&amp;$AI$114)</f>
        <v>#</v>
      </c>
      <c r="AQ223" s="378" t="str">
        <f>_xll.BLUEMATRIX2("/servlet/excelData",K223,$B$1,$B223&amp;":"&amp;K$115&amp;":"&amp;$AI$114)</f>
        <v>#</v>
      </c>
      <c r="AR223" s="378" t="str">
        <f>_xll.BLUEMATRIX2("/servlet/excelData",L223,$B$1,$B223&amp;":"&amp;L$115&amp;":"&amp;$AI$114)</f>
        <v>#</v>
      </c>
      <c r="AS223" s="378" t="str">
        <f>_xll.BLUEMATRIX2("/servlet/excelData",M223,$B$1,$B223&amp;":"&amp;M$115&amp;":"&amp;$AI$114)</f>
        <v>#</v>
      </c>
      <c r="AT223" s="378" t="str">
        <f>_xll.BLUEMATRIX2("/servlet/excelData",N223,$B$1,$B223&amp;":"&amp;N$115&amp;":"&amp;$AI$114)</f>
        <v>#</v>
      </c>
      <c r="AU223" s="378" t="str">
        <f>_xll.BLUEMATRIX2("/servlet/excelData",O223,$B$1,$B223&amp;":"&amp;O$115&amp;":"&amp;$AI$114)</f>
        <v>#</v>
      </c>
      <c r="AV223" s="378" t="str">
        <f>_xll.BLUEMATRIX2("/servlet/excelData",P223,$B$1,$B223&amp;":"&amp;P$115&amp;":"&amp;$AI$114)</f>
        <v>#</v>
      </c>
      <c r="AW223" s="378" t="str">
        <f>_xll.BLUEMATRIX2("/servlet/excelData",Q223,$B$1,$B223&amp;":"&amp;Q$115&amp;":"&amp;$AI$114)</f>
        <v>#</v>
      </c>
    </row>
    <row r="224" spans="1:49" ht="12.95" customHeight="1">
      <c r="A224" s="348" t="s">
        <v>801</v>
      </c>
      <c r="B224" s="350" t="s">
        <v>802</v>
      </c>
      <c r="C224" s="400" t="s">
        <v>327</v>
      </c>
      <c r="D224" s="384"/>
      <c r="E224" s="384"/>
      <c r="F224" s="384"/>
      <c r="G224" s="384"/>
      <c r="H224" s="384"/>
      <c r="I224" s="384">
        <f>FY!G145</f>
        <v>-4.4450000000000003</v>
      </c>
      <c r="J224" s="384">
        <f>FY!H145</f>
        <v>-10.435</v>
      </c>
      <c r="K224" s="384">
        <f>FY!I145</f>
        <v>-7.45</v>
      </c>
      <c r="L224" s="384">
        <f>FY!J145</f>
        <v>-11.311999999999999</v>
      </c>
      <c r="M224" s="384">
        <f>FY!K145</f>
        <v>-44.722000000000001</v>
      </c>
      <c r="N224" s="384">
        <f>FY!L145</f>
        <v>-44.722000000000001</v>
      </c>
      <c r="O224" s="384">
        <f>FY!M145</f>
        <v>-44.722000000000001</v>
      </c>
      <c r="P224" s="384">
        <f>FY!N145</f>
        <v>-44.722000000000001</v>
      </c>
      <c r="Q224" s="384">
        <f>FY!O145</f>
        <v>-44.722000000000001</v>
      </c>
      <c r="R224" s="384"/>
      <c r="S224" s="384"/>
      <c r="T224" s="384"/>
      <c r="U224" s="384"/>
      <c r="V224" s="384"/>
      <c r="W224" s="384"/>
      <c r="X224" s="384"/>
      <c r="Y224" s="384"/>
      <c r="Z224" s="384"/>
      <c r="AA224" s="384"/>
      <c r="AB224" s="384"/>
      <c r="AC224" s="384"/>
      <c r="AD224" s="384"/>
      <c r="AE224" s="384"/>
      <c r="AF224" s="384"/>
      <c r="AG224" s="384"/>
      <c r="AH224" s="384"/>
      <c r="AI224" s="322"/>
      <c r="AJ224" s="479"/>
      <c r="AK224" s="378" t="str">
        <f>_xll.BLUEMATRIX2("/servlet/excelData",E224,$B$1,$B224&amp;":"&amp;E$115&amp;":"&amp;$AI$114)</f>
        <v>#</v>
      </c>
      <c r="AL224" s="378" t="str">
        <f>_xll.BLUEMATRIX2("/servlet/excelData",F224,$B$1,$B224&amp;":"&amp;F$115&amp;":"&amp;$AI$114)</f>
        <v>#</v>
      </c>
      <c r="AM224" s="378" t="str">
        <f>_xll.BLUEMATRIX2("/servlet/excelData",G224,$B$1,$B224&amp;":"&amp;G$115&amp;":"&amp;$AI$114)</f>
        <v>#</v>
      </c>
      <c r="AN224" s="378" t="str">
        <f>_xll.BLUEMATRIX2("/servlet/excelData",H224,$B$1,$B224&amp;":"&amp;H$115&amp;":"&amp;$AI$114)</f>
        <v>#</v>
      </c>
      <c r="AO224" s="378" t="str">
        <f>_xll.BLUEMATRIX2("/servlet/excelData",I224,$B$1,$B224&amp;":"&amp;I$115&amp;":"&amp;$AI$114)</f>
        <v>#</v>
      </c>
      <c r="AP224" s="378" t="str">
        <f>_xll.BLUEMATRIX2("/servlet/excelData",J224,$B$1,$B224&amp;":"&amp;J$115&amp;":"&amp;$AI$114)</f>
        <v>#</v>
      </c>
      <c r="AQ224" s="378" t="str">
        <f>_xll.BLUEMATRIX2("/servlet/excelData",K224,$B$1,$B224&amp;":"&amp;K$115&amp;":"&amp;$AI$114)</f>
        <v>#</v>
      </c>
      <c r="AR224" s="378" t="str">
        <f>_xll.BLUEMATRIX2("/servlet/excelData",L224,$B$1,$B224&amp;":"&amp;L$115&amp;":"&amp;$AI$114)</f>
        <v>#</v>
      </c>
      <c r="AS224" s="378" t="str">
        <f>_xll.BLUEMATRIX2("/servlet/excelData",M224,$B$1,$B224&amp;":"&amp;M$115&amp;":"&amp;$AI$114)</f>
        <v>#</v>
      </c>
      <c r="AT224" s="378" t="str">
        <f>_xll.BLUEMATRIX2("/servlet/excelData",N224,$B$1,$B224&amp;":"&amp;N$115&amp;":"&amp;$AI$114)</f>
        <v>#</v>
      </c>
      <c r="AU224" s="378" t="str">
        <f>_xll.BLUEMATRIX2("/servlet/excelData",O224,$B$1,$B224&amp;":"&amp;O$115&amp;":"&amp;$AI$114)</f>
        <v>#</v>
      </c>
      <c r="AV224" s="378" t="str">
        <f>_xll.BLUEMATRIX2("/servlet/excelData",P224,$B$1,$B224&amp;":"&amp;P$115&amp;":"&amp;$AI$114)</f>
        <v>#</v>
      </c>
      <c r="AW224" s="378" t="str">
        <f>_xll.BLUEMATRIX2("/servlet/excelData",Q224,$B$1,$B224&amp;":"&amp;Q$115&amp;":"&amp;$AI$114)</f>
        <v>#</v>
      </c>
    </row>
    <row r="225" spans="1:49" ht="12.95" customHeight="1">
      <c r="A225" s="348" t="s">
        <v>803</v>
      </c>
      <c r="B225" s="350" t="s">
        <v>804</v>
      </c>
      <c r="C225" s="400" t="s">
        <v>805</v>
      </c>
      <c r="D225" s="384"/>
      <c r="E225" s="384"/>
      <c r="F225" s="384"/>
      <c r="G225" s="384"/>
      <c r="H225" s="384"/>
      <c r="I225" s="384">
        <f>FY!G146</f>
        <v>235.16300000000001</v>
      </c>
      <c r="J225" s="384">
        <f>FY!H146</f>
        <v>197.60499999999999</v>
      </c>
      <c r="K225" s="384">
        <f>FY!I146</f>
        <v>-31.125</v>
      </c>
      <c r="L225" s="384">
        <f>FY!J146</f>
        <v>-1.891</v>
      </c>
      <c r="M225" s="384">
        <f>FY!K146</f>
        <v>16.341999999999999</v>
      </c>
      <c r="N225" s="384">
        <f>FY!L146</f>
        <v>-0.20767714806266824</v>
      </c>
      <c r="O225" s="384">
        <f>FY!M146</f>
        <v>37.556733927977234</v>
      </c>
      <c r="P225" s="384">
        <f>FY!N146</f>
        <v>105.13408947384046</v>
      </c>
      <c r="Q225" s="384">
        <f>FY!O146</f>
        <v>189.16505688081369</v>
      </c>
      <c r="R225" s="384"/>
      <c r="S225" s="384"/>
      <c r="T225" s="384"/>
      <c r="U225" s="384"/>
      <c r="V225" s="384"/>
      <c r="W225" s="384"/>
      <c r="X225" s="384"/>
      <c r="Y225" s="384"/>
      <c r="Z225" s="384"/>
      <c r="AA225" s="384"/>
      <c r="AB225" s="384"/>
      <c r="AC225" s="384"/>
      <c r="AD225" s="384"/>
      <c r="AE225" s="384"/>
      <c r="AF225" s="384"/>
      <c r="AG225" s="384"/>
      <c r="AH225" s="384"/>
      <c r="AI225" s="322"/>
      <c r="AJ225" s="479"/>
      <c r="AK225" s="378" t="str">
        <f>_xll.BLUEMATRIX2("/servlet/excelData",E225,$B$1,$B225&amp;":"&amp;E$115&amp;":"&amp;$AI$114)</f>
        <v>#</v>
      </c>
      <c r="AL225" s="378" t="str">
        <f>_xll.BLUEMATRIX2("/servlet/excelData",F225,$B$1,$B225&amp;":"&amp;F$115&amp;":"&amp;$AI$114)</f>
        <v>#</v>
      </c>
      <c r="AM225" s="378" t="str">
        <f>_xll.BLUEMATRIX2("/servlet/excelData",G225,$B$1,$B225&amp;":"&amp;G$115&amp;":"&amp;$AI$114)</f>
        <v>#</v>
      </c>
      <c r="AN225" s="378" t="str">
        <f>_xll.BLUEMATRIX2("/servlet/excelData",H225,$B$1,$B225&amp;":"&amp;H$115&amp;":"&amp;$AI$114)</f>
        <v>#</v>
      </c>
      <c r="AO225" s="378" t="str">
        <f>_xll.BLUEMATRIX2("/servlet/excelData",I225,$B$1,$B225&amp;":"&amp;I$115&amp;":"&amp;$AI$114)</f>
        <v>#</v>
      </c>
      <c r="AP225" s="378" t="str">
        <f>_xll.BLUEMATRIX2("/servlet/excelData",J225,$B$1,$B225&amp;":"&amp;J$115&amp;":"&amp;$AI$114)</f>
        <v>#</v>
      </c>
      <c r="AQ225" s="378" t="str">
        <f>_xll.BLUEMATRIX2("/servlet/excelData",K225,$B$1,$B225&amp;":"&amp;K$115&amp;":"&amp;$AI$114)</f>
        <v>#</v>
      </c>
      <c r="AR225" s="378" t="str">
        <f>_xll.BLUEMATRIX2("/servlet/excelData",L225,$B$1,$B225&amp;":"&amp;L$115&amp;":"&amp;$AI$114)</f>
        <v>#</v>
      </c>
      <c r="AS225" s="378" t="str">
        <f>_xll.BLUEMATRIX2("/servlet/excelData",M225,$B$1,$B225&amp;":"&amp;M$115&amp;":"&amp;$AI$114)</f>
        <v>#</v>
      </c>
      <c r="AT225" s="378" t="str">
        <f>_xll.BLUEMATRIX2("/servlet/excelData",N225,$B$1,$B225&amp;":"&amp;N$115&amp;":"&amp;$AI$114)</f>
        <v>#</v>
      </c>
      <c r="AU225" s="378" t="str">
        <f>_xll.BLUEMATRIX2("/servlet/excelData",O225,$B$1,$B225&amp;":"&amp;O$115&amp;":"&amp;$AI$114)</f>
        <v>#</v>
      </c>
      <c r="AV225" s="378" t="str">
        <f>_xll.BLUEMATRIX2("/servlet/excelData",P225,$B$1,$B225&amp;":"&amp;P$115&amp;":"&amp;$AI$114)</f>
        <v>#</v>
      </c>
      <c r="AW225" s="378" t="str">
        <f>_xll.BLUEMATRIX2("/servlet/excelData",Q225,$B$1,$B225&amp;":"&amp;Q$115&amp;":"&amp;$AI$114)</f>
        <v>#</v>
      </c>
    </row>
    <row r="226" spans="1:49" ht="12.95" customHeight="1">
      <c r="A226" s="348" t="s">
        <v>806</v>
      </c>
      <c r="B226" s="350" t="s">
        <v>807</v>
      </c>
      <c r="C226" s="400" t="s">
        <v>808</v>
      </c>
      <c r="D226" s="384"/>
      <c r="E226" s="384"/>
      <c r="F226" s="384"/>
      <c r="G226" s="384"/>
      <c r="H226" s="384"/>
      <c r="I226" s="384"/>
      <c r="J226" s="384"/>
      <c r="K226" s="384"/>
      <c r="L226" s="384"/>
      <c r="M226" s="384"/>
      <c r="N226" s="384"/>
      <c r="O226" s="384"/>
      <c r="P226" s="384"/>
      <c r="Q226" s="384"/>
      <c r="R226" s="384"/>
      <c r="S226" s="384"/>
      <c r="T226" s="384"/>
      <c r="U226" s="384"/>
      <c r="V226" s="384"/>
      <c r="W226" s="384"/>
      <c r="X226" s="384"/>
      <c r="Y226" s="384"/>
      <c r="Z226" s="384"/>
      <c r="AA226" s="384"/>
      <c r="AB226" s="384"/>
      <c r="AC226" s="384"/>
      <c r="AD226" s="384"/>
      <c r="AE226" s="384"/>
      <c r="AF226" s="384"/>
      <c r="AG226" s="384"/>
      <c r="AH226" s="384"/>
      <c r="AI226" s="322"/>
      <c r="AJ226" s="479"/>
      <c r="AK226" s="378" t="str">
        <f>_xll.BLUEMATRIX2("/servlet/excelData",E226,$B$1,$B226&amp;":"&amp;E$115&amp;":"&amp;$AI$114)</f>
        <v>#</v>
      </c>
      <c r="AL226" s="378" t="str">
        <f>_xll.BLUEMATRIX2("/servlet/excelData",F226,$B$1,$B226&amp;":"&amp;F$115&amp;":"&amp;$AI$114)</f>
        <v>#</v>
      </c>
      <c r="AM226" s="378" t="str">
        <f>_xll.BLUEMATRIX2("/servlet/excelData",G226,$B$1,$B226&amp;":"&amp;G$115&amp;":"&amp;$AI$114)</f>
        <v>#</v>
      </c>
      <c r="AN226" s="378" t="str">
        <f>_xll.BLUEMATRIX2("/servlet/excelData",H226,$B$1,$B226&amp;":"&amp;H$115&amp;":"&amp;$AI$114)</f>
        <v>#</v>
      </c>
      <c r="AO226" s="378" t="str">
        <f>_xll.BLUEMATRIX2("/servlet/excelData",I226,$B$1,$B226&amp;":"&amp;I$115&amp;":"&amp;$AI$114)</f>
        <v>#</v>
      </c>
      <c r="AP226" s="378" t="str">
        <f>_xll.BLUEMATRIX2("/servlet/excelData",J226,$B$1,$B226&amp;":"&amp;J$115&amp;":"&amp;$AI$114)</f>
        <v>#</v>
      </c>
      <c r="AQ226" s="378" t="str">
        <f>_xll.BLUEMATRIX2("/servlet/excelData",K226,$B$1,$B226&amp;":"&amp;K$115&amp;":"&amp;$AI$114)</f>
        <v>#</v>
      </c>
      <c r="AR226" s="378" t="str">
        <f>_xll.BLUEMATRIX2("/servlet/excelData",L226,$B$1,$B226&amp;":"&amp;L$115&amp;":"&amp;$AI$114)</f>
        <v>#</v>
      </c>
      <c r="AS226" s="378" t="str">
        <f>_xll.BLUEMATRIX2("/servlet/excelData",M226,$B$1,$B226&amp;":"&amp;M$115&amp;":"&amp;$AI$114)</f>
        <v>#</v>
      </c>
      <c r="AT226" s="378" t="str">
        <f>_xll.BLUEMATRIX2("/servlet/excelData",N226,$B$1,$B226&amp;":"&amp;N$115&amp;":"&amp;$AI$114)</f>
        <v>#</v>
      </c>
      <c r="AU226" s="378" t="str">
        <f>_xll.BLUEMATRIX2("/servlet/excelData",O226,$B$1,$B226&amp;":"&amp;O$115&amp;":"&amp;$AI$114)</f>
        <v>#</v>
      </c>
      <c r="AV226" s="378" t="str">
        <f>_xll.BLUEMATRIX2("/servlet/excelData",P226,$B$1,$B226&amp;":"&amp;P$115&amp;":"&amp;$AI$114)</f>
        <v>#</v>
      </c>
      <c r="AW226" s="378" t="str">
        <f>_xll.BLUEMATRIX2("/servlet/excelData",Q226,$B$1,$B226&amp;":"&amp;Q$115&amp;":"&amp;$AI$114)</f>
        <v>#</v>
      </c>
    </row>
    <row r="227" spans="1:49" ht="12.95" customHeight="1">
      <c r="A227" s="348" t="s">
        <v>809</v>
      </c>
      <c r="B227" s="350" t="s">
        <v>810</v>
      </c>
      <c r="C227" s="408" t="s">
        <v>811</v>
      </c>
      <c r="D227" s="387"/>
      <c r="E227" s="387"/>
      <c r="F227" s="387"/>
      <c r="G227" s="387"/>
      <c r="H227" s="387"/>
      <c r="I227" s="387">
        <f t="shared" ref="I227:Q227" si="47">I223+I224+I225+I226</f>
        <v>1571.2740000000001</v>
      </c>
      <c r="J227" s="387">
        <f t="shared" si="47"/>
        <v>1530.1970000000001</v>
      </c>
      <c r="K227" s="387">
        <f t="shared" si="47"/>
        <v>1303.8609999999999</v>
      </c>
      <c r="L227" s="387">
        <f t="shared" si="47"/>
        <v>1330.424</v>
      </c>
      <c r="M227" s="387">
        <f t="shared" si="47"/>
        <v>1545.0340000000001</v>
      </c>
      <c r="N227" s="387">
        <f t="shared" si="47"/>
        <v>1528.4843228519373</v>
      </c>
      <c r="O227" s="387">
        <f t="shared" si="47"/>
        <v>1566.2487339279774</v>
      </c>
      <c r="P227" s="387">
        <f t="shared" si="47"/>
        <v>1633.8260894738405</v>
      </c>
      <c r="Q227" s="387">
        <f t="shared" si="47"/>
        <v>1717.8570568808136</v>
      </c>
      <c r="R227" s="387"/>
      <c r="S227" s="387"/>
      <c r="T227" s="387">
        <f t="shared" ref="T227:AH227" si="48">T223+T224+T225+T226</f>
        <v>0</v>
      </c>
      <c r="U227" s="387">
        <f t="shared" si="48"/>
        <v>0</v>
      </c>
      <c r="V227" s="387">
        <f t="shared" si="48"/>
        <v>0</v>
      </c>
      <c r="W227" s="387">
        <f t="shared" si="48"/>
        <v>0</v>
      </c>
      <c r="X227" s="387">
        <f t="shared" si="48"/>
        <v>0</v>
      </c>
      <c r="Y227" s="387">
        <f t="shared" si="48"/>
        <v>0</v>
      </c>
      <c r="Z227" s="387">
        <f t="shared" si="48"/>
        <v>0</v>
      </c>
      <c r="AA227" s="387">
        <f t="shared" si="48"/>
        <v>0</v>
      </c>
      <c r="AB227" s="387">
        <f t="shared" si="48"/>
        <v>0</v>
      </c>
      <c r="AC227" s="387">
        <f t="shared" si="48"/>
        <v>0</v>
      </c>
      <c r="AD227" s="387">
        <f t="shared" si="48"/>
        <v>0</v>
      </c>
      <c r="AE227" s="387">
        <f t="shared" si="48"/>
        <v>0</v>
      </c>
      <c r="AF227" s="387">
        <f t="shared" si="48"/>
        <v>0</v>
      </c>
      <c r="AG227" s="387">
        <f t="shared" si="48"/>
        <v>0</v>
      </c>
      <c r="AH227" s="387">
        <f t="shared" si="48"/>
        <v>0</v>
      </c>
      <c r="AI227" s="322"/>
      <c r="AJ227" s="479"/>
      <c r="AK227" s="378" t="str">
        <f>_xll.BLUEMATRIX2("/servlet/excelData",E227,$B$1,$B227&amp;":"&amp;E$115&amp;":"&amp;$AI$114)</f>
        <v>#</v>
      </c>
      <c r="AL227" s="378" t="str">
        <f>_xll.BLUEMATRIX2("/servlet/excelData",F227,$B$1,$B227&amp;":"&amp;F$115&amp;":"&amp;$AI$114)</f>
        <v>#</v>
      </c>
      <c r="AM227" s="378" t="str">
        <f>_xll.BLUEMATRIX2("/servlet/excelData",G227,$B$1,$B227&amp;":"&amp;G$115&amp;":"&amp;$AI$114)</f>
        <v>#</v>
      </c>
      <c r="AN227" s="378" t="str">
        <f>_xll.BLUEMATRIX2("/servlet/excelData",H227,$B$1,$B227&amp;":"&amp;H$115&amp;":"&amp;$AI$114)</f>
        <v>#</v>
      </c>
      <c r="AO227" s="378" t="str">
        <f>_xll.BLUEMATRIX2("/servlet/excelData",I227,$B$1,$B227&amp;":"&amp;I$115&amp;":"&amp;$AI$114)</f>
        <v>#</v>
      </c>
      <c r="AP227" s="378" t="str">
        <f>_xll.BLUEMATRIX2("/servlet/excelData",J227,$B$1,$B227&amp;":"&amp;J$115&amp;":"&amp;$AI$114)</f>
        <v>#</v>
      </c>
      <c r="AQ227" s="378" t="str">
        <f>_xll.BLUEMATRIX2("/servlet/excelData",K227,$B$1,$B227&amp;":"&amp;K$115&amp;":"&amp;$AI$114)</f>
        <v>#</v>
      </c>
      <c r="AR227" s="378" t="str">
        <f>_xll.BLUEMATRIX2("/servlet/excelData",L227,$B$1,$B227&amp;":"&amp;L$115&amp;":"&amp;$AI$114)</f>
        <v>#</v>
      </c>
      <c r="AS227" s="378" t="str">
        <f>_xll.BLUEMATRIX2("/servlet/excelData",M227,$B$1,$B227&amp;":"&amp;M$115&amp;":"&amp;$AI$114)</f>
        <v>#</v>
      </c>
      <c r="AT227" s="378" t="str">
        <f>_xll.BLUEMATRIX2("/servlet/excelData",N227,$B$1,$B227&amp;":"&amp;N$115&amp;":"&amp;$AI$114)</f>
        <v>#</v>
      </c>
      <c r="AU227" s="378" t="str">
        <f>_xll.BLUEMATRIX2("/servlet/excelData",O227,$B$1,$B227&amp;":"&amp;O$115&amp;":"&amp;$AI$114)</f>
        <v>#</v>
      </c>
      <c r="AV227" s="378" t="str">
        <f>_xll.BLUEMATRIX2("/servlet/excelData",P227,$B$1,$B227&amp;":"&amp;P$115&amp;":"&amp;$AI$114)</f>
        <v>#</v>
      </c>
      <c r="AW227" s="378" t="str">
        <f>_xll.BLUEMATRIX2("/servlet/excelData",Q227,$B$1,$B227&amp;":"&amp;Q$115&amp;":"&amp;$AI$114)</f>
        <v>#</v>
      </c>
    </row>
    <row r="228" spans="1:49" ht="12.95" customHeight="1">
      <c r="A228" s="348" t="s">
        <v>812</v>
      </c>
      <c r="B228" s="350" t="s">
        <v>813</v>
      </c>
      <c r="C228" s="400" t="s">
        <v>814</v>
      </c>
      <c r="D228" s="384"/>
      <c r="E228" s="384"/>
      <c r="F228" s="384"/>
      <c r="G228" s="384"/>
      <c r="H228" s="384"/>
      <c r="I228" s="384"/>
      <c r="J228" s="384"/>
      <c r="K228" s="384"/>
      <c r="L228" s="384"/>
      <c r="M228" s="384"/>
      <c r="N228" s="384"/>
      <c r="O228" s="384"/>
      <c r="P228" s="384"/>
      <c r="Q228" s="384"/>
      <c r="R228" s="384"/>
      <c r="S228" s="384"/>
      <c r="T228" s="384"/>
      <c r="U228" s="384"/>
      <c r="V228" s="384"/>
      <c r="W228" s="384"/>
      <c r="X228" s="384"/>
      <c r="Y228" s="384"/>
      <c r="Z228" s="384"/>
      <c r="AA228" s="384"/>
      <c r="AB228" s="384"/>
      <c r="AC228" s="384"/>
      <c r="AD228" s="384"/>
      <c r="AE228" s="384"/>
      <c r="AF228" s="384"/>
      <c r="AG228" s="384"/>
      <c r="AH228" s="384"/>
      <c r="AI228" s="322"/>
      <c r="AJ228" s="479"/>
      <c r="AK228" s="378" t="str">
        <f>_xll.BLUEMATRIX2("/servlet/excelData",E228,$B$1,$B228&amp;":"&amp;E$115&amp;":"&amp;$AI$114)</f>
        <v>#</v>
      </c>
      <c r="AL228" s="378" t="str">
        <f>_xll.BLUEMATRIX2("/servlet/excelData",F228,$B$1,$B228&amp;":"&amp;F$115&amp;":"&amp;$AI$114)</f>
        <v>#</v>
      </c>
      <c r="AM228" s="378" t="str">
        <f>_xll.BLUEMATRIX2("/servlet/excelData",G228,$B$1,$B228&amp;":"&amp;G$115&amp;":"&amp;$AI$114)</f>
        <v>#</v>
      </c>
      <c r="AN228" s="378" t="str">
        <f>_xll.BLUEMATRIX2("/servlet/excelData",H228,$B$1,$B228&amp;":"&amp;H$115&amp;":"&amp;$AI$114)</f>
        <v>#</v>
      </c>
      <c r="AO228" s="378" t="str">
        <f>_xll.BLUEMATRIX2("/servlet/excelData",I228,$B$1,$B228&amp;":"&amp;I$115&amp;":"&amp;$AI$114)</f>
        <v>#</v>
      </c>
      <c r="AP228" s="378" t="str">
        <f>_xll.BLUEMATRIX2("/servlet/excelData",J228,$B$1,$B228&amp;":"&amp;J$115&amp;":"&amp;$AI$114)</f>
        <v>#</v>
      </c>
      <c r="AQ228" s="378" t="str">
        <f>_xll.BLUEMATRIX2("/servlet/excelData",K228,$B$1,$B228&amp;":"&amp;K$115&amp;":"&amp;$AI$114)</f>
        <v>#</v>
      </c>
      <c r="AR228" s="378" t="str">
        <f>_xll.BLUEMATRIX2("/servlet/excelData",L228,$B$1,$B228&amp;":"&amp;L$115&amp;":"&amp;$AI$114)</f>
        <v>#</v>
      </c>
      <c r="AS228" s="378" t="str">
        <f>_xll.BLUEMATRIX2("/servlet/excelData",M228,$B$1,$B228&amp;":"&amp;M$115&amp;":"&amp;$AI$114)</f>
        <v>#</v>
      </c>
      <c r="AT228" s="378" t="str">
        <f>_xll.BLUEMATRIX2("/servlet/excelData",N228,$B$1,$B228&amp;":"&amp;N$115&amp;":"&amp;$AI$114)</f>
        <v>#</v>
      </c>
      <c r="AU228" s="378" t="str">
        <f>_xll.BLUEMATRIX2("/servlet/excelData",O228,$B$1,$B228&amp;":"&amp;O$115&amp;":"&amp;$AI$114)</f>
        <v>#</v>
      </c>
      <c r="AV228" s="378" t="str">
        <f>_xll.BLUEMATRIX2("/servlet/excelData",P228,$B$1,$B228&amp;":"&amp;P$115&amp;":"&amp;$AI$114)</f>
        <v>#</v>
      </c>
      <c r="AW228" s="378" t="str">
        <f>_xll.BLUEMATRIX2("/servlet/excelData",Q228,$B$1,$B228&amp;":"&amp;Q$115&amp;":"&amp;$AI$114)</f>
        <v>#</v>
      </c>
    </row>
    <row r="229" spans="1:49" ht="12.95" customHeight="1">
      <c r="A229" s="348" t="s">
        <v>815</v>
      </c>
      <c r="B229" s="350" t="s">
        <v>816</v>
      </c>
      <c r="C229" s="408" t="s">
        <v>817</v>
      </c>
      <c r="D229" s="387"/>
      <c r="E229" s="387"/>
      <c r="F229" s="387"/>
      <c r="G229" s="387"/>
      <c r="H229" s="387"/>
      <c r="I229" s="387">
        <f t="shared" ref="I229:Q229" si="49">I227+I228</f>
        <v>1571.2740000000001</v>
      </c>
      <c r="J229" s="387">
        <f t="shared" si="49"/>
        <v>1530.1970000000001</v>
      </c>
      <c r="K229" s="387">
        <f t="shared" si="49"/>
        <v>1303.8609999999999</v>
      </c>
      <c r="L229" s="387">
        <f t="shared" si="49"/>
        <v>1330.424</v>
      </c>
      <c r="M229" s="387">
        <f t="shared" si="49"/>
        <v>1545.0340000000001</v>
      </c>
      <c r="N229" s="387">
        <f t="shared" si="49"/>
        <v>1528.4843228519373</v>
      </c>
      <c r="O229" s="387">
        <f t="shared" si="49"/>
        <v>1566.2487339279774</v>
      </c>
      <c r="P229" s="387">
        <f t="shared" si="49"/>
        <v>1633.8260894738405</v>
      </c>
      <c r="Q229" s="387">
        <f t="shared" si="49"/>
        <v>1717.8570568808136</v>
      </c>
      <c r="R229" s="387"/>
      <c r="S229" s="387"/>
      <c r="T229" s="387">
        <f t="shared" ref="T229:AH229" si="50">T227+T228</f>
        <v>0</v>
      </c>
      <c r="U229" s="387">
        <f t="shared" si="50"/>
        <v>0</v>
      </c>
      <c r="V229" s="387">
        <f t="shared" si="50"/>
        <v>0</v>
      </c>
      <c r="W229" s="387">
        <f t="shared" si="50"/>
        <v>0</v>
      </c>
      <c r="X229" s="387">
        <f t="shared" si="50"/>
        <v>0</v>
      </c>
      <c r="Y229" s="387">
        <f t="shared" si="50"/>
        <v>0</v>
      </c>
      <c r="Z229" s="387">
        <f t="shared" si="50"/>
        <v>0</v>
      </c>
      <c r="AA229" s="387">
        <f t="shared" si="50"/>
        <v>0</v>
      </c>
      <c r="AB229" s="387">
        <f t="shared" si="50"/>
        <v>0</v>
      </c>
      <c r="AC229" s="387">
        <f t="shared" si="50"/>
        <v>0</v>
      </c>
      <c r="AD229" s="387">
        <f t="shared" si="50"/>
        <v>0</v>
      </c>
      <c r="AE229" s="387">
        <f t="shared" si="50"/>
        <v>0</v>
      </c>
      <c r="AF229" s="387">
        <f t="shared" si="50"/>
        <v>0</v>
      </c>
      <c r="AG229" s="387">
        <f t="shared" si="50"/>
        <v>0</v>
      </c>
      <c r="AH229" s="387">
        <f t="shared" si="50"/>
        <v>0</v>
      </c>
      <c r="AI229" s="322"/>
      <c r="AJ229" s="479"/>
      <c r="AK229" s="378" t="str">
        <f>_xll.BLUEMATRIX2("/servlet/excelData",E229,$B$1,$B229&amp;":"&amp;E$115&amp;":"&amp;$AI$114)</f>
        <v>#</v>
      </c>
      <c r="AL229" s="378" t="str">
        <f>_xll.BLUEMATRIX2("/servlet/excelData",F229,$B$1,$B229&amp;":"&amp;F$115&amp;":"&amp;$AI$114)</f>
        <v>#</v>
      </c>
      <c r="AM229" s="378" t="str">
        <f>_xll.BLUEMATRIX2("/servlet/excelData",G229,$B$1,$B229&amp;":"&amp;G$115&amp;":"&amp;$AI$114)</f>
        <v>#</v>
      </c>
      <c r="AN229" s="378" t="str">
        <f>_xll.BLUEMATRIX2("/servlet/excelData",H229,$B$1,$B229&amp;":"&amp;H$115&amp;":"&amp;$AI$114)</f>
        <v>#</v>
      </c>
      <c r="AO229" s="378" t="str">
        <f>_xll.BLUEMATRIX2("/servlet/excelData",I229,$B$1,$B229&amp;":"&amp;I$115&amp;":"&amp;$AI$114)</f>
        <v>#</v>
      </c>
      <c r="AP229" s="378" t="str">
        <f>_xll.BLUEMATRIX2("/servlet/excelData",J229,$B$1,$B229&amp;":"&amp;J$115&amp;":"&amp;$AI$114)</f>
        <v>#</v>
      </c>
      <c r="AQ229" s="378" t="str">
        <f>_xll.BLUEMATRIX2("/servlet/excelData",K229,$B$1,$B229&amp;":"&amp;K$115&amp;":"&amp;$AI$114)</f>
        <v>#</v>
      </c>
      <c r="AR229" s="378" t="str">
        <f>_xll.BLUEMATRIX2("/servlet/excelData",L229,$B$1,$B229&amp;":"&amp;L$115&amp;":"&amp;$AI$114)</f>
        <v>#</v>
      </c>
      <c r="AS229" s="378" t="str">
        <f>_xll.BLUEMATRIX2("/servlet/excelData",M229,$B$1,$B229&amp;":"&amp;M$115&amp;":"&amp;$AI$114)</f>
        <v>#</v>
      </c>
      <c r="AT229" s="378" t="str">
        <f>_xll.BLUEMATRIX2("/servlet/excelData",N229,$B$1,$B229&amp;":"&amp;N$115&amp;":"&amp;$AI$114)</f>
        <v>#</v>
      </c>
      <c r="AU229" s="378" t="str">
        <f>_xll.BLUEMATRIX2("/servlet/excelData",O229,$B$1,$B229&amp;":"&amp;O$115&amp;":"&amp;$AI$114)</f>
        <v>#</v>
      </c>
      <c r="AV229" s="378" t="str">
        <f>_xll.BLUEMATRIX2("/servlet/excelData",P229,$B$1,$B229&amp;":"&amp;P$115&amp;":"&amp;$AI$114)</f>
        <v>#</v>
      </c>
      <c r="AW229" s="378" t="str">
        <f>_xll.BLUEMATRIX2("/servlet/excelData",Q229,$B$1,$B229&amp;":"&amp;Q$115&amp;":"&amp;$AI$114)</f>
        <v>#</v>
      </c>
    </row>
    <row r="230" spans="1:49" s="414" customFormat="1" ht="12.95" customHeight="1">
      <c r="A230" s="411"/>
      <c r="B230" s="350"/>
      <c r="C230" s="483" t="s">
        <v>818</v>
      </c>
      <c r="D230" s="484"/>
      <c r="E230" s="484"/>
      <c r="F230" s="485"/>
      <c r="G230" s="485"/>
      <c r="H230" s="485"/>
      <c r="I230" s="485">
        <f t="shared" ref="I230:Q230" si="51">I197-(I219+I229)</f>
        <v>0</v>
      </c>
      <c r="J230" s="485">
        <f t="shared" si="51"/>
        <v>0</v>
      </c>
      <c r="K230" s="485">
        <f t="shared" si="51"/>
        <v>0</v>
      </c>
      <c r="L230" s="485">
        <f t="shared" si="51"/>
        <v>0</v>
      </c>
      <c r="M230" s="485">
        <f t="shared" si="51"/>
        <v>0</v>
      </c>
      <c r="N230" s="485">
        <f t="shared" si="51"/>
        <v>0</v>
      </c>
      <c r="O230" s="485">
        <f t="shared" si="51"/>
        <v>0</v>
      </c>
      <c r="P230" s="485">
        <f t="shared" si="51"/>
        <v>0</v>
      </c>
      <c r="Q230" s="485">
        <f t="shared" si="51"/>
        <v>0</v>
      </c>
      <c r="R230" s="412"/>
      <c r="S230" s="412"/>
      <c r="T230" s="412">
        <f t="shared" ref="T230:AH230" si="52">T197-(T219+T229)</f>
        <v>0</v>
      </c>
      <c r="U230" s="412">
        <f t="shared" si="52"/>
        <v>0</v>
      </c>
      <c r="V230" s="412">
        <f t="shared" si="52"/>
        <v>0</v>
      </c>
      <c r="W230" s="412">
        <f t="shared" si="52"/>
        <v>0</v>
      </c>
      <c r="X230" s="412">
        <f t="shared" si="52"/>
        <v>0</v>
      </c>
      <c r="Y230" s="412">
        <f t="shared" si="52"/>
        <v>0</v>
      </c>
      <c r="Z230" s="412">
        <f t="shared" si="52"/>
        <v>0</v>
      </c>
      <c r="AA230" s="412">
        <f t="shared" si="52"/>
        <v>0</v>
      </c>
      <c r="AB230" s="412">
        <f t="shared" si="52"/>
        <v>0</v>
      </c>
      <c r="AC230" s="412">
        <f t="shared" si="52"/>
        <v>0</v>
      </c>
      <c r="AD230" s="412">
        <f t="shared" si="52"/>
        <v>0</v>
      </c>
      <c r="AE230" s="412">
        <f t="shared" si="52"/>
        <v>0</v>
      </c>
      <c r="AF230" s="412">
        <f t="shared" si="52"/>
        <v>0</v>
      </c>
      <c r="AG230" s="412">
        <f t="shared" si="52"/>
        <v>0</v>
      </c>
      <c r="AH230" s="412">
        <f t="shared" si="52"/>
        <v>0</v>
      </c>
      <c r="AI230" s="413"/>
      <c r="AJ230" s="479"/>
      <c r="AK230" s="378"/>
      <c r="AL230" s="378"/>
      <c r="AM230" s="378"/>
      <c r="AN230" s="378"/>
      <c r="AO230" s="378"/>
      <c r="AP230" s="378"/>
      <c r="AQ230" s="378"/>
      <c r="AR230" s="378"/>
      <c r="AS230" s="378"/>
      <c r="AT230" s="378"/>
      <c r="AU230" s="378"/>
      <c r="AV230" s="378"/>
      <c r="AW230" s="378"/>
    </row>
    <row r="231" spans="1:49" ht="12.95" customHeight="1">
      <c r="A231" s="348"/>
      <c r="B231" s="350"/>
      <c r="C231" s="415"/>
      <c r="D231" s="416"/>
      <c r="E231" s="416"/>
      <c r="F231" s="416"/>
      <c r="G231" s="416"/>
      <c r="H231" s="416"/>
      <c r="I231" s="416"/>
      <c r="J231" s="416"/>
      <c r="K231" s="416"/>
      <c r="L231" s="416"/>
      <c r="M231" s="416"/>
      <c r="N231" s="416"/>
      <c r="O231" s="416"/>
      <c r="P231" s="416"/>
      <c r="Q231" s="416"/>
      <c r="R231" s="416"/>
      <c r="S231" s="416"/>
      <c r="T231" s="416"/>
      <c r="U231" s="416"/>
      <c r="V231" s="416"/>
      <c r="W231" s="416"/>
      <c r="X231" s="416"/>
      <c r="Y231" s="416"/>
      <c r="Z231" s="416"/>
      <c r="AA231" s="417"/>
      <c r="AB231" s="417"/>
      <c r="AC231" s="417"/>
      <c r="AD231" s="417"/>
      <c r="AE231" s="417"/>
      <c r="AF231" s="417"/>
      <c r="AG231" s="417"/>
      <c r="AH231" s="417"/>
      <c r="AI231" s="322"/>
      <c r="AJ231" s="479"/>
      <c r="AK231" s="378"/>
      <c r="AL231" s="378"/>
      <c r="AM231" s="378"/>
      <c r="AN231" s="378"/>
      <c r="AO231" s="378"/>
      <c r="AP231" s="378"/>
      <c r="AQ231" s="378"/>
      <c r="AR231" s="378"/>
      <c r="AS231" s="378"/>
      <c r="AT231" s="378"/>
      <c r="AU231" s="378"/>
      <c r="AV231" s="378"/>
      <c r="AW231" s="378"/>
    </row>
    <row r="232" spans="1:49" ht="12.95" customHeight="1">
      <c r="A232" s="348" t="s">
        <v>819</v>
      </c>
      <c r="B232" s="350" t="s">
        <v>820</v>
      </c>
      <c r="C232" s="403" t="s">
        <v>821</v>
      </c>
      <c r="D232" s="418"/>
      <c r="E232" s="418"/>
      <c r="F232" s="418"/>
      <c r="G232" s="418"/>
      <c r="H232" s="418"/>
      <c r="I232" s="418">
        <f t="shared" ref="I232:Q232" si="53">I197-I219</f>
        <v>1571.2740000000001</v>
      </c>
      <c r="J232" s="418">
        <f t="shared" si="53"/>
        <v>1530.1969999999994</v>
      </c>
      <c r="K232" s="418">
        <f t="shared" si="53"/>
        <v>1303.8609999999996</v>
      </c>
      <c r="L232" s="418">
        <f t="shared" si="53"/>
        <v>1330.4239999999998</v>
      </c>
      <c r="M232" s="418">
        <f t="shared" si="53"/>
        <v>1545.0340000000001</v>
      </c>
      <c r="N232" s="418">
        <f t="shared" si="53"/>
        <v>1528.4843228519378</v>
      </c>
      <c r="O232" s="418">
        <f t="shared" si="53"/>
        <v>1566.2487339279774</v>
      </c>
      <c r="P232" s="418">
        <f t="shared" si="53"/>
        <v>1633.8260894738405</v>
      </c>
      <c r="Q232" s="418">
        <f t="shared" si="53"/>
        <v>1717.8570568808141</v>
      </c>
      <c r="R232" s="418"/>
      <c r="S232" s="418"/>
      <c r="T232" s="418">
        <f t="shared" ref="T232:AH232" si="54">T197-T219</f>
        <v>0</v>
      </c>
      <c r="U232" s="418">
        <f t="shared" si="54"/>
        <v>0</v>
      </c>
      <c r="V232" s="418">
        <f t="shared" si="54"/>
        <v>0</v>
      </c>
      <c r="W232" s="418">
        <f t="shared" si="54"/>
        <v>0</v>
      </c>
      <c r="X232" s="418">
        <f t="shared" si="54"/>
        <v>0</v>
      </c>
      <c r="Y232" s="418">
        <f t="shared" si="54"/>
        <v>0</v>
      </c>
      <c r="Z232" s="418">
        <f t="shared" si="54"/>
        <v>0</v>
      </c>
      <c r="AA232" s="418">
        <f t="shared" si="54"/>
        <v>0</v>
      </c>
      <c r="AB232" s="418">
        <f t="shared" si="54"/>
        <v>0</v>
      </c>
      <c r="AC232" s="418">
        <f t="shared" si="54"/>
        <v>0</v>
      </c>
      <c r="AD232" s="418">
        <f t="shared" si="54"/>
        <v>0</v>
      </c>
      <c r="AE232" s="418">
        <f t="shared" si="54"/>
        <v>0</v>
      </c>
      <c r="AF232" s="418">
        <f t="shared" si="54"/>
        <v>0</v>
      </c>
      <c r="AG232" s="418">
        <f t="shared" si="54"/>
        <v>0</v>
      </c>
      <c r="AH232" s="418">
        <f t="shared" si="54"/>
        <v>0</v>
      </c>
      <c r="AI232" s="322"/>
      <c r="AJ232" s="479"/>
      <c r="AK232" s="378" t="str">
        <f>_xll.BLUEMATRIX2("/servlet/excelData",E232,$B$1,$B232&amp;":"&amp;E$115&amp;":"&amp;$AI$114)</f>
        <v>#</v>
      </c>
      <c r="AL232" s="378" t="str">
        <f>_xll.BLUEMATRIX2("/servlet/excelData",F232,$B$1,$B232&amp;":"&amp;F$115&amp;":"&amp;$AI$114)</f>
        <v>#</v>
      </c>
      <c r="AM232" s="378" t="str">
        <f>_xll.BLUEMATRIX2("/servlet/excelData",G232,$B$1,$B232&amp;":"&amp;G$115&amp;":"&amp;$AI$114)</f>
        <v>#</v>
      </c>
      <c r="AN232" s="378" t="str">
        <f>_xll.BLUEMATRIX2("/servlet/excelData",H232,$B$1,$B232&amp;":"&amp;H$115&amp;":"&amp;$AI$114)</f>
        <v>#</v>
      </c>
      <c r="AO232" s="378" t="str">
        <f>_xll.BLUEMATRIX2("/servlet/excelData",I232,$B$1,$B232&amp;":"&amp;I$115&amp;":"&amp;$AI$114)</f>
        <v>#</v>
      </c>
      <c r="AP232" s="378" t="str">
        <f>_xll.BLUEMATRIX2("/servlet/excelData",J232,$B$1,$B232&amp;":"&amp;J$115&amp;":"&amp;$AI$114)</f>
        <v>#</v>
      </c>
      <c r="AQ232" s="378" t="str">
        <f>_xll.BLUEMATRIX2("/servlet/excelData",K232,$B$1,$B232&amp;":"&amp;K$115&amp;":"&amp;$AI$114)</f>
        <v>#</v>
      </c>
      <c r="AR232" s="378" t="str">
        <f>_xll.BLUEMATRIX2("/servlet/excelData",L232,$B$1,$B232&amp;":"&amp;L$115&amp;":"&amp;$AI$114)</f>
        <v>#</v>
      </c>
      <c r="AS232" s="378" t="str">
        <f>_xll.BLUEMATRIX2("/servlet/excelData",M232,$B$1,$B232&amp;":"&amp;M$115&amp;":"&amp;$AI$114)</f>
        <v>#</v>
      </c>
      <c r="AT232" s="378" t="str">
        <f>_xll.BLUEMATRIX2("/servlet/excelData",N232,$B$1,$B232&amp;":"&amp;N$115&amp;":"&amp;$AI$114)</f>
        <v>#</v>
      </c>
      <c r="AU232" s="378" t="str">
        <f>_xll.BLUEMATRIX2("/servlet/excelData",O232,$B$1,$B232&amp;":"&amp;O$115&amp;":"&amp;$AI$114)</f>
        <v>#</v>
      </c>
      <c r="AV232" s="378" t="str">
        <f>_xll.BLUEMATRIX2("/servlet/excelData",P232,$B$1,$B232&amp;":"&amp;P$115&amp;":"&amp;$AI$114)</f>
        <v>#</v>
      </c>
      <c r="AW232" s="378" t="str">
        <f>_xll.BLUEMATRIX2("/servlet/excelData",Q232,$B$1,$B232&amp;":"&amp;Q$115&amp;":"&amp;$AI$114)</f>
        <v>#</v>
      </c>
    </row>
    <row r="233" spans="1:49" ht="12.95" customHeight="1">
      <c r="A233" s="348" t="s">
        <v>822</v>
      </c>
      <c r="B233" s="350" t="s">
        <v>823</v>
      </c>
      <c r="C233" s="403" t="s">
        <v>262</v>
      </c>
      <c r="D233" s="418"/>
      <c r="E233" s="418"/>
      <c r="F233" s="418"/>
      <c r="G233" s="418"/>
      <c r="H233" s="418"/>
      <c r="I233" s="418">
        <f t="shared" ref="I233:Q233" si="55">I210+I205-I182</f>
        <v>480.67400000000009</v>
      </c>
      <c r="J233" s="418">
        <f t="shared" si="55"/>
        <v>326.46699999999998</v>
      </c>
      <c r="K233" s="418">
        <f t="shared" si="55"/>
        <v>548.96100000000001</v>
      </c>
      <c r="L233" s="418">
        <f t="shared" si="55"/>
        <v>614.98500000000001</v>
      </c>
      <c r="M233" s="418">
        <f t="shared" si="55"/>
        <v>480.69299999999993</v>
      </c>
      <c r="N233" s="418">
        <f t="shared" si="55"/>
        <v>186.96383755242323</v>
      </c>
      <c r="O233" s="418">
        <f t="shared" si="55"/>
        <v>124.03139660493952</v>
      </c>
      <c r="P233" s="418">
        <f t="shared" si="55"/>
        <v>31.544328786691779</v>
      </c>
      <c r="Q233" s="418">
        <f t="shared" si="55"/>
        <v>-74.861299375945748</v>
      </c>
      <c r="R233" s="418"/>
      <c r="S233" s="418"/>
      <c r="T233" s="418">
        <f t="shared" ref="T233:AH233" si="56">T210+T205-T182</f>
        <v>0</v>
      </c>
      <c r="U233" s="418">
        <f t="shared" si="56"/>
        <v>0</v>
      </c>
      <c r="V233" s="418">
        <f t="shared" si="56"/>
        <v>0</v>
      </c>
      <c r="W233" s="418">
        <f t="shared" si="56"/>
        <v>0</v>
      </c>
      <c r="X233" s="418">
        <f t="shared" si="56"/>
        <v>0</v>
      </c>
      <c r="Y233" s="418">
        <f t="shared" si="56"/>
        <v>0</v>
      </c>
      <c r="Z233" s="418">
        <f t="shared" si="56"/>
        <v>0</v>
      </c>
      <c r="AA233" s="418">
        <f t="shared" si="56"/>
        <v>0</v>
      </c>
      <c r="AB233" s="418">
        <f t="shared" si="56"/>
        <v>0</v>
      </c>
      <c r="AC233" s="418">
        <f t="shared" si="56"/>
        <v>0</v>
      </c>
      <c r="AD233" s="418">
        <f t="shared" si="56"/>
        <v>0</v>
      </c>
      <c r="AE233" s="418">
        <f t="shared" si="56"/>
        <v>0</v>
      </c>
      <c r="AF233" s="418">
        <f t="shared" si="56"/>
        <v>0</v>
      </c>
      <c r="AG233" s="418">
        <f t="shared" si="56"/>
        <v>0</v>
      </c>
      <c r="AH233" s="418">
        <f t="shared" si="56"/>
        <v>0</v>
      </c>
      <c r="AI233" s="322"/>
      <c r="AJ233" s="479"/>
      <c r="AK233" s="378" t="str">
        <f>_xll.BLUEMATRIX2("/servlet/excelData",E233,$B$1,$B233&amp;":"&amp;E$115&amp;":"&amp;$AI$114)</f>
        <v>#</v>
      </c>
      <c r="AL233" s="378" t="str">
        <f>_xll.BLUEMATRIX2("/servlet/excelData",F233,$B$1,$B233&amp;":"&amp;F$115&amp;":"&amp;$AI$114)</f>
        <v>#</v>
      </c>
      <c r="AM233" s="378" t="str">
        <f>_xll.BLUEMATRIX2("/servlet/excelData",G233,$B$1,$B233&amp;":"&amp;G$115&amp;":"&amp;$AI$114)</f>
        <v>#</v>
      </c>
      <c r="AN233" s="378" t="str">
        <f>_xll.BLUEMATRIX2("/servlet/excelData",H233,$B$1,$B233&amp;":"&amp;H$115&amp;":"&amp;$AI$114)</f>
        <v>#</v>
      </c>
      <c r="AO233" s="378" t="str">
        <f>_xll.BLUEMATRIX2("/servlet/excelData",I233,$B$1,$B233&amp;":"&amp;I$115&amp;":"&amp;$AI$114)</f>
        <v>#</v>
      </c>
      <c r="AP233" s="378" t="str">
        <f>_xll.BLUEMATRIX2("/servlet/excelData",J233,$B$1,$B233&amp;":"&amp;J$115&amp;":"&amp;$AI$114)</f>
        <v>#</v>
      </c>
      <c r="AQ233" s="378" t="str">
        <f>_xll.BLUEMATRIX2("/servlet/excelData",K233,$B$1,$B233&amp;":"&amp;K$115&amp;":"&amp;$AI$114)</f>
        <v>#</v>
      </c>
      <c r="AR233" s="378" t="str">
        <f>_xll.BLUEMATRIX2("/servlet/excelData",L233,$B$1,$B233&amp;":"&amp;L$115&amp;":"&amp;$AI$114)</f>
        <v>#</v>
      </c>
      <c r="AS233" s="378" t="str">
        <f>_xll.BLUEMATRIX2("/servlet/excelData",M233,$B$1,$B233&amp;":"&amp;M$115&amp;":"&amp;$AI$114)</f>
        <v>#</v>
      </c>
      <c r="AT233" s="378" t="str">
        <f>_xll.BLUEMATRIX2("/servlet/excelData",N233,$B$1,$B233&amp;":"&amp;N$115&amp;":"&amp;$AI$114)</f>
        <v>#</v>
      </c>
      <c r="AU233" s="378" t="str">
        <f>_xll.BLUEMATRIX2("/servlet/excelData",O233,$B$1,$B233&amp;":"&amp;O$115&amp;":"&amp;$AI$114)</f>
        <v>#</v>
      </c>
      <c r="AV233" s="378" t="str">
        <f>_xll.BLUEMATRIX2("/servlet/excelData",P233,$B$1,$B233&amp;":"&amp;P$115&amp;":"&amp;$AI$114)</f>
        <v>#</v>
      </c>
      <c r="AW233" s="378" t="str">
        <f>_xll.BLUEMATRIX2("/servlet/excelData",Q233,$B$1,$B233&amp;":"&amp;Q$115&amp;":"&amp;$AI$114)</f>
        <v>#</v>
      </c>
    </row>
    <row r="234" spans="1:49" ht="12.95" customHeight="1">
      <c r="A234" s="348" t="s">
        <v>824</v>
      </c>
      <c r="B234" s="350" t="s">
        <v>825</v>
      </c>
      <c r="C234" s="403" t="s">
        <v>826</v>
      </c>
      <c r="D234" s="418"/>
      <c r="E234" s="418"/>
      <c r="F234" s="418"/>
      <c r="G234" s="418"/>
      <c r="H234" s="418"/>
      <c r="I234" s="418">
        <f t="shared" ref="I234:Q234" si="57">I229-I192-I193</f>
        <v>947.37700000000007</v>
      </c>
      <c r="J234" s="418">
        <f t="shared" si="57"/>
        <v>963.64400000000012</v>
      </c>
      <c r="K234" s="418">
        <f t="shared" si="57"/>
        <v>759.25399999999991</v>
      </c>
      <c r="L234" s="418">
        <f t="shared" si="57"/>
        <v>774.61099999999999</v>
      </c>
      <c r="M234" s="418">
        <f t="shared" si="57"/>
        <v>989.77900000000011</v>
      </c>
      <c r="N234" s="418">
        <f t="shared" si="57"/>
        <v>979.02466500895491</v>
      </c>
      <c r="O234" s="418">
        <f t="shared" si="57"/>
        <v>1022.2511173453216</v>
      </c>
      <c r="P234" s="418">
        <f t="shared" si="57"/>
        <v>1094.7572069618336</v>
      </c>
      <c r="Q234" s="418">
        <f t="shared" si="57"/>
        <v>1183.2285267211601</v>
      </c>
      <c r="R234" s="418"/>
      <c r="S234" s="418"/>
      <c r="T234" s="418">
        <f t="shared" ref="T234:AH234" si="58">T229-T192-T193</f>
        <v>0</v>
      </c>
      <c r="U234" s="418">
        <f t="shared" si="58"/>
        <v>0</v>
      </c>
      <c r="V234" s="418">
        <f t="shared" si="58"/>
        <v>0</v>
      </c>
      <c r="W234" s="418">
        <f t="shared" si="58"/>
        <v>0</v>
      </c>
      <c r="X234" s="418">
        <f t="shared" si="58"/>
        <v>0</v>
      </c>
      <c r="Y234" s="418">
        <f t="shared" si="58"/>
        <v>0</v>
      </c>
      <c r="Z234" s="418">
        <f t="shared" si="58"/>
        <v>0</v>
      </c>
      <c r="AA234" s="418">
        <f t="shared" si="58"/>
        <v>0</v>
      </c>
      <c r="AB234" s="418">
        <f t="shared" si="58"/>
        <v>0</v>
      </c>
      <c r="AC234" s="418">
        <f t="shared" si="58"/>
        <v>0</v>
      </c>
      <c r="AD234" s="418">
        <f t="shared" si="58"/>
        <v>0</v>
      </c>
      <c r="AE234" s="418">
        <f t="shared" si="58"/>
        <v>0</v>
      </c>
      <c r="AF234" s="418">
        <f t="shared" si="58"/>
        <v>0</v>
      </c>
      <c r="AG234" s="418">
        <f t="shared" si="58"/>
        <v>0</v>
      </c>
      <c r="AH234" s="418">
        <f t="shared" si="58"/>
        <v>0</v>
      </c>
      <c r="AI234" s="322"/>
      <c r="AJ234" s="479"/>
      <c r="AK234" s="378" t="str">
        <f>_xll.BLUEMATRIX2("/servlet/excelData",E234,$B$1,$B234&amp;":"&amp;E$115&amp;":"&amp;$AI$114)</f>
        <v>#</v>
      </c>
      <c r="AL234" s="378" t="str">
        <f>_xll.BLUEMATRIX2("/servlet/excelData",F234,$B$1,$B234&amp;":"&amp;F$115&amp;":"&amp;$AI$114)</f>
        <v>#</v>
      </c>
      <c r="AM234" s="378" t="str">
        <f>_xll.BLUEMATRIX2("/servlet/excelData",G234,$B$1,$B234&amp;":"&amp;G$115&amp;":"&amp;$AI$114)</f>
        <v>#</v>
      </c>
      <c r="AN234" s="378" t="str">
        <f>_xll.BLUEMATRIX2("/servlet/excelData",H234,$B$1,$B234&amp;":"&amp;H$115&amp;":"&amp;$AI$114)</f>
        <v>#</v>
      </c>
      <c r="AO234" s="378" t="str">
        <f>_xll.BLUEMATRIX2("/servlet/excelData",I234,$B$1,$B234&amp;":"&amp;I$115&amp;":"&amp;$AI$114)</f>
        <v>#</v>
      </c>
      <c r="AP234" s="378" t="str">
        <f>_xll.BLUEMATRIX2("/servlet/excelData",J234,$B$1,$B234&amp;":"&amp;J$115&amp;":"&amp;$AI$114)</f>
        <v>#</v>
      </c>
      <c r="AQ234" s="378" t="str">
        <f>_xll.BLUEMATRIX2("/servlet/excelData",K234,$B$1,$B234&amp;":"&amp;K$115&amp;":"&amp;$AI$114)</f>
        <v>#</v>
      </c>
      <c r="AR234" s="378" t="str">
        <f>_xll.BLUEMATRIX2("/servlet/excelData",L234,$B$1,$B234&amp;":"&amp;L$115&amp;":"&amp;$AI$114)</f>
        <v>#</v>
      </c>
      <c r="AS234" s="378" t="str">
        <f>_xll.BLUEMATRIX2("/servlet/excelData",M234,$B$1,$B234&amp;":"&amp;M$115&amp;":"&amp;$AI$114)</f>
        <v>#</v>
      </c>
      <c r="AT234" s="378" t="str">
        <f>_xll.BLUEMATRIX2("/servlet/excelData",N234,$B$1,$B234&amp;":"&amp;N$115&amp;":"&amp;$AI$114)</f>
        <v>#</v>
      </c>
      <c r="AU234" s="378" t="str">
        <f>_xll.BLUEMATRIX2("/servlet/excelData",O234,$B$1,$B234&amp;":"&amp;O$115&amp;":"&amp;$AI$114)</f>
        <v>#</v>
      </c>
      <c r="AV234" s="378" t="str">
        <f>_xll.BLUEMATRIX2("/servlet/excelData",P234,$B$1,$B234&amp;":"&amp;P$115&amp;":"&amp;$AI$114)</f>
        <v>#</v>
      </c>
      <c r="AW234" s="378" t="str">
        <f>_xll.BLUEMATRIX2("/servlet/excelData",Q234,$B$1,$B234&amp;":"&amp;Q$115&amp;":"&amp;$AI$114)</f>
        <v>#</v>
      </c>
    </row>
    <row r="235" spans="1:49" ht="12.95" customHeight="1">
      <c r="A235" s="348" t="s">
        <v>827</v>
      </c>
      <c r="B235" s="350" t="s">
        <v>828</v>
      </c>
      <c r="C235" s="403" t="s">
        <v>829</v>
      </c>
      <c r="D235" s="418"/>
      <c r="E235" s="418"/>
      <c r="F235" s="418"/>
      <c r="G235" s="418"/>
      <c r="H235" s="418"/>
      <c r="I235" s="418">
        <f t="shared" ref="I235:Q235" si="59">I229</f>
        <v>1571.2740000000001</v>
      </c>
      <c r="J235" s="418">
        <f t="shared" si="59"/>
        <v>1530.1970000000001</v>
      </c>
      <c r="K235" s="418">
        <f t="shared" si="59"/>
        <v>1303.8609999999999</v>
      </c>
      <c r="L235" s="418">
        <f t="shared" si="59"/>
        <v>1330.424</v>
      </c>
      <c r="M235" s="418">
        <f t="shared" si="59"/>
        <v>1545.0340000000001</v>
      </c>
      <c r="N235" s="418">
        <f t="shared" si="59"/>
        <v>1528.4843228519373</v>
      </c>
      <c r="O235" s="418">
        <f t="shared" si="59"/>
        <v>1566.2487339279774</v>
      </c>
      <c r="P235" s="418">
        <f t="shared" si="59"/>
        <v>1633.8260894738405</v>
      </c>
      <c r="Q235" s="418">
        <f t="shared" si="59"/>
        <v>1717.8570568808136</v>
      </c>
      <c r="R235" s="418"/>
      <c r="S235" s="418"/>
      <c r="T235" s="418">
        <f t="shared" ref="T235:AH235" si="60">T229</f>
        <v>0</v>
      </c>
      <c r="U235" s="418">
        <f t="shared" si="60"/>
        <v>0</v>
      </c>
      <c r="V235" s="418">
        <f t="shared" si="60"/>
        <v>0</v>
      </c>
      <c r="W235" s="418">
        <f t="shared" si="60"/>
        <v>0</v>
      </c>
      <c r="X235" s="418">
        <f t="shared" si="60"/>
        <v>0</v>
      </c>
      <c r="Y235" s="418">
        <f t="shared" si="60"/>
        <v>0</v>
      </c>
      <c r="Z235" s="418">
        <f t="shared" si="60"/>
        <v>0</v>
      </c>
      <c r="AA235" s="418">
        <f t="shared" si="60"/>
        <v>0</v>
      </c>
      <c r="AB235" s="418">
        <f t="shared" si="60"/>
        <v>0</v>
      </c>
      <c r="AC235" s="418">
        <f t="shared" si="60"/>
        <v>0</v>
      </c>
      <c r="AD235" s="418">
        <f t="shared" si="60"/>
        <v>0</v>
      </c>
      <c r="AE235" s="418">
        <f t="shared" si="60"/>
        <v>0</v>
      </c>
      <c r="AF235" s="418">
        <f t="shared" si="60"/>
        <v>0</v>
      </c>
      <c r="AG235" s="418">
        <f t="shared" si="60"/>
        <v>0</v>
      </c>
      <c r="AH235" s="418">
        <f t="shared" si="60"/>
        <v>0</v>
      </c>
      <c r="AI235" s="322"/>
      <c r="AJ235" s="479"/>
      <c r="AK235" s="378" t="str">
        <f>_xll.BLUEMATRIX2("/servlet/excelData",E235,$B$1,$B235&amp;":"&amp;E$115&amp;":"&amp;$AI$114)</f>
        <v>#</v>
      </c>
      <c r="AL235" s="378" t="str">
        <f>_xll.BLUEMATRIX2("/servlet/excelData",F235,$B$1,$B235&amp;":"&amp;F$115&amp;":"&amp;$AI$114)</f>
        <v>#</v>
      </c>
      <c r="AM235" s="378" t="str">
        <f>_xll.BLUEMATRIX2("/servlet/excelData",G235,$B$1,$B235&amp;":"&amp;G$115&amp;":"&amp;$AI$114)</f>
        <v>#</v>
      </c>
      <c r="AN235" s="378" t="str">
        <f>_xll.BLUEMATRIX2("/servlet/excelData",H235,$B$1,$B235&amp;":"&amp;H$115&amp;":"&amp;$AI$114)</f>
        <v>#</v>
      </c>
      <c r="AO235" s="378" t="str">
        <f>_xll.BLUEMATRIX2("/servlet/excelData",I235,$B$1,$B235&amp;":"&amp;I$115&amp;":"&amp;$AI$114)</f>
        <v>#</v>
      </c>
      <c r="AP235" s="378" t="str">
        <f>_xll.BLUEMATRIX2("/servlet/excelData",J235,$B$1,$B235&amp;":"&amp;J$115&amp;":"&amp;$AI$114)</f>
        <v>#</v>
      </c>
      <c r="AQ235" s="378" t="str">
        <f>_xll.BLUEMATRIX2("/servlet/excelData",K235,$B$1,$B235&amp;":"&amp;K$115&amp;":"&amp;$AI$114)</f>
        <v>#</v>
      </c>
      <c r="AR235" s="378" t="str">
        <f>_xll.BLUEMATRIX2("/servlet/excelData",L235,$B$1,$B235&amp;":"&amp;L$115&amp;":"&amp;$AI$114)</f>
        <v>#</v>
      </c>
      <c r="AS235" s="378" t="str">
        <f>_xll.BLUEMATRIX2("/servlet/excelData",M235,$B$1,$B235&amp;":"&amp;M$115&amp;":"&amp;$AI$114)</f>
        <v>#</v>
      </c>
      <c r="AT235" s="378" t="str">
        <f>_xll.BLUEMATRIX2("/servlet/excelData",N235,$B$1,$B235&amp;":"&amp;N$115&amp;":"&amp;$AI$114)</f>
        <v>#</v>
      </c>
      <c r="AU235" s="378" t="str">
        <f>_xll.BLUEMATRIX2("/servlet/excelData",O235,$B$1,$B235&amp;":"&amp;O$115&amp;":"&amp;$AI$114)</f>
        <v>#</v>
      </c>
      <c r="AV235" s="378" t="str">
        <f>_xll.BLUEMATRIX2("/servlet/excelData",P235,$B$1,$B235&amp;":"&amp;P$115&amp;":"&amp;$AI$114)</f>
        <v>#</v>
      </c>
      <c r="AW235" s="378" t="str">
        <f>_xll.BLUEMATRIX2("/servlet/excelData",Q235,$B$1,$B235&amp;":"&amp;Q$115&amp;":"&amp;$AI$114)</f>
        <v>#</v>
      </c>
    </row>
    <row r="236" spans="1:49" ht="12.95" customHeight="1">
      <c r="A236" s="348"/>
      <c r="B236" s="350"/>
      <c r="C236" s="403"/>
      <c r="D236" s="409"/>
      <c r="E236" s="409"/>
      <c r="F236" s="409"/>
      <c r="G236" s="409"/>
      <c r="H236" s="409"/>
      <c r="I236" s="409"/>
      <c r="J236" s="409"/>
      <c r="K236" s="409"/>
      <c r="L236" s="409"/>
      <c r="M236" s="409"/>
      <c r="N236" s="409"/>
      <c r="O236" s="409"/>
      <c r="P236" s="409"/>
      <c r="Q236" s="409"/>
      <c r="R236" s="409"/>
      <c r="S236" s="409"/>
      <c r="T236" s="409"/>
      <c r="U236" s="409"/>
      <c r="V236" s="409"/>
      <c r="W236" s="409"/>
      <c r="X236" s="409"/>
      <c r="Y236" s="409"/>
      <c r="Z236" s="409"/>
      <c r="AA236" s="409"/>
      <c r="AB236" s="409"/>
      <c r="AC236" s="409"/>
      <c r="AD236" s="409"/>
      <c r="AE236" s="409"/>
      <c r="AF236" s="409"/>
      <c r="AG236" s="409"/>
      <c r="AH236" s="409"/>
      <c r="AI236" s="322"/>
      <c r="AJ236" s="479"/>
      <c r="AK236" s="378"/>
      <c r="AL236" s="378"/>
      <c r="AM236" s="378"/>
      <c r="AN236" s="378"/>
      <c r="AO236" s="378"/>
      <c r="AP236" s="378"/>
      <c r="AQ236" s="378"/>
      <c r="AR236" s="378"/>
      <c r="AS236" s="378"/>
      <c r="AT236" s="378"/>
      <c r="AU236" s="378"/>
      <c r="AV236" s="378"/>
      <c r="AW236" s="378"/>
    </row>
    <row r="237" spans="1:49" ht="12.95" customHeight="1">
      <c r="A237" s="348" t="s">
        <v>830</v>
      </c>
      <c r="B237" s="350" t="s">
        <v>831</v>
      </c>
      <c r="C237" s="419" t="s">
        <v>832</v>
      </c>
      <c r="D237" s="420"/>
      <c r="E237" s="420"/>
      <c r="F237" s="420"/>
      <c r="G237" s="420"/>
      <c r="H237" s="420"/>
      <c r="I237" s="420">
        <f t="shared" ref="I237:Q237" si="61">AVERAGE(H197:I197)</f>
        <v>2743.7020000000002</v>
      </c>
      <c r="J237" s="420">
        <f t="shared" si="61"/>
        <v>2803.6</v>
      </c>
      <c r="K237" s="420">
        <f t="shared" si="61"/>
        <v>2822.2669999999998</v>
      </c>
      <c r="L237" s="420">
        <f t="shared" si="61"/>
        <v>2770.3599999999997</v>
      </c>
      <c r="M237" s="420">
        <f t="shared" si="61"/>
        <v>2682.3409999999999</v>
      </c>
      <c r="N237" s="420">
        <f t="shared" si="61"/>
        <v>2455.5962145419908</v>
      </c>
      <c r="O237" s="420">
        <f t="shared" si="61"/>
        <v>2324.2234509243312</v>
      </c>
      <c r="P237" s="420">
        <f t="shared" si="61"/>
        <v>2378.2165362487713</v>
      </c>
      <c r="Q237" s="420">
        <f t="shared" si="61"/>
        <v>2459.3569721656345</v>
      </c>
      <c r="R237" s="420"/>
      <c r="S237" s="420"/>
      <c r="T237" s="420">
        <f t="shared" ref="T237:AH237" si="62">AVERAGE(S197:T197)</f>
        <v>0</v>
      </c>
      <c r="U237" s="420">
        <f t="shared" si="62"/>
        <v>0</v>
      </c>
      <c r="V237" s="420">
        <f t="shared" si="62"/>
        <v>0</v>
      </c>
      <c r="W237" s="420">
        <f t="shared" si="62"/>
        <v>0</v>
      </c>
      <c r="X237" s="420">
        <f t="shared" si="62"/>
        <v>0</v>
      </c>
      <c r="Y237" s="420">
        <f t="shared" si="62"/>
        <v>0</v>
      </c>
      <c r="Z237" s="420">
        <f t="shared" si="62"/>
        <v>0</v>
      </c>
      <c r="AA237" s="420">
        <f t="shared" si="62"/>
        <v>0</v>
      </c>
      <c r="AB237" s="420">
        <f t="shared" si="62"/>
        <v>0</v>
      </c>
      <c r="AC237" s="420">
        <f t="shared" si="62"/>
        <v>0</v>
      </c>
      <c r="AD237" s="420">
        <f t="shared" si="62"/>
        <v>0</v>
      </c>
      <c r="AE237" s="420">
        <f t="shared" si="62"/>
        <v>0</v>
      </c>
      <c r="AF237" s="420">
        <f t="shared" si="62"/>
        <v>0</v>
      </c>
      <c r="AG237" s="420">
        <f t="shared" si="62"/>
        <v>0</v>
      </c>
      <c r="AH237" s="420">
        <f t="shared" si="62"/>
        <v>0</v>
      </c>
      <c r="AI237" s="322"/>
      <c r="AJ237" s="479"/>
      <c r="AK237" s="378" t="str">
        <f>_xll.BLUEMATRIX2("/servlet/excelData",E237,$B$1,$B237&amp;":"&amp;E$115&amp;":"&amp;$AI$114)</f>
        <v>#</v>
      </c>
      <c r="AL237" s="378" t="str">
        <f>_xll.BLUEMATRIX2("/servlet/excelData",F237,$B$1,$B237&amp;":"&amp;F$115&amp;":"&amp;$AI$114)</f>
        <v>#</v>
      </c>
      <c r="AM237" s="378" t="str">
        <f>_xll.BLUEMATRIX2("/servlet/excelData",G237,$B$1,$B237&amp;":"&amp;G$115&amp;":"&amp;$AI$114)</f>
        <v>#</v>
      </c>
      <c r="AN237" s="378" t="str">
        <f>_xll.BLUEMATRIX2("/servlet/excelData",H237,$B$1,$B237&amp;":"&amp;H$115&amp;":"&amp;$AI$114)</f>
        <v>#</v>
      </c>
      <c r="AO237" s="378" t="str">
        <f>_xll.BLUEMATRIX2("/servlet/excelData",I237,$B$1,$B237&amp;":"&amp;I$115&amp;":"&amp;$AI$114)</f>
        <v>#</v>
      </c>
      <c r="AP237" s="378" t="str">
        <f>_xll.BLUEMATRIX2("/servlet/excelData",J237,$B$1,$B237&amp;":"&amp;J$115&amp;":"&amp;$AI$114)</f>
        <v>#</v>
      </c>
      <c r="AQ237" s="378" t="str">
        <f>_xll.BLUEMATRIX2("/servlet/excelData",K237,$B$1,$B237&amp;":"&amp;K$115&amp;":"&amp;$AI$114)</f>
        <v>#</v>
      </c>
      <c r="AR237" s="378" t="str">
        <f>_xll.BLUEMATRIX2("/servlet/excelData",L237,$B$1,$B237&amp;":"&amp;L$115&amp;":"&amp;$AI$114)</f>
        <v>#</v>
      </c>
      <c r="AS237" s="378" t="str">
        <f>_xll.BLUEMATRIX2("/servlet/excelData",M237,$B$1,$B237&amp;":"&amp;M$115&amp;":"&amp;$AI$114)</f>
        <v>#</v>
      </c>
      <c r="AT237" s="378" t="str">
        <f>_xll.BLUEMATRIX2("/servlet/excelData",N237,$B$1,$B237&amp;":"&amp;N$115&amp;":"&amp;$AI$114)</f>
        <v>#</v>
      </c>
      <c r="AU237" s="378" t="str">
        <f>_xll.BLUEMATRIX2("/servlet/excelData",O237,$B$1,$B237&amp;":"&amp;O$115&amp;":"&amp;$AI$114)</f>
        <v>#</v>
      </c>
      <c r="AV237" s="378" t="str">
        <f>_xll.BLUEMATRIX2("/servlet/excelData",P237,$B$1,$B237&amp;":"&amp;P$115&amp;":"&amp;$AI$114)</f>
        <v>#</v>
      </c>
      <c r="AW237" s="378" t="str">
        <f>_xll.BLUEMATRIX2("/servlet/excelData",Q237,$B$1,$B237&amp;":"&amp;Q$115&amp;":"&amp;$AI$114)</f>
        <v>#</v>
      </c>
    </row>
    <row r="238" spans="1:49" ht="12.95" customHeight="1">
      <c r="A238" s="348" t="s">
        <v>833</v>
      </c>
      <c r="B238" s="350" t="s">
        <v>834</v>
      </c>
      <c r="C238" s="419" t="s">
        <v>835</v>
      </c>
      <c r="D238" s="420"/>
      <c r="E238" s="420"/>
      <c r="F238" s="420"/>
      <c r="G238" s="420"/>
      <c r="H238" s="420"/>
      <c r="I238" s="420">
        <f t="shared" ref="I238:Q238" si="63">AVERAGE(H229:I229)</f>
        <v>1571.2740000000001</v>
      </c>
      <c r="J238" s="420">
        <f t="shared" si="63"/>
        <v>1550.7355000000002</v>
      </c>
      <c r="K238" s="420">
        <f t="shared" si="63"/>
        <v>1417.029</v>
      </c>
      <c r="L238" s="420">
        <f t="shared" si="63"/>
        <v>1317.1424999999999</v>
      </c>
      <c r="M238" s="420">
        <f t="shared" si="63"/>
        <v>1437.729</v>
      </c>
      <c r="N238" s="420">
        <f t="shared" si="63"/>
        <v>1536.7591614259686</v>
      </c>
      <c r="O238" s="420">
        <f t="shared" si="63"/>
        <v>1547.3665283899572</v>
      </c>
      <c r="P238" s="420">
        <f t="shared" si="63"/>
        <v>1600.0374117009089</v>
      </c>
      <c r="Q238" s="420">
        <f t="shared" si="63"/>
        <v>1675.8415731773271</v>
      </c>
      <c r="R238" s="420"/>
      <c r="S238" s="420"/>
      <c r="T238" s="420">
        <f t="shared" ref="T238:AH238" si="64">AVERAGE(S229:T229)</f>
        <v>0</v>
      </c>
      <c r="U238" s="420">
        <f t="shared" si="64"/>
        <v>0</v>
      </c>
      <c r="V238" s="420">
        <f t="shared" si="64"/>
        <v>0</v>
      </c>
      <c r="W238" s="420">
        <f t="shared" si="64"/>
        <v>0</v>
      </c>
      <c r="X238" s="420">
        <f t="shared" si="64"/>
        <v>0</v>
      </c>
      <c r="Y238" s="420">
        <f t="shared" si="64"/>
        <v>0</v>
      </c>
      <c r="Z238" s="420">
        <f t="shared" si="64"/>
        <v>0</v>
      </c>
      <c r="AA238" s="420">
        <f t="shared" si="64"/>
        <v>0</v>
      </c>
      <c r="AB238" s="420">
        <f t="shared" si="64"/>
        <v>0</v>
      </c>
      <c r="AC238" s="420">
        <f t="shared" si="64"/>
        <v>0</v>
      </c>
      <c r="AD238" s="420">
        <f t="shared" si="64"/>
        <v>0</v>
      </c>
      <c r="AE238" s="420">
        <f t="shared" si="64"/>
        <v>0</v>
      </c>
      <c r="AF238" s="420">
        <f t="shared" si="64"/>
        <v>0</v>
      </c>
      <c r="AG238" s="420">
        <f t="shared" si="64"/>
        <v>0</v>
      </c>
      <c r="AH238" s="420">
        <f t="shared" si="64"/>
        <v>0</v>
      </c>
      <c r="AI238" s="322"/>
      <c r="AJ238" s="479"/>
      <c r="AK238" s="378" t="str">
        <f>_xll.BLUEMATRIX2("/servlet/excelData",E238,$B$1,$B238&amp;":"&amp;E$115&amp;":"&amp;$AI$114)</f>
        <v>#</v>
      </c>
      <c r="AL238" s="378" t="str">
        <f>_xll.BLUEMATRIX2("/servlet/excelData",F238,$B$1,$B238&amp;":"&amp;F$115&amp;":"&amp;$AI$114)</f>
        <v>#</v>
      </c>
      <c r="AM238" s="378" t="str">
        <f>_xll.BLUEMATRIX2("/servlet/excelData",G238,$B$1,$B238&amp;":"&amp;G$115&amp;":"&amp;$AI$114)</f>
        <v>#</v>
      </c>
      <c r="AN238" s="378" t="str">
        <f>_xll.BLUEMATRIX2("/servlet/excelData",H238,$B$1,$B238&amp;":"&amp;H$115&amp;":"&amp;$AI$114)</f>
        <v>#</v>
      </c>
      <c r="AO238" s="378" t="str">
        <f>_xll.BLUEMATRIX2("/servlet/excelData",I238,$B$1,$B238&amp;":"&amp;I$115&amp;":"&amp;$AI$114)</f>
        <v>#</v>
      </c>
      <c r="AP238" s="378" t="str">
        <f>_xll.BLUEMATRIX2("/servlet/excelData",J238,$B$1,$B238&amp;":"&amp;J$115&amp;":"&amp;$AI$114)</f>
        <v>#</v>
      </c>
      <c r="AQ238" s="378" t="str">
        <f>_xll.BLUEMATRIX2("/servlet/excelData",K238,$B$1,$B238&amp;":"&amp;K$115&amp;":"&amp;$AI$114)</f>
        <v>#</v>
      </c>
      <c r="AR238" s="378" t="str">
        <f>_xll.BLUEMATRIX2("/servlet/excelData",L238,$B$1,$B238&amp;":"&amp;L$115&amp;":"&amp;$AI$114)</f>
        <v>#</v>
      </c>
      <c r="AS238" s="378" t="str">
        <f>_xll.BLUEMATRIX2("/servlet/excelData",M238,$B$1,$B238&amp;":"&amp;M$115&amp;":"&amp;$AI$114)</f>
        <v>#</v>
      </c>
      <c r="AT238" s="378" t="str">
        <f>_xll.BLUEMATRIX2("/servlet/excelData",N238,$B$1,$B238&amp;":"&amp;N$115&amp;":"&amp;$AI$114)</f>
        <v>#</v>
      </c>
      <c r="AU238" s="378" t="str">
        <f>_xll.BLUEMATRIX2("/servlet/excelData",O238,$B$1,$B238&amp;":"&amp;O$115&amp;":"&amp;$AI$114)</f>
        <v>#</v>
      </c>
      <c r="AV238" s="378" t="str">
        <f>_xll.BLUEMATRIX2("/servlet/excelData",P238,$B$1,$B238&amp;":"&amp;P$115&amp;":"&amp;$AI$114)</f>
        <v>#</v>
      </c>
      <c r="AW238" s="378" t="str">
        <f>_xll.BLUEMATRIX2("/servlet/excelData",Q238,$B$1,$B238&amp;":"&amp;Q$115&amp;":"&amp;$AI$114)</f>
        <v>#</v>
      </c>
    </row>
    <row r="239" spans="1:49" ht="12.95" customHeight="1">
      <c r="A239" s="348"/>
      <c r="B239" s="350"/>
      <c r="C239" s="403"/>
      <c r="D239" s="409"/>
      <c r="E239" s="409"/>
      <c r="F239" s="409"/>
      <c r="G239" s="409"/>
      <c r="H239" s="409"/>
      <c r="I239" s="409"/>
      <c r="J239" s="409"/>
      <c r="K239" s="409"/>
      <c r="L239" s="409"/>
      <c r="M239" s="409"/>
      <c r="N239" s="409"/>
      <c r="O239" s="409"/>
      <c r="P239" s="409"/>
      <c r="Q239" s="409"/>
      <c r="R239" s="409"/>
      <c r="S239" s="409"/>
      <c r="T239" s="409"/>
      <c r="U239" s="409"/>
      <c r="V239" s="409"/>
      <c r="W239" s="409"/>
      <c r="X239" s="409"/>
      <c r="Y239" s="409"/>
      <c r="Z239" s="409"/>
      <c r="AA239" s="409"/>
      <c r="AB239" s="409"/>
      <c r="AC239" s="409"/>
      <c r="AD239" s="409"/>
      <c r="AE239" s="409"/>
      <c r="AF239" s="409"/>
      <c r="AG239" s="409"/>
      <c r="AH239" s="409"/>
      <c r="AI239" s="409"/>
      <c r="AJ239" s="477"/>
      <c r="AK239" s="351"/>
      <c r="AL239" s="351"/>
      <c r="AM239" s="351"/>
      <c r="AN239" s="351"/>
      <c r="AO239" s="351"/>
      <c r="AP239" s="351"/>
      <c r="AQ239" s="351"/>
      <c r="AR239" s="351"/>
      <c r="AS239" s="351"/>
      <c r="AT239" s="351"/>
      <c r="AU239" s="351"/>
      <c r="AV239" s="351"/>
      <c r="AW239" s="351"/>
    </row>
    <row r="240" spans="1:49" ht="12.95" customHeight="1">
      <c r="A240" s="421"/>
      <c r="B240" s="350"/>
      <c r="C240" s="422"/>
      <c r="D240" s="423"/>
      <c r="E240" s="423"/>
      <c r="F240" s="423"/>
      <c r="G240" s="423"/>
      <c r="H240" s="423"/>
      <c r="I240" s="423"/>
      <c r="J240" s="423"/>
      <c r="K240" s="423"/>
      <c r="L240" s="423"/>
      <c r="M240" s="423"/>
      <c r="N240" s="423"/>
      <c r="O240" s="423"/>
      <c r="P240" s="423"/>
      <c r="Q240" s="423"/>
      <c r="R240" s="423"/>
      <c r="S240" s="423"/>
      <c r="T240" s="417"/>
      <c r="U240" s="417"/>
      <c r="V240" s="417"/>
      <c r="W240" s="417"/>
      <c r="X240" s="417"/>
      <c r="Y240" s="417"/>
      <c r="Z240" s="417"/>
      <c r="AA240" s="417"/>
      <c r="AB240" s="417"/>
      <c r="AC240" s="417"/>
      <c r="AD240" s="417"/>
      <c r="AE240" s="417"/>
      <c r="AF240" s="417"/>
      <c r="AG240" s="417"/>
      <c r="AH240" s="417"/>
      <c r="AI240" s="322"/>
      <c r="AJ240" s="477"/>
      <c r="AK240" s="351"/>
      <c r="AL240" s="351"/>
      <c r="AM240" s="351"/>
      <c r="AN240" s="351"/>
      <c r="AO240" s="351"/>
      <c r="AP240" s="351"/>
      <c r="AQ240" s="351"/>
      <c r="AR240" s="351"/>
      <c r="AS240" s="351"/>
      <c r="AT240" s="351"/>
      <c r="AU240" s="351"/>
      <c r="AV240" s="351"/>
      <c r="AW240" s="351"/>
    </row>
    <row r="241" spans="1:49" ht="15" customHeight="1">
      <c r="A241" s="368"/>
      <c r="B241" s="350"/>
      <c r="C241" s="369" t="s">
        <v>836</v>
      </c>
      <c r="D241" s="370"/>
      <c r="E241" s="370"/>
      <c r="F241" s="370"/>
      <c r="G241" s="370"/>
      <c r="H241" s="370"/>
      <c r="I241" s="370"/>
      <c r="J241" s="370"/>
      <c r="K241" s="370"/>
      <c r="L241" s="370"/>
      <c r="M241" s="370"/>
      <c r="N241" s="370"/>
      <c r="O241" s="370"/>
      <c r="P241" s="370"/>
      <c r="Q241" s="370"/>
      <c r="R241" s="370"/>
      <c r="S241" s="370"/>
      <c r="T241" s="370"/>
      <c r="U241" s="370"/>
      <c r="V241" s="370"/>
      <c r="W241" s="370"/>
      <c r="X241" s="370"/>
      <c r="Y241" s="370"/>
      <c r="Z241" s="370"/>
      <c r="AA241" s="370"/>
      <c r="AB241" s="370"/>
      <c r="AC241" s="370"/>
      <c r="AD241" s="370"/>
      <c r="AE241" s="370"/>
      <c r="AF241" s="370"/>
      <c r="AG241" s="370"/>
      <c r="AH241" s="370"/>
      <c r="AI241" s="328"/>
      <c r="AJ241" s="477"/>
      <c r="AK241" s="351"/>
      <c r="AL241" s="351"/>
      <c r="AM241" s="351"/>
      <c r="AN241" s="351"/>
      <c r="AO241" s="351"/>
      <c r="AP241" s="351"/>
      <c r="AQ241" s="351"/>
      <c r="AR241" s="351"/>
      <c r="AS241" s="351"/>
      <c r="AT241" s="351"/>
      <c r="AU241" s="351"/>
      <c r="AV241" s="351"/>
      <c r="AW241" s="351"/>
    </row>
    <row r="242" spans="1:49" ht="12.95" customHeight="1">
      <c r="A242" s="368"/>
      <c r="B242" s="350"/>
      <c r="C242" s="424" t="s">
        <v>837</v>
      </c>
      <c r="D242" s="327"/>
      <c r="E242" s="327"/>
      <c r="F242" s="327"/>
      <c r="G242" s="327"/>
      <c r="H242" s="327"/>
      <c r="I242" s="327"/>
      <c r="J242" s="327"/>
      <c r="K242" s="327"/>
      <c r="L242" s="327"/>
      <c r="M242" s="327"/>
      <c r="N242" s="327"/>
      <c r="O242" s="327"/>
      <c r="P242" s="327"/>
      <c r="Q242" s="327"/>
      <c r="R242" s="327"/>
      <c r="S242" s="327"/>
      <c r="T242" s="327"/>
      <c r="U242" s="327"/>
      <c r="V242" s="327"/>
      <c r="W242" s="327"/>
      <c r="X242" s="327"/>
      <c r="Y242" s="327"/>
      <c r="Z242" s="327"/>
      <c r="AA242" s="327"/>
      <c r="AB242" s="327"/>
      <c r="AC242" s="327"/>
      <c r="AD242" s="327"/>
      <c r="AE242" s="327"/>
      <c r="AF242" s="327"/>
      <c r="AG242" s="327"/>
      <c r="AH242" s="327"/>
      <c r="AI242" s="328"/>
      <c r="AJ242" s="477"/>
      <c r="AK242" s="351"/>
      <c r="AL242" s="351"/>
      <c r="AM242" s="351"/>
      <c r="AN242" s="351"/>
      <c r="AO242" s="351"/>
      <c r="AP242" s="351"/>
      <c r="AQ242" s="351"/>
      <c r="AR242" s="351"/>
      <c r="AS242" s="351"/>
      <c r="AT242" s="351"/>
      <c r="AU242" s="351"/>
      <c r="AV242" s="351"/>
      <c r="AW242" s="351"/>
    </row>
    <row r="243" spans="1:49" ht="12.95" customHeight="1">
      <c r="A243" s="348" t="s">
        <v>838</v>
      </c>
      <c r="B243" s="350" t="s">
        <v>839</v>
      </c>
      <c r="C243" s="380" t="s">
        <v>26</v>
      </c>
      <c r="D243" s="384"/>
      <c r="E243" s="384"/>
      <c r="F243" s="384"/>
      <c r="G243" s="384"/>
      <c r="H243" s="384"/>
      <c r="I243" s="384">
        <f>FY!G69</f>
        <v>137.89999999999998</v>
      </c>
      <c r="J243" s="384">
        <f>FY!H69</f>
        <v>301.8</v>
      </c>
      <c r="K243" s="384">
        <f>FY!I69</f>
        <v>277.8</v>
      </c>
      <c r="L243" s="384">
        <f>FY!J69</f>
        <v>233.7</v>
      </c>
      <c r="M243" s="384">
        <f>FY!K69</f>
        <v>181.59999999999997</v>
      </c>
      <c r="N243" s="384">
        <f>FY!L69</f>
        <v>183.18613519999997</v>
      </c>
      <c r="O243" s="384">
        <f>FY!M69</f>
        <v>204.83214634399997</v>
      </c>
      <c r="P243" s="384">
        <f>FY!N69</f>
        <v>229.3444965540001</v>
      </c>
      <c r="Q243" s="384">
        <f>FY!O69</f>
        <v>238.69843621886156</v>
      </c>
      <c r="R243" s="384"/>
      <c r="S243" s="384"/>
      <c r="T243" s="384"/>
      <c r="U243" s="384"/>
      <c r="V243" s="384"/>
      <c r="W243" s="384"/>
      <c r="X243" s="384"/>
      <c r="Y243" s="384"/>
      <c r="Z243" s="384"/>
      <c r="AA243" s="384"/>
      <c r="AB243" s="384"/>
      <c r="AC243" s="384"/>
      <c r="AD243" s="384"/>
      <c r="AE243" s="384"/>
      <c r="AF243" s="384"/>
      <c r="AG243" s="384"/>
      <c r="AH243" s="384"/>
      <c r="AI243" s="322"/>
      <c r="AJ243" s="479"/>
      <c r="AK243" s="378" t="str">
        <f>_xll.BLUEMATRIX2("/servlet/excelData",E243,$B$1,$B243&amp;":"&amp;E$115&amp;":"&amp;$AI$114)</f>
        <v>#</v>
      </c>
      <c r="AL243" s="378" t="str">
        <f>_xll.BLUEMATRIX2("/servlet/excelData",F243,$B$1,$B243&amp;":"&amp;F$115&amp;":"&amp;$AI$114)</f>
        <v>#</v>
      </c>
      <c r="AM243" s="378" t="str">
        <f>_xll.BLUEMATRIX2("/servlet/excelData",G243,$B$1,$B243&amp;":"&amp;G$115&amp;":"&amp;$AI$114)</f>
        <v>#</v>
      </c>
      <c r="AN243" s="378" t="str">
        <f>_xll.BLUEMATRIX2("/servlet/excelData",H243,$B$1,$B243&amp;":"&amp;H$115&amp;":"&amp;$AI$114)</f>
        <v>#</v>
      </c>
      <c r="AO243" s="378" t="str">
        <f>_xll.BLUEMATRIX2("/servlet/excelData",I243,$B$1,$B243&amp;":"&amp;I$115&amp;":"&amp;$AI$114)</f>
        <v>#</v>
      </c>
      <c r="AP243" s="378" t="str">
        <f>_xll.BLUEMATRIX2("/servlet/excelData",J243,$B$1,$B243&amp;":"&amp;J$115&amp;":"&amp;$AI$114)</f>
        <v>#</v>
      </c>
      <c r="AQ243" s="378" t="str">
        <f>_xll.BLUEMATRIX2("/servlet/excelData",K243,$B$1,$B243&amp;":"&amp;K$115&amp;":"&amp;$AI$114)</f>
        <v>#</v>
      </c>
      <c r="AR243" s="378" t="str">
        <f>_xll.BLUEMATRIX2("/servlet/excelData",L243,$B$1,$B243&amp;":"&amp;L$115&amp;":"&amp;$AI$114)</f>
        <v>#</v>
      </c>
      <c r="AS243" s="378" t="str">
        <f>_xll.BLUEMATRIX2("/servlet/excelData",M243,$B$1,$B243&amp;":"&amp;M$115&amp;":"&amp;$AI$114)</f>
        <v>#</v>
      </c>
      <c r="AT243" s="378" t="str">
        <f>_xll.BLUEMATRIX2("/servlet/excelData",N243,$B$1,$B243&amp;":"&amp;N$115&amp;":"&amp;$AI$114)</f>
        <v>#</v>
      </c>
      <c r="AU243" s="378" t="str">
        <f>_xll.BLUEMATRIX2("/servlet/excelData",O243,$B$1,$B243&amp;":"&amp;O$115&amp;":"&amp;$AI$114)</f>
        <v>#</v>
      </c>
      <c r="AV243" s="378" t="str">
        <f>_xll.BLUEMATRIX2("/servlet/excelData",P243,$B$1,$B243&amp;":"&amp;P$115&amp;":"&amp;$AI$114)</f>
        <v>#</v>
      </c>
      <c r="AW243" s="378" t="str">
        <f>_xll.BLUEMATRIX2("/servlet/excelData",Q243,$B$1,$B243&amp;":"&amp;Q$115&amp;":"&amp;$AI$114)</f>
        <v>#</v>
      </c>
    </row>
    <row r="244" spans="1:49" ht="12.95" customHeight="1">
      <c r="A244" s="348" t="s">
        <v>840</v>
      </c>
      <c r="B244" s="350" t="s">
        <v>841</v>
      </c>
      <c r="C244" s="425" t="s">
        <v>842</v>
      </c>
      <c r="D244" s="426"/>
      <c r="E244" s="426"/>
      <c r="F244" s="426"/>
      <c r="G244" s="426"/>
      <c r="H244" s="426"/>
      <c r="I244" s="426"/>
      <c r="J244" s="426"/>
      <c r="K244" s="426"/>
      <c r="L244" s="426"/>
      <c r="M244" s="426"/>
      <c r="N244" s="426"/>
      <c r="O244" s="426"/>
      <c r="P244" s="426"/>
      <c r="Q244" s="426"/>
      <c r="R244" s="426">
        <v>0</v>
      </c>
      <c r="S244" s="426">
        <v>0</v>
      </c>
      <c r="T244" s="426">
        <v>0</v>
      </c>
      <c r="U244" s="426">
        <v>0</v>
      </c>
      <c r="V244" s="426">
        <v>0</v>
      </c>
      <c r="W244" s="426">
        <v>0</v>
      </c>
      <c r="X244" s="426">
        <v>0</v>
      </c>
      <c r="Y244" s="426">
        <v>0</v>
      </c>
      <c r="Z244" s="426">
        <v>0</v>
      </c>
      <c r="AA244" s="426">
        <v>0</v>
      </c>
      <c r="AB244" s="426">
        <v>0</v>
      </c>
      <c r="AC244" s="426">
        <v>0</v>
      </c>
      <c r="AD244" s="426">
        <v>0</v>
      </c>
      <c r="AE244" s="426">
        <v>0</v>
      </c>
      <c r="AF244" s="426">
        <v>0</v>
      </c>
      <c r="AG244" s="426">
        <v>0</v>
      </c>
      <c r="AH244" s="426">
        <v>0</v>
      </c>
      <c r="AI244" s="322"/>
      <c r="AJ244" s="479"/>
      <c r="AK244" s="378" t="str">
        <f>_xll.BLUEMATRIX2("/servlet/excelData",E244,$B$1,$B244&amp;":"&amp;E$115&amp;":"&amp;$AI$114)</f>
        <v>#</v>
      </c>
      <c r="AL244" s="378" t="str">
        <f>_xll.BLUEMATRIX2("/servlet/excelData",F244,$B$1,$B244&amp;":"&amp;F$115&amp;":"&amp;$AI$114)</f>
        <v>#</v>
      </c>
      <c r="AM244" s="378" t="str">
        <f>_xll.BLUEMATRIX2("/servlet/excelData",G244,$B$1,$B244&amp;":"&amp;G$115&amp;":"&amp;$AI$114)</f>
        <v>#</v>
      </c>
      <c r="AN244" s="378" t="str">
        <f>_xll.BLUEMATRIX2("/servlet/excelData",H244,$B$1,$B244&amp;":"&amp;H$115&amp;":"&amp;$AI$114)</f>
        <v>#</v>
      </c>
      <c r="AO244" s="378" t="str">
        <f>_xll.BLUEMATRIX2("/servlet/excelData",I244,$B$1,$B244&amp;":"&amp;I$115&amp;":"&amp;$AI$114)</f>
        <v>#</v>
      </c>
      <c r="AP244" s="378" t="str">
        <f>_xll.BLUEMATRIX2("/servlet/excelData",J244,$B$1,$B244&amp;":"&amp;J$115&amp;":"&amp;$AI$114)</f>
        <v>#</v>
      </c>
      <c r="AQ244" s="378" t="str">
        <f>_xll.BLUEMATRIX2("/servlet/excelData",K244,$B$1,$B244&amp;":"&amp;K$115&amp;":"&amp;$AI$114)</f>
        <v>#</v>
      </c>
      <c r="AR244" s="378" t="str">
        <f>_xll.BLUEMATRIX2("/servlet/excelData",L244,$B$1,$B244&amp;":"&amp;L$115&amp;":"&amp;$AI$114)</f>
        <v>#</v>
      </c>
      <c r="AS244" s="378" t="str">
        <f>_xll.BLUEMATRIX2("/servlet/excelData",M244,$B$1,$B244&amp;":"&amp;M$115&amp;":"&amp;$AI$114)</f>
        <v>#</v>
      </c>
      <c r="AT244" s="378" t="str">
        <f>_xll.BLUEMATRIX2("/servlet/excelData",N244,$B$1,$B244&amp;":"&amp;N$115&amp;":"&amp;$AI$114)</f>
        <v>#</v>
      </c>
      <c r="AU244" s="378" t="str">
        <f>_xll.BLUEMATRIX2("/servlet/excelData",O244,$B$1,$B244&amp;":"&amp;O$115&amp;":"&amp;$AI$114)</f>
        <v>#</v>
      </c>
      <c r="AV244" s="378" t="str">
        <f>_xll.BLUEMATRIX2("/servlet/excelData",P244,$B$1,$B244&amp;":"&amp;P$115&amp;":"&amp;$AI$114)</f>
        <v>#</v>
      </c>
      <c r="AW244" s="378" t="str">
        <f>_xll.BLUEMATRIX2("/servlet/excelData",Q244,$B$1,$B244&amp;":"&amp;Q$115&amp;":"&amp;$AI$114)</f>
        <v>#</v>
      </c>
    </row>
    <row r="245" spans="1:49" ht="12.95" customHeight="1">
      <c r="A245" s="348" t="s">
        <v>843</v>
      </c>
      <c r="B245" s="350" t="s">
        <v>844</v>
      </c>
      <c r="C245" s="380" t="s">
        <v>845</v>
      </c>
      <c r="D245" s="427"/>
      <c r="E245" s="427"/>
      <c r="F245" s="384"/>
      <c r="G245" s="384"/>
      <c r="H245" s="384"/>
      <c r="I245" s="384">
        <f>FY!G77</f>
        <v>-5.7279999999999518</v>
      </c>
      <c r="J245" s="384">
        <f>FY!H77</f>
        <v>2.7369999999999948</v>
      </c>
      <c r="K245" s="384">
        <f>FY!I77</f>
        <v>-25.039000000000016</v>
      </c>
      <c r="L245" s="384">
        <f>FY!J77</f>
        <v>-12.013000000000034</v>
      </c>
      <c r="M245" s="384">
        <f>FY!K77</f>
        <v>91.689000000000007</v>
      </c>
      <c r="N245" s="384">
        <f>FY!L77</f>
        <v>1.6706196608440536</v>
      </c>
      <c r="O245" s="384">
        <f>FY!M77</f>
        <v>-2.1289559967842138</v>
      </c>
      <c r="P245" s="384">
        <f>FY!N77</f>
        <v>2.6932861965300106</v>
      </c>
      <c r="Q245" s="384">
        <f>FY!O77</f>
        <v>4.6520214590656082</v>
      </c>
      <c r="R245" s="427"/>
      <c r="S245" s="384"/>
      <c r="T245" s="384"/>
      <c r="U245" s="384"/>
      <c r="V245" s="384"/>
      <c r="W245" s="384"/>
      <c r="X245" s="384"/>
      <c r="Y245" s="384"/>
      <c r="Z245" s="384"/>
      <c r="AA245" s="384"/>
      <c r="AB245" s="384"/>
      <c r="AC245" s="384"/>
      <c r="AD245" s="384"/>
      <c r="AE245" s="384"/>
      <c r="AF245" s="384"/>
      <c r="AG245" s="384"/>
      <c r="AH245" s="384"/>
      <c r="AI245" s="322"/>
      <c r="AJ245" s="479"/>
      <c r="AK245" s="378" t="str">
        <f>_xll.BLUEMATRIX2("/servlet/excelData",E245,$B$1,$B245&amp;":"&amp;E$115&amp;":"&amp;$AI$114)</f>
        <v>#</v>
      </c>
      <c r="AL245" s="378" t="str">
        <f>_xll.BLUEMATRIX2("/servlet/excelData",F245,$B$1,$B245&amp;":"&amp;F$115&amp;":"&amp;$AI$114)</f>
        <v>#</v>
      </c>
      <c r="AM245" s="378" t="str">
        <f>_xll.BLUEMATRIX2("/servlet/excelData",G245,$B$1,$B245&amp;":"&amp;G$115&amp;":"&amp;$AI$114)</f>
        <v>#</v>
      </c>
      <c r="AN245" s="378" t="str">
        <f>_xll.BLUEMATRIX2("/servlet/excelData",H245,$B$1,$B245&amp;":"&amp;H$115&amp;":"&amp;$AI$114)</f>
        <v>#</v>
      </c>
      <c r="AO245" s="378" t="str">
        <f>_xll.BLUEMATRIX2("/servlet/excelData",I245,$B$1,$B245&amp;":"&amp;I$115&amp;":"&amp;$AI$114)</f>
        <v>#</v>
      </c>
      <c r="AP245" s="378" t="str">
        <f>_xll.BLUEMATRIX2("/servlet/excelData",J245,$B$1,$B245&amp;":"&amp;J$115&amp;":"&amp;$AI$114)</f>
        <v>#</v>
      </c>
      <c r="AQ245" s="378" t="str">
        <f>_xll.BLUEMATRIX2("/servlet/excelData",K245,$B$1,$B245&amp;":"&amp;K$115&amp;":"&amp;$AI$114)</f>
        <v>#</v>
      </c>
      <c r="AR245" s="378" t="str">
        <f>_xll.BLUEMATRIX2("/servlet/excelData",L245,$B$1,$B245&amp;":"&amp;L$115&amp;":"&amp;$AI$114)</f>
        <v>#</v>
      </c>
      <c r="AS245" s="378" t="str">
        <f>_xll.BLUEMATRIX2("/servlet/excelData",M245,$B$1,$B245&amp;":"&amp;M$115&amp;":"&amp;$AI$114)</f>
        <v>#</v>
      </c>
      <c r="AT245" s="378" t="str">
        <f>_xll.BLUEMATRIX2("/servlet/excelData",N245,$B$1,$B245&amp;":"&amp;N$115&amp;":"&amp;$AI$114)</f>
        <v>#</v>
      </c>
      <c r="AU245" s="378" t="str">
        <f>_xll.BLUEMATRIX2("/servlet/excelData",O245,$B$1,$B245&amp;":"&amp;O$115&amp;":"&amp;$AI$114)</f>
        <v>#</v>
      </c>
      <c r="AV245" s="378" t="str">
        <f>_xll.BLUEMATRIX2("/servlet/excelData",P245,$B$1,$B245&amp;":"&amp;P$115&amp;":"&amp;$AI$114)</f>
        <v>#</v>
      </c>
      <c r="AW245" s="378" t="str">
        <f>_xll.BLUEMATRIX2("/servlet/excelData",Q245,$B$1,$B245&amp;":"&amp;Q$115&amp;":"&amp;$AI$114)</f>
        <v>#</v>
      </c>
    </row>
    <row r="246" spans="1:49" ht="12.95" customHeight="1">
      <c r="A246" s="348" t="s">
        <v>846</v>
      </c>
      <c r="B246" s="350" t="s">
        <v>847</v>
      </c>
      <c r="C246" s="380" t="s">
        <v>848</v>
      </c>
      <c r="D246" s="384"/>
      <c r="E246" s="384"/>
      <c r="F246" s="384"/>
      <c r="G246" s="384"/>
      <c r="H246" s="384"/>
      <c r="I246" s="384">
        <f>FY!G73</f>
        <v>-13.471000000000029</v>
      </c>
      <c r="J246" s="384">
        <f>FY!H73</f>
        <v>-11.241000000000014</v>
      </c>
      <c r="K246" s="384">
        <f>FY!I73</f>
        <v>11.736000000000018</v>
      </c>
      <c r="L246" s="384">
        <f>FY!J73</f>
        <v>-116.35799999999995</v>
      </c>
      <c r="M246" s="384">
        <f>FY!K73</f>
        <v>-112.66799999999996</v>
      </c>
      <c r="N246" s="384">
        <f>FY!L73</f>
        <v>-47</v>
      </c>
      <c r="O246" s="384">
        <f>FY!M73</f>
        <v>-17</v>
      </c>
      <c r="P246" s="384">
        <f>FY!N73</f>
        <v>-7</v>
      </c>
      <c r="Q246" s="384">
        <f>FY!O73</f>
        <v>0</v>
      </c>
      <c r="R246" s="384"/>
      <c r="S246" s="384"/>
      <c r="T246" s="384"/>
      <c r="U246" s="384"/>
      <c r="V246" s="384"/>
      <c r="W246" s="384"/>
      <c r="X246" s="384"/>
      <c r="Y246" s="384"/>
      <c r="Z246" s="384"/>
      <c r="AA246" s="384"/>
      <c r="AB246" s="384"/>
      <c r="AC246" s="384"/>
      <c r="AD246" s="384"/>
      <c r="AE246" s="384"/>
      <c r="AF246" s="384"/>
      <c r="AG246" s="384"/>
      <c r="AH246" s="384"/>
      <c r="AI246" s="322"/>
      <c r="AJ246" s="479"/>
      <c r="AK246" s="378" t="str">
        <f>_xll.BLUEMATRIX2("/servlet/excelData",E246,$B$1,$B246&amp;":"&amp;E$115&amp;":"&amp;$AI$114)</f>
        <v>#</v>
      </c>
      <c r="AL246" s="378" t="str">
        <f>_xll.BLUEMATRIX2("/servlet/excelData",F246,$B$1,$B246&amp;":"&amp;F$115&amp;":"&amp;$AI$114)</f>
        <v>#</v>
      </c>
      <c r="AM246" s="378" t="str">
        <f>_xll.BLUEMATRIX2("/servlet/excelData",G246,$B$1,$B246&amp;":"&amp;G$115&amp;":"&amp;$AI$114)</f>
        <v>#</v>
      </c>
      <c r="AN246" s="378" t="str">
        <f>_xll.BLUEMATRIX2("/servlet/excelData",H246,$B$1,$B246&amp;":"&amp;H$115&amp;":"&amp;$AI$114)</f>
        <v>#</v>
      </c>
      <c r="AO246" s="378" t="str">
        <f>_xll.BLUEMATRIX2("/servlet/excelData",I246,$B$1,$B246&amp;":"&amp;I$115&amp;":"&amp;$AI$114)</f>
        <v>#</v>
      </c>
      <c r="AP246" s="378" t="str">
        <f>_xll.BLUEMATRIX2("/servlet/excelData",J246,$B$1,$B246&amp;":"&amp;J$115&amp;":"&amp;$AI$114)</f>
        <v>#</v>
      </c>
      <c r="AQ246" s="378" t="str">
        <f>_xll.BLUEMATRIX2("/servlet/excelData",K246,$B$1,$B246&amp;":"&amp;K$115&amp;":"&amp;$AI$114)</f>
        <v>#</v>
      </c>
      <c r="AR246" s="378" t="str">
        <f>_xll.BLUEMATRIX2("/servlet/excelData",L246,$B$1,$B246&amp;":"&amp;L$115&amp;":"&amp;$AI$114)</f>
        <v>#</v>
      </c>
      <c r="AS246" s="378" t="str">
        <f>_xll.BLUEMATRIX2("/servlet/excelData",M246,$B$1,$B246&amp;":"&amp;M$115&amp;":"&amp;$AI$114)</f>
        <v>#</v>
      </c>
      <c r="AT246" s="378" t="str">
        <f>_xll.BLUEMATRIX2("/servlet/excelData",N246,$B$1,$B246&amp;":"&amp;N$115&amp;":"&amp;$AI$114)</f>
        <v>#</v>
      </c>
      <c r="AU246" s="378" t="str">
        <f>_xll.BLUEMATRIX2("/servlet/excelData",O246,$B$1,$B246&amp;":"&amp;O$115&amp;":"&amp;$AI$114)</f>
        <v>#</v>
      </c>
      <c r="AV246" s="378" t="str">
        <f>_xll.BLUEMATRIX2("/servlet/excelData",P246,$B$1,$B246&amp;":"&amp;P$115&amp;":"&amp;$AI$114)</f>
        <v>#</v>
      </c>
      <c r="AW246" s="378" t="str">
        <f>_xll.BLUEMATRIX2("/servlet/excelData",Q246,$B$1,$B246&amp;":"&amp;Q$115&amp;":"&amp;$AI$114)</f>
        <v>#</v>
      </c>
    </row>
    <row r="247" spans="1:49" ht="12.95" customHeight="1">
      <c r="A247" s="348" t="s">
        <v>849</v>
      </c>
      <c r="B247" s="350" t="s">
        <v>850</v>
      </c>
      <c r="C247" s="408" t="s">
        <v>851</v>
      </c>
      <c r="D247" s="387"/>
      <c r="E247" s="387"/>
      <c r="F247" s="387"/>
      <c r="G247" s="387"/>
      <c r="H247" s="387"/>
      <c r="I247" s="387">
        <f t="shared" ref="I247:Q247" si="65">I243+I244+I245+I246</f>
        <v>118.70099999999999</v>
      </c>
      <c r="J247" s="387">
        <f t="shared" si="65"/>
        <v>293.29600000000005</v>
      </c>
      <c r="K247" s="387">
        <f t="shared" si="65"/>
        <v>264.49700000000001</v>
      </c>
      <c r="L247" s="387">
        <f t="shared" si="65"/>
        <v>105.32900000000001</v>
      </c>
      <c r="M247" s="387">
        <f t="shared" si="65"/>
        <v>160.62100000000004</v>
      </c>
      <c r="N247" s="387">
        <f t="shared" si="65"/>
        <v>137.85675486084403</v>
      </c>
      <c r="O247" s="387">
        <f t="shared" si="65"/>
        <v>185.70319034721575</v>
      </c>
      <c r="P247" s="387">
        <f t="shared" si="65"/>
        <v>225.03778275053011</v>
      </c>
      <c r="Q247" s="387">
        <f t="shared" si="65"/>
        <v>243.35045767792718</v>
      </c>
      <c r="R247" s="387"/>
      <c r="S247" s="387"/>
      <c r="T247" s="387">
        <f t="shared" ref="T247:AH247" si="66">T243+T244+T245+T246</f>
        <v>0</v>
      </c>
      <c r="U247" s="387">
        <f t="shared" si="66"/>
        <v>0</v>
      </c>
      <c r="V247" s="387">
        <f t="shared" si="66"/>
        <v>0</v>
      </c>
      <c r="W247" s="387">
        <f t="shared" si="66"/>
        <v>0</v>
      </c>
      <c r="X247" s="387">
        <f t="shared" si="66"/>
        <v>0</v>
      </c>
      <c r="Y247" s="387">
        <f t="shared" si="66"/>
        <v>0</v>
      </c>
      <c r="Z247" s="387">
        <f t="shared" si="66"/>
        <v>0</v>
      </c>
      <c r="AA247" s="387">
        <f t="shared" si="66"/>
        <v>0</v>
      </c>
      <c r="AB247" s="387">
        <f t="shared" si="66"/>
        <v>0</v>
      </c>
      <c r="AC247" s="387">
        <f t="shared" si="66"/>
        <v>0</v>
      </c>
      <c r="AD247" s="387">
        <f t="shared" si="66"/>
        <v>0</v>
      </c>
      <c r="AE247" s="387">
        <f t="shared" si="66"/>
        <v>0</v>
      </c>
      <c r="AF247" s="387">
        <f t="shared" si="66"/>
        <v>0</v>
      </c>
      <c r="AG247" s="387">
        <f t="shared" si="66"/>
        <v>0</v>
      </c>
      <c r="AH247" s="387">
        <f t="shared" si="66"/>
        <v>0</v>
      </c>
      <c r="AI247" s="322"/>
      <c r="AJ247" s="479"/>
      <c r="AK247" s="378" t="str">
        <f>_xll.BLUEMATRIX2("/servlet/excelData",E247,$B$1,$B247&amp;":"&amp;E$115&amp;":"&amp;$AI$114)</f>
        <v>#</v>
      </c>
      <c r="AL247" s="378" t="str">
        <f>_xll.BLUEMATRIX2("/servlet/excelData",F247,$B$1,$B247&amp;":"&amp;F$115&amp;":"&amp;$AI$114)</f>
        <v>#</v>
      </c>
      <c r="AM247" s="378" t="str">
        <f>_xll.BLUEMATRIX2("/servlet/excelData",G247,$B$1,$B247&amp;":"&amp;G$115&amp;":"&amp;$AI$114)</f>
        <v>#</v>
      </c>
      <c r="AN247" s="378" t="str">
        <f>_xll.BLUEMATRIX2("/servlet/excelData",H247,$B$1,$B247&amp;":"&amp;H$115&amp;":"&amp;$AI$114)</f>
        <v>#</v>
      </c>
      <c r="AO247" s="378" t="str">
        <f>_xll.BLUEMATRIX2("/servlet/excelData",I247,$B$1,$B247&amp;":"&amp;I$115&amp;":"&amp;$AI$114)</f>
        <v>#</v>
      </c>
      <c r="AP247" s="378" t="str">
        <f>_xll.BLUEMATRIX2("/servlet/excelData",J247,$B$1,$B247&amp;":"&amp;J$115&amp;":"&amp;$AI$114)</f>
        <v>#</v>
      </c>
      <c r="AQ247" s="378" t="str">
        <f>_xll.BLUEMATRIX2("/servlet/excelData",K247,$B$1,$B247&amp;":"&amp;K$115&amp;":"&amp;$AI$114)</f>
        <v>#</v>
      </c>
      <c r="AR247" s="378" t="str">
        <f>_xll.BLUEMATRIX2("/servlet/excelData",L247,$B$1,$B247&amp;":"&amp;L$115&amp;":"&amp;$AI$114)</f>
        <v>#</v>
      </c>
      <c r="AS247" s="378" t="str">
        <f>_xll.BLUEMATRIX2("/servlet/excelData",M247,$B$1,$B247&amp;":"&amp;M$115&amp;":"&amp;$AI$114)</f>
        <v>#</v>
      </c>
      <c r="AT247" s="378" t="str">
        <f>_xll.BLUEMATRIX2("/servlet/excelData",N247,$B$1,$B247&amp;":"&amp;N$115&amp;":"&amp;$AI$114)</f>
        <v>#</v>
      </c>
      <c r="AU247" s="378" t="str">
        <f>_xll.BLUEMATRIX2("/servlet/excelData",O247,$B$1,$B247&amp;":"&amp;O$115&amp;":"&amp;$AI$114)</f>
        <v>#</v>
      </c>
      <c r="AV247" s="378" t="str">
        <f>_xll.BLUEMATRIX2("/servlet/excelData",P247,$B$1,$B247&amp;":"&amp;P$115&amp;":"&amp;$AI$114)</f>
        <v>#</v>
      </c>
      <c r="AW247" s="378" t="str">
        <f>_xll.BLUEMATRIX2("/servlet/excelData",Q247,$B$1,$B247&amp;":"&amp;Q$115&amp;":"&amp;$AI$114)</f>
        <v>#</v>
      </c>
    </row>
    <row r="248" spans="1:49" ht="12.95" customHeight="1">
      <c r="A248" s="348" t="s">
        <v>852</v>
      </c>
      <c r="B248" s="350" t="s">
        <v>853</v>
      </c>
      <c r="C248" s="425" t="s">
        <v>854</v>
      </c>
      <c r="D248" s="384"/>
      <c r="E248" s="384"/>
      <c r="F248" s="384"/>
      <c r="G248" s="384"/>
      <c r="H248" s="384"/>
      <c r="I248" s="384"/>
      <c r="J248" s="384"/>
      <c r="K248" s="384"/>
      <c r="L248" s="384"/>
      <c r="M248" s="384"/>
      <c r="N248" s="384"/>
      <c r="O248" s="384"/>
      <c r="P248" s="384"/>
      <c r="Q248" s="384"/>
      <c r="R248" s="384"/>
      <c r="S248" s="384"/>
      <c r="T248" s="384"/>
      <c r="U248" s="384"/>
      <c r="V248" s="384"/>
      <c r="W248" s="384"/>
      <c r="X248" s="384"/>
      <c r="Y248" s="384"/>
      <c r="Z248" s="384"/>
      <c r="AA248" s="384"/>
      <c r="AB248" s="384"/>
      <c r="AC248" s="384"/>
      <c r="AD248" s="384"/>
      <c r="AE248" s="384"/>
      <c r="AF248" s="384"/>
      <c r="AG248" s="384"/>
      <c r="AH248" s="384"/>
      <c r="AI248" s="322"/>
      <c r="AJ248" s="479"/>
      <c r="AK248" s="378" t="str">
        <f>_xll.BLUEMATRIX2("/servlet/excelData",E248,$B$1,$B248&amp;":"&amp;E$115&amp;":"&amp;$AI$114)</f>
        <v>#</v>
      </c>
      <c r="AL248" s="378" t="str">
        <f>_xll.BLUEMATRIX2("/servlet/excelData",F248,$B$1,$B248&amp;":"&amp;F$115&amp;":"&amp;$AI$114)</f>
        <v>#</v>
      </c>
      <c r="AM248" s="378" t="str">
        <f>_xll.BLUEMATRIX2("/servlet/excelData",G248,$B$1,$B248&amp;":"&amp;G$115&amp;":"&amp;$AI$114)</f>
        <v>#</v>
      </c>
      <c r="AN248" s="378" t="str">
        <f>_xll.BLUEMATRIX2("/servlet/excelData",H248,$B$1,$B248&amp;":"&amp;H$115&amp;":"&amp;$AI$114)</f>
        <v>#</v>
      </c>
      <c r="AO248" s="378" t="str">
        <f>_xll.BLUEMATRIX2("/servlet/excelData",I248,$B$1,$B248&amp;":"&amp;I$115&amp;":"&amp;$AI$114)</f>
        <v>#</v>
      </c>
      <c r="AP248" s="378" t="str">
        <f>_xll.BLUEMATRIX2("/servlet/excelData",J248,$B$1,$B248&amp;":"&amp;J$115&amp;":"&amp;$AI$114)</f>
        <v>#</v>
      </c>
      <c r="AQ248" s="378" t="str">
        <f>_xll.BLUEMATRIX2("/servlet/excelData",K248,$B$1,$B248&amp;":"&amp;K$115&amp;":"&amp;$AI$114)</f>
        <v>#</v>
      </c>
      <c r="AR248" s="378" t="str">
        <f>_xll.BLUEMATRIX2("/servlet/excelData",L248,$B$1,$B248&amp;":"&amp;L$115&amp;":"&amp;$AI$114)</f>
        <v>#</v>
      </c>
      <c r="AS248" s="378" t="str">
        <f>_xll.BLUEMATRIX2("/servlet/excelData",M248,$B$1,$B248&amp;":"&amp;M$115&amp;":"&amp;$AI$114)</f>
        <v>#</v>
      </c>
      <c r="AT248" s="378" t="str">
        <f>_xll.BLUEMATRIX2("/servlet/excelData",N248,$B$1,$B248&amp;":"&amp;N$115&amp;":"&amp;$AI$114)</f>
        <v>#</v>
      </c>
      <c r="AU248" s="378" t="str">
        <f>_xll.BLUEMATRIX2("/servlet/excelData",O248,$B$1,$B248&amp;":"&amp;O$115&amp;":"&amp;$AI$114)</f>
        <v>#</v>
      </c>
      <c r="AV248" s="378" t="str">
        <f>_xll.BLUEMATRIX2("/servlet/excelData",P248,$B$1,$B248&amp;":"&amp;P$115&amp;":"&amp;$AI$114)</f>
        <v>#</v>
      </c>
      <c r="AW248" s="378" t="str">
        <f>_xll.BLUEMATRIX2("/servlet/excelData",Q248,$B$1,$B248&amp;":"&amp;Q$115&amp;":"&amp;$AI$114)</f>
        <v>#</v>
      </c>
    </row>
    <row r="249" spans="1:49" ht="12.95" customHeight="1">
      <c r="A249" s="348" t="s">
        <v>855</v>
      </c>
      <c r="B249" s="350" t="s">
        <v>856</v>
      </c>
      <c r="C249" s="425" t="s">
        <v>857</v>
      </c>
      <c r="D249" s="384"/>
      <c r="E249" s="384"/>
      <c r="F249" s="384"/>
      <c r="G249" s="384"/>
      <c r="H249" s="384"/>
      <c r="I249" s="384">
        <f>FY!G70</f>
        <v>-25.678999999999998</v>
      </c>
      <c r="J249" s="384">
        <f>FY!H70</f>
        <v>-7.0339999999999989</v>
      </c>
      <c r="K249" s="384">
        <f>FY!I70</f>
        <v>-54.671999999999997</v>
      </c>
      <c r="L249" s="384">
        <f>FY!J70</f>
        <v>-60.167000000000002</v>
      </c>
      <c r="M249" s="384">
        <f>FY!K70</f>
        <v>-38.945</v>
      </c>
      <c r="N249" s="384">
        <f>FY!L70</f>
        <v>-13.050138365115998</v>
      </c>
      <c r="O249" s="384">
        <f>FY!M70</f>
        <v>-23.470461889731382</v>
      </c>
      <c r="P249" s="384">
        <f>FY!N70</f>
        <v>-31.96172380536995</v>
      </c>
      <c r="Q249" s="384">
        <f>FY!O70</f>
        <v>-36.013271745845671</v>
      </c>
      <c r="R249" s="384"/>
      <c r="S249" s="384"/>
      <c r="T249" s="384"/>
      <c r="U249" s="384"/>
      <c r="V249" s="384"/>
      <c r="W249" s="384"/>
      <c r="X249" s="384"/>
      <c r="Y249" s="384"/>
      <c r="Z249" s="384"/>
      <c r="AA249" s="384"/>
      <c r="AB249" s="384"/>
      <c r="AC249" s="384"/>
      <c r="AD249" s="384"/>
      <c r="AE249" s="384"/>
      <c r="AF249" s="384"/>
      <c r="AG249" s="384"/>
      <c r="AH249" s="384"/>
      <c r="AI249" s="322"/>
      <c r="AJ249" s="479"/>
      <c r="AK249" s="378" t="str">
        <f>_xll.BLUEMATRIX2("/servlet/excelData",E249,$B$1,$B249&amp;":"&amp;E$115&amp;":"&amp;$AI$114)</f>
        <v>#</v>
      </c>
      <c r="AL249" s="378" t="str">
        <f>_xll.BLUEMATRIX2("/servlet/excelData",F249,$B$1,$B249&amp;":"&amp;F$115&amp;":"&amp;$AI$114)</f>
        <v>#</v>
      </c>
      <c r="AM249" s="378" t="str">
        <f>_xll.BLUEMATRIX2("/servlet/excelData",G249,$B$1,$B249&amp;":"&amp;G$115&amp;":"&amp;$AI$114)</f>
        <v>#</v>
      </c>
      <c r="AN249" s="378" t="str">
        <f>_xll.BLUEMATRIX2("/servlet/excelData",H249,$B$1,$B249&amp;":"&amp;H$115&amp;":"&amp;$AI$114)</f>
        <v>#</v>
      </c>
      <c r="AO249" s="378" t="str">
        <f>_xll.BLUEMATRIX2("/servlet/excelData",I249,$B$1,$B249&amp;":"&amp;I$115&amp;":"&amp;$AI$114)</f>
        <v>#</v>
      </c>
      <c r="AP249" s="378" t="str">
        <f>_xll.BLUEMATRIX2("/servlet/excelData",J249,$B$1,$B249&amp;":"&amp;J$115&amp;":"&amp;$AI$114)</f>
        <v>#</v>
      </c>
      <c r="AQ249" s="378" t="str">
        <f>_xll.BLUEMATRIX2("/servlet/excelData",K249,$B$1,$B249&amp;":"&amp;K$115&amp;":"&amp;$AI$114)</f>
        <v>#</v>
      </c>
      <c r="AR249" s="378" t="str">
        <f>_xll.BLUEMATRIX2("/servlet/excelData",L249,$B$1,$B249&amp;":"&amp;L$115&amp;":"&amp;$AI$114)</f>
        <v>#</v>
      </c>
      <c r="AS249" s="378" t="str">
        <f>_xll.BLUEMATRIX2("/servlet/excelData",M249,$B$1,$B249&amp;":"&amp;M$115&amp;":"&amp;$AI$114)</f>
        <v>#</v>
      </c>
      <c r="AT249" s="378" t="str">
        <f>_xll.BLUEMATRIX2("/servlet/excelData",N249,$B$1,$B249&amp;":"&amp;N$115&amp;":"&amp;$AI$114)</f>
        <v>#</v>
      </c>
      <c r="AU249" s="378" t="str">
        <f>_xll.BLUEMATRIX2("/servlet/excelData",O249,$B$1,$B249&amp;":"&amp;O$115&amp;":"&amp;$AI$114)</f>
        <v>#</v>
      </c>
      <c r="AV249" s="378" t="str">
        <f>_xll.BLUEMATRIX2("/servlet/excelData",P249,$B$1,$B249&amp;":"&amp;P$115&amp;":"&amp;$AI$114)</f>
        <v>#</v>
      </c>
      <c r="AW249" s="378" t="str">
        <f>_xll.BLUEMATRIX2("/servlet/excelData",Q249,$B$1,$B249&amp;":"&amp;Q$115&amp;":"&amp;$AI$114)</f>
        <v>#</v>
      </c>
    </row>
    <row r="250" spans="1:49" ht="12.95" customHeight="1">
      <c r="A250" s="348" t="s">
        <v>858</v>
      </c>
      <c r="B250" s="350" t="s">
        <v>859</v>
      </c>
      <c r="C250" s="408" t="s">
        <v>860</v>
      </c>
      <c r="D250" s="387"/>
      <c r="E250" s="387"/>
      <c r="F250" s="387"/>
      <c r="G250" s="387"/>
      <c r="H250" s="387"/>
      <c r="I250" s="387">
        <f t="shared" ref="I250:Q250" si="67">I247+I248+I249</f>
        <v>93.021999999999991</v>
      </c>
      <c r="J250" s="387">
        <f t="shared" si="67"/>
        <v>286.26200000000006</v>
      </c>
      <c r="K250" s="387">
        <f t="shared" si="67"/>
        <v>209.82500000000002</v>
      </c>
      <c r="L250" s="387">
        <f t="shared" si="67"/>
        <v>45.162000000000006</v>
      </c>
      <c r="M250" s="387">
        <f t="shared" si="67"/>
        <v>121.67600000000004</v>
      </c>
      <c r="N250" s="387">
        <f t="shared" si="67"/>
        <v>124.80661649572804</v>
      </c>
      <c r="O250" s="387">
        <f t="shared" si="67"/>
        <v>162.23272845748437</v>
      </c>
      <c r="P250" s="387">
        <f t="shared" si="67"/>
        <v>193.07605894516016</v>
      </c>
      <c r="Q250" s="387">
        <f t="shared" si="67"/>
        <v>207.33718593208152</v>
      </c>
      <c r="R250" s="387"/>
      <c r="S250" s="387"/>
      <c r="T250" s="387">
        <f t="shared" ref="T250:AH250" si="68">T247+T248+T249</f>
        <v>0</v>
      </c>
      <c r="U250" s="387">
        <f t="shared" si="68"/>
        <v>0</v>
      </c>
      <c r="V250" s="387">
        <f t="shared" si="68"/>
        <v>0</v>
      </c>
      <c r="W250" s="387">
        <f t="shared" si="68"/>
        <v>0</v>
      </c>
      <c r="X250" s="387">
        <f t="shared" si="68"/>
        <v>0</v>
      </c>
      <c r="Y250" s="387">
        <f t="shared" si="68"/>
        <v>0</v>
      </c>
      <c r="Z250" s="387">
        <f t="shared" si="68"/>
        <v>0</v>
      </c>
      <c r="AA250" s="387">
        <f t="shared" si="68"/>
        <v>0</v>
      </c>
      <c r="AB250" s="387">
        <f t="shared" si="68"/>
        <v>0</v>
      </c>
      <c r="AC250" s="387">
        <f t="shared" si="68"/>
        <v>0</v>
      </c>
      <c r="AD250" s="387">
        <f t="shared" si="68"/>
        <v>0</v>
      </c>
      <c r="AE250" s="387">
        <f t="shared" si="68"/>
        <v>0</v>
      </c>
      <c r="AF250" s="387">
        <f t="shared" si="68"/>
        <v>0</v>
      </c>
      <c r="AG250" s="387">
        <f t="shared" si="68"/>
        <v>0</v>
      </c>
      <c r="AH250" s="387">
        <f t="shared" si="68"/>
        <v>0</v>
      </c>
      <c r="AI250" s="322"/>
      <c r="AJ250" s="479"/>
      <c r="AK250" s="378" t="str">
        <f>_xll.BLUEMATRIX2("/servlet/excelData",E250,$B$1,$B250&amp;":"&amp;E$115&amp;":"&amp;$AI$114)</f>
        <v>#</v>
      </c>
      <c r="AL250" s="378" t="str">
        <f>_xll.BLUEMATRIX2("/servlet/excelData",F250,$B$1,$B250&amp;":"&amp;F$115&amp;":"&amp;$AI$114)</f>
        <v>#</v>
      </c>
      <c r="AM250" s="378" t="str">
        <f>_xll.BLUEMATRIX2("/servlet/excelData",G250,$B$1,$B250&amp;":"&amp;G$115&amp;":"&amp;$AI$114)</f>
        <v>#</v>
      </c>
      <c r="AN250" s="378" t="str">
        <f>_xll.BLUEMATRIX2("/servlet/excelData",H250,$B$1,$B250&amp;":"&amp;H$115&amp;":"&amp;$AI$114)</f>
        <v>#</v>
      </c>
      <c r="AO250" s="378" t="str">
        <f>_xll.BLUEMATRIX2("/servlet/excelData",I250,$B$1,$B250&amp;":"&amp;I$115&amp;":"&amp;$AI$114)</f>
        <v>#</v>
      </c>
      <c r="AP250" s="378" t="str">
        <f>_xll.BLUEMATRIX2("/servlet/excelData",J250,$B$1,$B250&amp;":"&amp;J$115&amp;":"&amp;$AI$114)</f>
        <v>#</v>
      </c>
      <c r="AQ250" s="378" t="str">
        <f>_xll.BLUEMATRIX2("/servlet/excelData",K250,$B$1,$B250&amp;":"&amp;K$115&amp;":"&amp;$AI$114)</f>
        <v>#</v>
      </c>
      <c r="AR250" s="378" t="str">
        <f>_xll.BLUEMATRIX2("/servlet/excelData",L250,$B$1,$B250&amp;":"&amp;L$115&amp;":"&amp;$AI$114)</f>
        <v>#</v>
      </c>
      <c r="AS250" s="378" t="str">
        <f>_xll.BLUEMATRIX2("/servlet/excelData",M250,$B$1,$B250&amp;":"&amp;M$115&amp;":"&amp;$AI$114)</f>
        <v>#</v>
      </c>
      <c r="AT250" s="378" t="str">
        <f>_xll.BLUEMATRIX2("/servlet/excelData",N250,$B$1,$B250&amp;":"&amp;N$115&amp;":"&amp;$AI$114)</f>
        <v>#</v>
      </c>
      <c r="AU250" s="378" t="str">
        <f>_xll.BLUEMATRIX2("/servlet/excelData",O250,$B$1,$B250&amp;":"&amp;O$115&amp;":"&amp;$AI$114)</f>
        <v>#</v>
      </c>
      <c r="AV250" s="378" t="str">
        <f>_xll.BLUEMATRIX2("/servlet/excelData",P250,$B$1,$B250&amp;":"&amp;P$115&amp;":"&amp;$AI$114)</f>
        <v>#</v>
      </c>
      <c r="AW250" s="378" t="str">
        <f>_xll.BLUEMATRIX2("/servlet/excelData",Q250,$B$1,$B250&amp;":"&amp;Q$115&amp;":"&amp;$AI$114)</f>
        <v>#</v>
      </c>
    </row>
    <row r="251" spans="1:49" ht="12.95" customHeight="1">
      <c r="A251" s="348"/>
      <c r="B251" s="350"/>
      <c r="C251" s="483" t="s">
        <v>861</v>
      </c>
      <c r="D251" s="484"/>
      <c r="E251" s="484"/>
      <c r="F251" s="485"/>
      <c r="G251" s="485"/>
      <c r="H251" s="485"/>
      <c r="I251" s="485">
        <f>ROUND(FY!G78-I250,2)</f>
        <v>0</v>
      </c>
      <c r="J251" s="485">
        <f>ROUND(FY!H78-J250,2)</f>
        <v>0</v>
      </c>
      <c r="K251" s="485">
        <f>ROUND(FY!I78-K250,2)</f>
        <v>0</v>
      </c>
      <c r="L251" s="485">
        <f>ROUND(FY!J78-L250,2)</f>
        <v>0</v>
      </c>
      <c r="M251" s="485">
        <f>ROUND(FY!K78-M250,2)</f>
        <v>0</v>
      </c>
      <c r="N251" s="485">
        <f>ROUND(FY!L78-N250,2)</f>
        <v>0</v>
      </c>
      <c r="O251" s="485">
        <f>ROUND(FY!M78-O250,2)</f>
        <v>0</v>
      </c>
      <c r="P251" s="485">
        <f>ROUND(FY!N78-P250,2)</f>
        <v>0</v>
      </c>
      <c r="Q251" s="485">
        <f>ROUND(FY!O78-Q250,2)</f>
        <v>0</v>
      </c>
      <c r="R251" s="392"/>
      <c r="S251" s="392"/>
      <c r="T251" s="392"/>
      <c r="U251" s="392"/>
      <c r="V251" s="392"/>
      <c r="W251" s="392"/>
      <c r="X251" s="392"/>
      <c r="Y251" s="392"/>
      <c r="Z251" s="392"/>
      <c r="AA251" s="392"/>
      <c r="AB251" s="392"/>
      <c r="AC251" s="392"/>
      <c r="AD251" s="392"/>
      <c r="AE251" s="392"/>
      <c r="AF251" s="392"/>
      <c r="AG251" s="392"/>
      <c r="AH251" s="392"/>
      <c r="AI251" s="322"/>
      <c r="AJ251" s="479"/>
      <c r="AK251" s="378"/>
      <c r="AL251" s="378"/>
      <c r="AM251" s="378"/>
      <c r="AN251" s="378"/>
      <c r="AO251" s="378"/>
      <c r="AP251" s="378"/>
      <c r="AQ251" s="378"/>
      <c r="AR251" s="378"/>
      <c r="AS251" s="378"/>
      <c r="AT251" s="378"/>
      <c r="AU251" s="378"/>
      <c r="AV251" s="378"/>
      <c r="AW251" s="378"/>
    </row>
    <row r="252" spans="1:49" ht="12.95" customHeight="1">
      <c r="A252" s="348"/>
      <c r="B252" s="350"/>
      <c r="C252" s="403"/>
      <c r="D252" s="392"/>
      <c r="E252" s="392"/>
      <c r="F252" s="392"/>
      <c r="G252" s="392"/>
      <c r="H252" s="392"/>
      <c r="I252" s="392"/>
      <c r="J252" s="392"/>
      <c r="K252" s="392"/>
      <c r="L252" s="392"/>
      <c r="M252" s="392"/>
      <c r="N252" s="392"/>
      <c r="O252" s="392"/>
      <c r="P252" s="392"/>
      <c r="Q252" s="392"/>
      <c r="R252" s="392"/>
      <c r="S252" s="392"/>
      <c r="T252" s="392"/>
      <c r="U252" s="392"/>
      <c r="V252" s="392"/>
      <c r="W252" s="392"/>
      <c r="X252" s="392"/>
      <c r="Y252" s="392"/>
      <c r="Z252" s="392"/>
      <c r="AA252" s="392"/>
      <c r="AB252" s="392"/>
      <c r="AC252" s="392"/>
      <c r="AD252" s="392"/>
      <c r="AE252" s="392"/>
      <c r="AF252" s="392"/>
      <c r="AG252" s="392"/>
      <c r="AH252" s="392"/>
      <c r="AI252" s="322"/>
      <c r="AJ252" s="479"/>
      <c r="AK252" s="378"/>
      <c r="AL252" s="378"/>
      <c r="AM252" s="378"/>
      <c r="AN252" s="378"/>
      <c r="AO252" s="378"/>
      <c r="AP252" s="378"/>
      <c r="AQ252" s="378"/>
      <c r="AR252" s="378"/>
      <c r="AS252" s="378"/>
      <c r="AT252" s="378"/>
      <c r="AU252" s="378"/>
      <c r="AV252" s="378"/>
      <c r="AW252" s="378"/>
    </row>
    <row r="253" spans="1:49" ht="12.95" customHeight="1">
      <c r="A253" s="368"/>
      <c r="B253" s="350"/>
      <c r="C253" s="428"/>
      <c r="D253" s="420"/>
      <c r="E253" s="420"/>
      <c r="F253" s="420"/>
      <c r="G253" s="420"/>
      <c r="H253" s="420"/>
      <c r="I253" s="420"/>
      <c r="J253" s="420"/>
      <c r="K253" s="420"/>
      <c r="L253" s="420"/>
      <c r="M253" s="420"/>
      <c r="N253" s="420"/>
      <c r="O253" s="420"/>
      <c r="P253" s="420"/>
      <c r="Q253" s="420"/>
      <c r="R253" s="420"/>
      <c r="S253" s="420"/>
      <c r="T253" s="420"/>
      <c r="U253" s="420"/>
      <c r="V253" s="420"/>
      <c r="W253" s="420"/>
      <c r="X253" s="420"/>
      <c r="Y253" s="420"/>
      <c r="Z253" s="420"/>
      <c r="AA253" s="420"/>
      <c r="AB253" s="420"/>
      <c r="AC253" s="420"/>
      <c r="AD253" s="420"/>
      <c r="AE253" s="420"/>
      <c r="AF253" s="420"/>
      <c r="AG253" s="420"/>
      <c r="AH253" s="420"/>
      <c r="AI253" s="328"/>
      <c r="AJ253" s="479"/>
      <c r="AK253" s="378"/>
      <c r="AL253" s="378"/>
      <c r="AM253" s="378"/>
      <c r="AN253" s="378"/>
      <c r="AO253" s="378"/>
      <c r="AP253" s="378"/>
      <c r="AQ253" s="378"/>
      <c r="AR253" s="378"/>
      <c r="AS253" s="378"/>
      <c r="AT253" s="378"/>
      <c r="AU253" s="378"/>
      <c r="AV253" s="378"/>
      <c r="AW253" s="378"/>
    </row>
    <row r="254" spans="1:49" ht="12.95" customHeight="1">
      <c r="A254" s="348"/>
      <c r="B254" s="350"/>
      <c r="C254" s="429" t="s">
        <v>862</v>
      </c>
      <c r="D254" s="420"/>
      <c r="E254" s="420"/>
      <c r="F254" s="420"/>
      <c r="G254" s="420"/>
      <c r="H254" s="420"/>
      <c r="I254" s="420"/>
      <c r="J254" s="420"/>
      <c r="K254" s="420"/>
      <c r="L254" s="420"/>
      <c r="M254" s="420"/>
      <c r="N254" s="420"/>
      <c r="O254" s="420"/>
      <c r="P254" s="420"/>
      <c r="Q254" s="420"/>
      <c r="R254" s="420"/>
      <c r="S254" s="420"/>
      <c r="T254" s="420"/>
      <c r="U254" s="420"/>
      <c r="V254" s="420"/>
      <c r="W254" s="420"/>
      <c r="X254" s="420"/>
      <c r="Y254" s="420"/>
      <c r="Z254" s="420"/>
      <c r="AA254" s="420"/>
      <c r="AB254" s="420"/>
      <c r="AC254" s="420"/>
      <c r="AD254" s="420"/>
      <c r="AE254" s="420"/>
      <c r="AF254" s="420"/>
      <c r="AG254" s="420"/>
      <c r="AH254" s="420"/>
      <c r="AI254" s="322"/>
      <c r="AJ254" s="479"/>
      <c r="AK254" s="378"/>
      <c r="AL254" s="378"/>
      <c r="AM254" s="378"/>
      <c r="AN254" s="378"/>
      <c r="AO254" s="378"/>
      <c r="AP254" s="378"/>
      <c r="AQ254" s="378"/>
      <c r="AR254" s="378"/>
      <c r="AS254" s="378"/>
      <c r="AT254" s="378"/>
      <c r="AU254" s="378"/>
      <c r="AV254" s="378"/>
      <c r="AW254" s="378"/>
    </row>
    <row r="255" spans="1:49" ht="12.95" customHeight="1">
      <c r="A255" s="348" t="s">
        <v>863</v>
      </c>
      <c r="B255" s="350" t="s">
        <v>864</v>
      </c>
      <c r="C255" s="430" t="s">
        <v>865</v>
      </c>
      <c r="D255" s="384"/>
      <c r="E255" s="384"/>
      <c r="F255" s="384"/>
      <c r="G255" s="384"/>
      <c r="H255" s="384"/>
      <c r="I255" s="384"/>
      <c r="J255" s="384"/>
      <c r="K255" s="384"/>
      <c r="L255" s="384"/>
      <c r="M255" s="384"/>
      <c r="N255" s="384"/>
      <c r="O255" s="384"/>
      <c r="P255" s="384"/>
      <c r="Q255" s="384"/>
      <c r="R255" s="384"/>
      <c r="S255" s="384"/>
      <c r="T255" s="384"/>
      <c r="U255" s="384"/>
      <c r="V255" s="384"/>
      <c r="W255" s="384"/>
      <c r="X255" s="384"/>
      <c r="Y255" s="384"/>
      <c r="Z255" s="384"/>
      <c r="AA255" s="384"/>
      <c r="AB255" s="384"/>
      <c r="AC255" s="384"/>
      <c r="AD255" s="384"/>
      <c r="AE255" s="384"/>
      <c r="AF255" s="384"/>
      <c r="AG255" s="384"/>
      <c r="AH255" s="384"/>
      <c r="AI255" s="322"/>
      <c r="AJ255" s="479"/>
      <c r="AK255" s="378" t="str">
        <f>_xll.BLUEMATRIX2("/servlet/excelData",E255,$B$1,$B255&amp;":"&amp;E$115&amp;":"&amp;$AI$114)</f>
        <v>#</v>
      </c>
      <c r="AL255" s="378" t="str">
        <f>_xll.BLUEMATRIX2("/servlet/excelData",F255,$B$1,$B255&amp;":"&amp;F$115&amp;":"&amp;$AI$114)</f>
        <v>#</v>
      </c>
      <c r="AM255" s="378" t="str">
        <f>_xll.BLUEMATRIX2("/servlet/excelData",G255,$B$1,$B255&amp;":"&amp;G$115&amp;":"&amp;$AI$114)</f>
        <v>#</v>
      </c>
      <c r="AN255" s="378" t="str">
        <f>_xll.BLUEMATRIX2("/servlet/excelData",H255,$B$1,$B255&amp;":"&amp;H$115&amp;":"&amp;$AI$114)</f>
        <v>#</v>
      </c>
      <c r="AO255" s="378" t="str">
        <f>_xll.BLUEMATRIX2("/servlet/excelData",I255,$B$1,$B255&amp;":"&amp;I$115&amp;":"&amp;$AI$114)</f>
        <v>#</v>
      </c>
      <c r="AP255" s="378" t="str">
        <f>_xll.BLUEMATRIX2("/servlet/excelData",J255,$B$1,$B255&amp;":"&amp;J$115&amp;":"&amp;$AI$114)</f>
        <v>#</v>
      </c>
      <c r="AQ255" s="378" t="str">
        <f>_xll.BLUEMATRIX2("/servlet/excelData",K255,$B$1,$B255&amp;":"&amp;K$115&amp;":"&amp;$AI$114)</f>
        <v>#</v>
      </c>
      <c r="AR255" s="378" t="str">
        <f>_xll.BLUEMATRIX2("/servlet/excelData",L255,$B$1,$B255&amp;":"&amp;L$115&amp;":"&amp;$AI$114)</f>
        <v>#</v>
      </c>
      <c r="AS255" s="378" t="str">
        <f>_xll.BLUEMATRIX2("/servlet/excelData",M255,$B$1,$B255&amp;":"&amp;M$115&amp;":"&amp;$AI$114)</f>
        <v>#</v>
      </c>
      <c r="AT255" s="378" t="str">
        <f>_xll.BLUEMATRIX2("/servlet/excelData",N255,$B$1,$B255&amp;":"&amp;N$115&amp;":"&amp;$AI$114)</f>
        <v>#</v>
      </c>
      <c r="AU255" s="378" t="str">
        <f>_xll.BLUEMATRIX2("/servlet/excelData",O255,$B$1,$B255&amp;":"&amp;O$115&amp;":"&amp;$AI$114)</f>
        <v>#</v>
      </c>
      <c r="AV255" s="378" t="str">
        <f>_xll.BLUEMATRIX2("/servlet/excelData",P255,$B$1,$B255&amp;":"&amp;P$115&amp;":"&amp;$AI$114)</f>
        <v>#</v>
      </c>
      <c r="AW255" s="378" t="str">
        <f>_xll.BLUEMATRIX2("/servlet/excelData",Q255,$B$1,$B255&amp;":"&amp;Q$115&amp;":"&amp;$AI$114)</f>
        <v>#</v>
      </c>
    </row>
    <row r="256" spans="1:49" ht="12.95" customHeight="1">
      <c r="A256" s="348" t="s">
        <v>866</v>
      </c>
      <c r="B256" s="350" t="s">
        <v>867</v>
      </c>
      <c r="C256" s="383" t="s">
        <v>868</v>
      </c>
      <c r="D256" s="384"/>
      <c r="E256" s="384"/>
      <c r="F256" s="384"/>
      <c r="G256" s="384"/>
      <c r="H256" s="384"/>
      <c r="I256" s="384"/>
      <c r="J256" s="384"/>
      <c r="K256" s="384"/>
      <c r="L256" s="384"/>
      <c r="M256" s="384"/>
      <c r="N256" s="384"/>
      <c r="O256" s="384"/>
      <c r="P256" s="384"/>
      <c r="Q256" s="384"/>
      <c r="R256" s="384"/>
      <c r="S256" s="384"/>
      <c r="T256" s="384"/>
      <c r="U256" s="384"/>
      <c r="V256" s="384"/>
      <c r="W256" s="384"/>
      <c r="X256" s="384"/>
      <c r="Y256" s="384"/>
      <c r="Z256" s="384"/>
      <c r="AA256" s="384"/>
      <c r="AB256" s="384"/>
      <c r="AC256" s="384"/>
      <c r="AD256" s="384"/>
      <c r="AE256" s="384"/>
      <c r="AF256" s="384"/>
      <c r="AG256" s="384"/>
      <c r="AH256" s="384"/>
      <c r="AI256" s="322"/>
      <c r="AJ256" s="479"/>
      <c r="AK256" s="378" t="str">
        <f>_xll.BLUEMATRIX2("/servlet/excelData",E256,$B$1,$B256&amp;":"&amp;E$115&amp;":"&amp;$AI$114)</f>
        <v>#</v>
      </c>
      <c r="AL256" s="378" t="str">
        <f>_xll.BLUEMATRIX2("/servlet/excelData",F256,$B$1,$B256&amp;":"&amp;F$115&amp;":"&amp;$AI$114)</f>
        <v>#</v>
      </c>
      <c r="AM256" s="378" t="str">
        <f>_xll.BLUEMATRIX2("/servlet/excelData",G256,$B$1,$B256&amp;":"&amp;G$115&amp;":"&amp;$AI$114)</f>
        <v>#</v>
      </c>
      <c r="AN256" s="378" t="str">
        <f>_xll.BLUEMATRIX2("/servlet/excelData",H256,$B$1,$B256&amp;":"&amp;H$115&amp;":"&amp;$AI$114)</f>
        <v>#</v>
      </c>
      <c r="AO256" s="378" t="str">
        <f>_xll.BLUEMATRIX2("/servlet/excelData",I256,$B$1,$B256&amp;":"&amp;I$115&amp;":"&amp;$AI$114)</f>
        <v>#</v>
      </c>
      <c r="AP256" s="378" t="str">
        <f>_xll.BLUEMATRIX2("/servlet/excelData",J256,$B$1,$B256&amp;":"&amp;J$115&amp;":"&amp;$AI$114)</f>
        <v>#</v>
      </c>
      <c r="AQ256" s="378" t="str">
        <f>_xll.BLUEMATRIX2("/servlet/excelData",K256,$B$1,$B256&amp;":"&amp;K$115&amp;":"&amp;$AI$114)</f>
        <v>#</v>
      </c>
      <c r="AR256" s="378" t="str">
        <f>_xll.BLUEMATRIX2("/servlet/excelData",L256,$B$1,$B256&amp;":"&amp;L$115&amp;":"&amp;$AI$114)</f>
        <v>#</v>
      </c>
      <c r="AS256" s="378" t="str">
        <f>_xll.BLUEMATRIX2("/servlet/excelData",M256,$B$1,$B256&amp;":"&amp;M$115&amp;":"&amp;$AI$114)</f>
        <v>#</v>
      </c>
      <c r="AT256" s="378" t="str">
        <f>_xll.BLUEMATRIX2("/servlet/excelData",N256,$B$1,$B256&amp;":"&amp;N$115&amp;":"&amp;$AI$114)</f>
        <v>#</v>
      </c>
      <c r="AU256" s="378" t="str">
        <f>_xll.BLUEMATRIX2("/servlet/excelData",O256,$B$1,$B256&amp;":"&amp;O$115&amp;":"&amp;$AI$114)</f>
        <v>#</v>
      </c>
      <c r="AV256" s="378" t="str">
        <f>_xll.BLUEMATRIX2("/servlet/excelData",P256,$B$1,$B256&amp;":"&amp;P$115&amp;":"&amp;$AI$114)</f>
        <v>#</v>
      </c>
      <c r="AW256" s="378" t="str">
        <f>_xll.BLUEMATRIX2("/servlet/excelData",Q256,$B$1,$B256&amp;":"&amp;Q$115&amp;":"&amp;$AI$114)</f>
        <v>#</v>
      </c>
    </row>
    <row r="257" spans="1:49" ht="12.95" customHeight="1">
      <c r="A257" s="348" t="s">
        <v>869</v>
      </c>
      <c r="B257" s="350" t="s">
        <v>870</v>
      </c>
      <c r="C257" s="431" t="s">
        <v>871</v>
      </c>
      <c r="D257" s="432"/>
      <c r="E257" s="432"/>
      <c r="F257" s="432"/>
      <c r="G257" s="432"/>
      <c r="H257" s="432"/>
      <c r="I257" s="432">
        <f>FY!G81</f>
        <v>-100.065</v>
      </c>
      <c r="J257" s="432">
        <f>FY!H81</f>
        <v>-254.74600000000001</v>
      </c>
      <c r="K257" s="432">
        <f>FY!I81</f>
        <v>-303.68900000000002</v>
      </c>
      <c r="L257" s="432">
        <f>FY!J81</f>
        <v>-161.589</v>
      </c>
      <c r="M257" s="432">
        <f>FY!K81</f>
        <v>-102.967</v>
      </c>
      <c r="N257" s="432">
        <f>FY!L81</f>
        <v>-80</v>
      </c>
      <c r="O257" s="432">
        <f>FY!M81</f>
        <v>-68.768978399999995</v>
      </c>
      <c r="P257" s="432">
        <f>FY!N81</f>
        <v>-71.944951000000003</v>
      </c>
      <c r="Q257" s="432">
        <f>FY!O81</f>
        <v>-74.865923555759991</v>
      </c>
      <c r="R257" s="432"/>
      <c r="S257" s="432"/>
      <c r="T257" s="432">
        <f t="shared" ref="T257:AH257" si="69">T255+T256</f>
        <v>0</v>
      </c>
      <c r="U257" s="432">
        <f t="shared" si="69"/>
        <v>0</v>
      </c>
      <c r="V257" s="432">
        <f t="shared" si="69"/>
        <v>0</v>
      </c>
      <c r="W257" s="432">
        <f t="shared" si="69"/>
        <v>0</v>
      </c>
      <c r="X257" s="432">
        <f t="shared" si="69"/>
        <v>0</v>
      </c>
      <c r="Y257" s="432">
        <f t="shared" si="69"/>
        <v>0</v>
      </c>
      <c r="Z257" s="432">
        <f t="shared" si="69"/>
        <v>0</v>
      </c>
      <c r="AA257" s="432">
        <f t="shared" si="69"/>
        <v>0</v>
      </c>
      <c r="AB257" s="432">
        <f t="shared" si="69"/>
        <v>0</v>
      </c>
      <c r="AC257" s="432">
        <f t="shared" si="69"/>
        <v>0</v>
      </c>
      <c r="AD257" s="432">
        <f t="shared" si="69"/>
        <v>0</v>
      </c>
      <c r="AE257" s="432">
        <f t="shared" si="69"/>
        <v>0</v>
      </c>
      <c r="AF257" s="432">
        <f t="shared" si="69"/>
        <v>0</v>
      </c>
      <c r="AG257" s="432">
        <f t="shared" si="69"/>
        <v>0</v>
      </c>
      <c r="AH257" s="432">
        <f t="shared" si="69"/>
        <v>0</v>
      </c>
      <c r="AI257" s="322"/>
      <c r="AJ257" s="479"/>
      <c r="AK257" s="378" t="str">
        <f>_xll.BLUEMATRIX2("/servlet/excelData",E257,$B$1,$B257&amp;":"&amp;E$115&amp;":"&amp;$AI$114)</f>
        <v>#</v>
      </c>
      <c r="AL257" s="378" t="str">
        <f>_xll.BLUEMATRIX2("/servlet/excelData",F257,$B$1,$B257&amp;":"&amp;F$115&amp;":"&amp;$AI$114)</f>
        <v>#</v>
      </c>
      <c r="AM257" s="378" t="str">
        <f>_xll.BLUEMATRIX2("/servlet/excelData",G257,$B$1,$B257&amp;":"&amp;G$115&amp;":"&amp;$AI$114)</f>
        <v>#</v>
      </c>
      <c r="AN257" s="378" t="str">
        <f>_xll.BLUEMATRIX2("/servlet/excelData",H257,$B$1,$B257&amp;":"&amp;H$115&amp;":"&amp;$AI$114)</f>
        <v>#</v>
      </c>
      <c r="AO257" s="378" t="str">
        <f>_xll.BLUEMATRIX2("/servlet/excelData",I257,$B$1,$B257&amp;":"&amp;I$115&amp;":"&amp;$AI$114)</f>
        <v>#</v>
      </c>
      <c r="AP257" s="378" t="str">
        <f>_xll.BLUEMATRIX2("/servlet/excelData",J257,$B$1,$B257&amp;":"&amp;J$115&amp;":"&amp;$AI$114)</f>
        <v>#</v>
      </c>
      <c r="AQ257" s="378" t="str">
        <f>_xll.BLUEMATRIX2("/servlet/excelData",K257,$B$1,$B257&amp;":"&amp;K$115&amp;":"&amp;$AI$114)</f>
        <v>#</v>
      </c>
      <c r="AR257" s="378" t="str">
        <f>_xll.BLUEMATRIX2("/servlet/excelData",L257,$B$1,$B257&amp;":"&amp;L$115&amp;":"&amp;$AI$114)</f>
        <v>#</v>
      </c>
      <c r="AS257" s="378" t="str">
        <f>_xll.BLUEMATRIX2("/servlet/excelData",M257,$B$1,$B257&amp;":"&amp;M$115&amp;":"&amp;$AI$114)</f>
        <v>#</v>
      </c>
      <c r="AT257" s="378" t="str">
        <f>_xll.BLUEMATRIX2("/servlet/excelData",N257,$B$1,$B257&amp;":"&amp;N$115&amp;":"&amp;$AI$114)</f>
        <v>#</v>
      </c>
      <c r="AU257" s="378" t="str">
        <f>_xll.BLUEMATRIX2("/servlet/excelData",O257,$B$1,$B257&amp;":"&amp;O$115&amp;":"&amp;$AI$114)</f>
        <v>#</v>
      </c>
      <c r="AV257" s="378" t="str">
        <f>_xll.BLUEMATRIX2("/servlet/excelData",P257,$B$1,$B257&amp;":"&amp;P$115&amp;":"&amp;$AI$114)</f>
        <v>#</v>
      </c>
      <c r="AW257" s="378" t="str">
        <f>_xll.BLUEMATRIX2("/servlet/excelData",Q257,$B$1,$B257&amp;":"&amp;Q$115&amp;":"&amp;$AI$114)</f>
        <v>#</v>
      </c>
    </row>
    <row r="258" spans="1:49" ht="12.95" customHeight="1">
      <c r="A258" s="348" t="s">
        <v>872</v>
      </c>
      <c r="B258" s="350" t="s">
        <v>873</v>
      </c>
      <c r="C258" s="383" t="s">
        <v>874</v>
      </c>
      <c r="D258" s="384"/>
      <c r="E258" s="384"/>
      <c r="F258" s="384"/>
      <c r="G258" s="384"/>
      <c r="H258" s="384"/>
      <c r="I258" s="384">
        <f>FY!G82</f>
        <v>-11.411</v>
      </c>
      <c r="J258" s="384">
        <f>FY!H82</f>
        <v>-8.1129999999999995</v>
      </c>
      <c r="K258" s="384">
        <f>FY!I82</f>
        <v>-7.0469999999999997</v>
      </c>
      <c r="L258" s="384">
        <f>FY!J82</f>
        <v>-2.2559999999999998</v>
      </c>
      <c r="M258" s="384">
        <f>FY!K82</f>
        <v>-10.66</v>
      </c>
      <c r="N258" s="384">
        <f>FY!L82</f>
        <v>-8.4093400000000003</v>
      </c>
      <c r="O258" s="384">
        <f>FY!M82</f>
        <v>-8.5961222999999993</v>
      </c>
      <c r="P258" s="384">
        <f>FY!N82</f>
        <v>-8.9931188750000004</v>
      </c>
      <c r="Q258" s="384">
        <f>FY!O82</f>
        <v>-9.3582404444699989</v>
      </c>
      <c r="R258" s="384"/>
      <c r="S258" s="384"/>
      <c r="T258" s="384"/>
      <c r="U258" s="384"/>
      <c r="V258" s="384"/>
      <c r="W258" s="384"/>
      <c r="X258" s="384"/>
      <c r="Y258" s="384"/>
      <c r="Z258" s="384"/>
      <c r="AA258" s="384"/>
      <c r="AB258" s="384"/>
      <c r="AC258" s="384"/>
      <c r="AD258" s="384"/>
      <c r="AE258" s="384"/>
      <c r="AF258" s="384"/>
      <c r="AG258" s="384"/>
      <c r="AH258" s="384"/>
      <c r="AI258" s="322"/>
      <c r="AJ258" s="479"/>
      <c r="AK258" s="378" t="str">
        <f>_xll.BLUEMATRIX2("/servlet/excelData",E258,$B$1,$B258&amp;":"&amp;E$115&amp;":"&amp;$AI$114)</f>
        <v>#</v>
      </c>
      <c r="AL258" s="378" t="str">
        <f>_xll.BLUEMATRIX2("/servlet/excelData",F258,$B$1,$B258&amp;":"&amp;F$115&amp;":"&amp;$AI$114)</f>
        <v>#</v>
      </c>
      <c r="AM258" s="378" t="str">
        <f>_xll.BLUEMATRIX2("/servlet/excelData",G258,$B$1,$B258&amp;":"&amp;G$115&amp;":"&amp;$AI$114)</f>
        <v>#</v>
      </c>
      <c r="AN258" s="378" t="str">
        <f>_xll.BLUEMATRIX2("/servlet/excelData",H258,$B$1,$B258&amp;":"&amp;H$115&amp;":"&amp;$AI$114)</f>
        <v>#</v>
      </c>
      <c r="AO258" s="378" t="str">
        <f>_xll.BLUEMATRIX2("/servlet/excelData",I258,$B$1,$B258&amp;":"&amp;I$115&amp;":"&amp;$AI$114)</f>
        <v>#</v>
      </c>
      <c r="AP258" s="378" t="str">
        <f>_xll.BLUEMATRIX2("/servlet/excelData",J258,$B$1,$B258&amp;":"&amp;J$115&amp;":"&amp;$AI$114)</f>
        <v>#</v>
      </c>
      <c r="AQ258" s="378" t="str">
        <f>_xll.BLUEMATRIX2("/servlet/excelData",K258,$B$1,$B258&amp;":"&amp;K$115&amp;":"&amp;$AI$114)</f>
        <v>#</v>
      </c>
      <c r="AR258" s="378" t="str">
        <f>_xll.BLUEMATRIX2("/servlet/excelData",L258,$B$1,$B258&amp;":"&amp;L$115&amp;":"&amp;$AI$114)</f>
        <v>#</v>
      </c>
      <c r="AS258" s="378" t="str">
        <f>_xll.BLUEMATRIX2("/servlet/excelData",M258,$B$1,$B258&amp;":"&amp;M$115&amp;":"&amp;$AI$114)</f>
        <v>#</v>
      </c>
      <c r="AT258" s="378" t="str">
        <f>_xll.BLUEMATRIX2("/servlet/excelData",N258,$B$1,$B258&amp;":"&amp;N$115&amp;":"&amp;$AI$114)</f>
        <v>#</v>
      </c>
      <c r="AU258" s="378" t="str">
        <f>_xll.BLUEMATRIX2("/servlet/excelData",O258,$B$1,$B258&amp;":"&amp;O$115&amp;":"&amp;$AI$114)</f>
        <v>#</v>
      </c>
      <c r="AV258" s="378" t="str">
        <f>_xll.BLUEMATRIX2("/servlet/excelData",P258,$B$1,$B258&amp;":"&amp;P$115&amp;":"&amp;$AI$114)</f>
        <v>#</v>
      </c>
      <c r="AW258" s="378" t="str">
        <f>_xll.BLUEMATRIX2("/servlet/excelData",Q258,$B$1,$B258&amp;":"&amp;Q$115&amp;":"&amp;$AI$114)</f>
        <v>#</v>
      </c>
    </row>
    <row r="259" spans="1:49" ht="12.95" customHeight="1">
      <c r="A259" s="348" t="s">
        <v>875</v>
      </c>
      <c r="B259" s="350" t="s">
        <v>876</v>
      </c>
      <c r="C259" s="383" t="s">
        <v>877</v>
      </c>
      <c r="D259" s="384"/>
      <c r="E259" s="384"/>
      <c r="F259" s="426"/>
      <c r="G259" s="426"/>
      <c r="H259" s="426"/>
      <c r="I259" s="426"/>
      <c r="J259" s="426"/>
      <c r="K259" s="426"/>
      <c r="L259" s="426"/>
      <c r="M259" s="426"/>
      <c r="N259" s="426"/>
      <c r="O259" s="426"/>
      <c r="P259" s="426"/>
      <c r="Q259" s="426"/>
      <c r="R259" s="384"/>
      <c r="S259" s="384"/>
      <c r="T259" s="384"/>
      <c r="U259" s="384"/>
      <c r="V259" s="384"/>
      <c r="W259" s="384"/>
      <c r="X259" s="384"/>
      <c r="Y259" s="384"/>
      <c r="Z259" s="384"/>
      <c r="AA259" s="384"/>
      <c r="AB259" s="384"/>
      <c r="AC259" s="384"/>
      <c r="AD259" s="384"/>
      <c r="AE259" s="384"/>
      <c r="AF259" s="384"/>
      <c r="AG259" s="384"/>
      <c r="AH259" s="384"/>
      <c r="AI259" s="322"/>
      <c r="AJ259" s="479"/>
      <c r="AK259" s="378" t="str">
        <f>_xll.BLUEMATRIX2("/servlet/excelData",E259,$B$1,$B259&amp;":"&amp;E$115&amp;":"&amp;$AI$114)</f>
        <v>#</v>
      </c>
      <c r="AL259" s="378" t="str">
        <f>_xll.BLUEMATRIX2("/servlet/excelData",F259,$B$1,$B259&amp;":"&amp;F$115&amp;":"&amp;$AI$114)</f>
        <v>#</v>
      </c>
      <c r="AM259" s="378" t="str">
        <f>_xll.BLUEMATRIX2("/servlet/excelData",G259,$B$1,$B259&amp;":"&amp;G$115&amp;":"&amp;$AI$114)</f>
        <v>#</v>
      </c>
      <c r="AN259" s="378" t="str">
        <f>_xll.BLUEMATRIX2("/servlet/excelData",H259,$B$1,$B259&amp;":"&amp;H$115&amp;":"&amp;$AI$114)</f>
        <v>#</v>
      </c>
      <c r="AO259" s="378" t="str">
        <f>_xll.BLUEMATRIX2("/servlet/excelData",I259,$B$1,$B259&amp;":"&amp;I$115&amp;":"&amp;$AI$114)</f>
        <v>#</v>
      </c>
      <c r="AP259" s="378" t="str">
        <f>_xll.BLUEMATRIX2("/servlet/excelData",J259,$B$1,$B259&amp;":"&amp;J$115&amp;":"&amp;$AI$114)</f>
        <v>#</v>
      </c>
      <c r="AQ259" s="378" t="str">
        <f>_xll.BLUEMATRIX2("/servlet/excelData",K259,$B$1,$B259&amp;":"&amp;K$115&amp;":"&amp;$AI$114)</f>
        <v>#</v>
      </c>
      <c r="AR259" s="378" t="str">
        <f>_xll.BLUEMATRIX2("/servlet/excelData",L259,$B$1,$B259&amp;":"&amp;L$115&amp;":"&amp;$AI$114)</f>
        <v>#</v>
      </c>
      <c r="AS259" s="378" t="str">
        <f>_xll.BLUEMATRIX2("/servlet/excelData",M259,$B$1,$B259&amp;":"&amp;M$115&amp;":"&amp;$AI$114)</f>
        <v>#</v>
      </c>
      <c r="AT259" s="378" t="str">
        <f>_xll.BLUEMATRIX2("/servlet/excelData",N259,$B$1,$B259&amp;":"&amp;N$115&amp;":"&amp;$AI$114)</f>
        <v>#</v>
      </c>
      <c r="AU259" s="378" t="str">
        <f>_xll.BLUEMATRIX2("/servlet/excelData",O259,$B$1,$B259&amp;":"&amp;O$115&amp;":"&amp;$AI$114)</f>
        <v>#</v>
      </c>
      <c r="AV259" s="378" t="str">
        <f>_xll.BLUEMATRIX2("/servlet/excelData",P259,$B$1,$B259&amp;":"&amp;P$115&amp;":"&amp;$AI$114)</f>
        <v>#</v>
      </c>
      <c r="AW259" s="378" t="str">
        <f>_xll.BLUEMATRIX2("/servlet/excelData",Q259,$B$1,$B259&amp;":"&amp;Q$115&amp;":"&amp;$AI$114)</f>
        <v>#</v>
      </c>
    </row>
    <row r="260" spans="1:49" ht="12.95" customHeight="1">
      <c r="A260" s="348" t="s">
        <v>878</v>
      </c>
      <c r="B260" s="350" t="s">
        <v>879</v>
      </c>
      <c r="C260" s="383" t="s">
        <v>880</v>
      </c>
      <c r="D260" s="384"/>
      <c r="E260" s="384"/>
      <c r="F260" s="384"/>
      <c r="G260" s="384"/>
      <c r="H260" s="384"/>
      <c r="I260" s="384">
        <f>FY!G83</f>
        <v>3.25</v>
      </c>
      <c r="J260" s="384">
        <f>FY!H83</f>
        <v>7.8120000000000003</v>
      </c>
      <c r="K260" s="384">
        <f>FY!I83</f>
        <v>0</v>
      </c>
      <c r="L260" s="384">
        <f>FY!J83</f>
        <v>56.755000000000003</v>
      </c>
      <c r="M260" s="384">
        <f>FY!K83</f>
        <v>0</v>
      </c>
      <c r="N260" s="384">
        <f>FY!L83</f>
        <v>284.05599999999998</v>
      </c>
      <c r="O260" s="384">
        <f>FY!M83</f>
        <v>0</v>
      </c>
      <c r="P260" s="384">
        <f>FY!N83</f>
        <v>0</v>
      </c>
      <c r="Q260" s="384">
        <f>FY!O83</f>
        <v>0</v>
      </c>
      <c r="R260" s="384"/>
      <c r="S260" s="384"/>
      <c r="T260" s="384"/>
      <c r="U260" s="384"/>
      <c r="V260" s="384"/>
      <c r="W260" s="384"/>
      <c r="X260" s="384"/>
      <c r="Y260" s="384"/>
      <c r="Z260" s="384"/>
      <c r="AA260" s="384"/>
      <c r="AB260" s="384"/>
      <c r="AC260" s="384"/>
      <c r="AD260" s="384"/>
      <c r="AE260" s="384"/>
      <c r="AF260" s="384"/>
      <c r="AG260" s="384"/>
      <c r="AH260" s="384"/>
      <c r="AI260" s="322"/>
      <c r="AJ260" s="479"/>
      <c r="AK260" s="378" t="str">
        <f>_xll.BLUEMATRIX2("/servlet/excelData",E260,$B$1,$B260&amp;":"&amp;E$115&amp;":"&amp;$AI$114)</f>
        <v>#</v>
      </c>
      <c r="AL260" s="378" t="str">
        <f>_xll.BLUEMATRIX2("/servlet/excelData",F260,$B$1,$B260&amp;":"&amp;F$115&amp;":"&amp;$AI$114)</f>
        <v>#</v>
      </c>
      <c r="AM260" s="378" t="str">
        <f>_xll.BLUEMATRIX2("/servlet/excelData",G260,$B$1,$B260&amp;":"&amp;G$115&amp;":"&amp;$AI$114)</f>
        <v>#</v>
      </c>
      <c r="AN260" s="378" t="str">
        <f>_xll.BLUEMATRIX2("/servlet/excelData",H260,$B$1,$B260&amp;":"&amp;H$115&amp;":"&amp;$AI$114)</f>
        <v>#</v>
      </c>
      <c r="AO260" s="378" t="str">
        <f>_xll.BLUEMATRIX2("/servlet/excelData",I260,$B$1,$B260&amp;":"&amp;I$115&amp;":"&amp;$AI$114)</f>
        <v>#</v>
      </c>
      <c r="AP260" s="378" t="str">
        <f>_xll.BLUEMATRIX2("/servlet/excelData",J260,$B$1,$B260&amp;":"&amp;J$115&amp;":"&amp;$AI$114)</f>
        <v>#</v>
      </c>
      <c r="AQ260" s="378" t="str">
        <f>_xll.BLUEMATRIX2("/servlet/excelData",K260,$B$1,$B260&amp;":"&amp;K$115&amp;":"&amp;$AI$114)</f>
        <v>#</v>
      </c>
      <c r="AR260" s="378" t="str">
        <f>_xll.BLUEMATRIX2("/servlet/excelData",L260,$B$1,$B260&amp;":"&amp;L$115&amp;":"&amp;$AI$114)</f>
        <v>#</v>
      </c>
      <c r="AS260" s="378" t="str">
        <f>_xll.BLUEMATRIX2("/servlet/excelData",M260,$B$1,$B260&amp;":"&amp;M$115&amp;":"&amp;$AI$114)</f>
        <v>#</v>
      </c>
      <c r="AT260" s="378" t="str">
        <f>_xll.BLUEMATRIX2("/servlet/excelData",N260,$B$1,$B260&amp;":"&amp;N$115&amp;":"&amp;$AI$114)</f>
        <v>#</v>
      </c>
      <c r="AU260" s="378" t="str">
        <f>_xll.BLUEMATRIX2("/servlet/excelData",O260,$B$1,$B260&amp;":"&amp;O$115&amp;":"&amp;$AI$114)</f>
        <v>#</v>
      </c>
      <c r="AV260" s="378" t="str">
        <f>_xll.BLUEMATRIX2("/servlet/excelData",P260,$B$1,$B260&amp;":"&amp;P$115&amp;":"&amp;$AI$114)</f>
        <v>#</v>
      </c>
      <c r="AW260" s="378" t="str">
        <f>_xll.BLUEMATRIX2("/servlet/excelData",Q260,$B$1,$B260&amp;":"&amp;Q$115&amp;":"&amp;$AI$114)</f>
        <v>#</v>
      </c>
    </row>
    <row r="261" spans="1:49" ht="12.95" customHeight="1">
      <c r="A261" s="348" t="s">
        <v>881</v>
      </c>
      <c r="B261" s="350" t="s">
        <v>882</v>
      </c>
      <c r="C261" s="383" t="s">
        <v>883</v>
      </c>
      <c r="D261" s="384"/>
      <c r="E261" s="384"/>
      <c r="F261" s="426"/>
      <c r="G261" s="426"/>
      <c r="H261" s="426"/>
      <c r="I261" s="426"/>
      <c r="J261" s="426"/>
      <c r="K261" s="426"/>
      <c r="L261" s="426"/>
      <c r="M261" s="426"/>
      <c r="N261" s="426"/>
      <c r="O261" s="426"/>
      <c r="P261" s="426"/>
      <c r="Q261" s="426"/>
      <c r="R261" s="384"/>
      <c r="S261" s="384"/>
      <c r="T261" s="384"/>
      <c r="U261" s="384"/>
      <c r="V261" s="384"/>
      <c r="W261" s="384"/>
      <c r="X261" s="384"/>
      <c r="Y261" s="384"/>
      <c r="Z261" s="384"/>
      <c r="AA261" s="384"/>
      <c r="AB261" s="384"/>
      <c r="AC261" s="384"/>
      <c r="AD261" s="384"/>
      <c r="AE261" s="384"/>
      <c r="AF261" s="384"/>
      <c r="AG261" s="384"/>
      <c r="AH261" s="384"/>
      <c r="AI261" s="322"/>
      <c r="AJ261" s="479"/>
      <c r="AK261" s="378" t="str">
        <f>_xll.BLUEMATRIX2("/servlet/excelData",E261,$B$1,$B261&amp;":"&amp;E$115&amp;":"&amp;$AI$114)</f>
        <v>#</v>
      </c>
      <c r="AL261" s="378" t="str">
        <f>_xll.BLUEMATRIX2("/servlet/excelData",F261,$B$1,$B261&amp;":"&amp;F$115&amp;":"&amp;$AI$114)</f>
        <v>#</v>
      </c>
      <c r="AM261" s="378" t="str">
        <f>_xll.BLUEMATRIX2("/servlet/excelData",G261,$B$1,$B261&amp;":"&amp;G$115&amp;":"&amp;$AI$114)</f>
        <v>#</v>
      </c>
      <c r="AN261" s="378" t="str">
        <f>_xll.BLUEMATRIX2("/servlet/excelData",H261,$B$1,$B261&amp;":"&amp;H$115&amp;":"&amp;$AI$114)</f>
        <v>#</v>
      </c>
      <c r="AO261" s="378" t="str">
        <f>_xll.BLUEMATRIX2("/servlet/excelData",I261,$B$1,$B261&amp;":"&amp;I$115&amp;":"&amp;$AI$114)</f>
        <v>#</v>
      </c>
      <c r="AP261" s="378" t="str">
        <f>_xll.BLUEMATRIX2("/servlet/excelData",J261,$B$1,$B261&amp;":"&amp;J$115&amp;":"&amp;$AI$114)</f>
        <v>#</v>
      </c>
      <c r="AQ261" s="378" t="str">
        <f>_xll.BLUEMATRIX2("/servlet/excelData",K261,$B$1,$B261&amp;":"&amp;K$115&amp;":"&amp;$AI$114)</f>
        <v>#</v>
      </c>
      <c r="AR261" s="378" t="str">
        <f>_xll.BLUEMATRIX2("/servlet/excelData",L261,$B$1,$B261&amp;":"&amp;L$115&amp;":"&amp;$AI$114)</f>
        <v>#</v>
      </c>
      <c r="AS261" s="378" t="str">
        <f>_xll.BLUEMATRIX2("/servlet/excelData",M261,$B$1,$B261&amp;":"&amp;M$115&amp;":"&amp;$AI$114)</f>
        <v>#</v>
      </c>
      <c r="AT261" s="378" t="str">
        <f>_xll.BLUEMATRIX2("/servlet/excelData",N261,$B$1,$B261&amp;":"&amp;N$115&amp;":"&amp;$AI$114)</f>
        <v>#</v>
      </c>
      <c r="AU261" s="378" t="str">
        <f>_xll.BLUEMATRIX2("/servlet/excelData",O261,$B$1,$B261&amp;":"&amp;O$115&amp;":"&amp;$AI$114)</f>
        <v>#</v>
      </c>
      <c r="AV261" s="378" t="str">
        <f>_xll.BLUEMATRIX2("/servlet/excelData",P261,$B$1,$B261&amp;":"&amp;P$115&amp;":"&amp;$AI$114)</f>
        <v>#</v>
      </c>
      <c r="AW261" s="378" t="str">
        <f>_xll.BLUEMATRIX2("/servlet/excelData",Q261,$B$1,$B261&amp;":"&amp;Q$115&amp;":"&amp;$AI$114)</f>
        <v>#</v>
      </c>
    </row>
    <row r="262" spans="1:49" ht="12.95" customHeight="1">
      <c r="A262" s="348" t="s">
        <v>884</v>
      </c>
      <c r="B262" s="350" t="s">
        <v>885</v>
      </c>
      <c r="C262" s="383" t="s">
        <v>886</v>
      </c>
      <c r="D262" s="384"/>
      <c r="E262" s="384"/>
      <c r="F262" s="384"/>
      <c r="G262" s="384"/>
      <c r="H262" s="384"/>
      <c r="I262" s="384">
        <f>FY!G84</f>
        <v>76.546999999999997</v>
      </c>
      <c r="J262" s="384">
        <f>FY!H84</f>
        <v>203.61099999999999</v>
      </c>
      <c r="K262" s="384">
        <f>FY!I84</f>
        <v>-8.6760000000000002</v>
      </c>
      <c r="L262" s="384">
        <f>FY!J84</f>
        <v>12.391999999999999</v>
      </c>
      <c r="M262" s="384">
        <f>FY!K84</f>
        <v>-4.2999999999999997E-2</v>
      </c>
      <c r="N262" s="384">
        <f>FY!L84</f>
        <v>0</v>
      </c>
      <c r="O262" s="384">
        <f>FY!M84</f>
        <v>0</v>
      </c>
      <c r="P262" s="384">
        <f>FY!N84</f>
        <v>0</v>
      </c>
      <c r="Q262" s="384">
        <f>FY!O84</f>
        <v>0</v>
      </c>
      <c r="R262" s="384"/>
      <c r="S262" s="384"/>
      <c r="T262" s="384"/>
      <c r="U262" s="384"/>
      <c r="V262" s="384"/>
      <c r="W262" s="384"/>
      <c r="X262" s="384"/>
      <c r="Y262" s="384"/>
      <c r="Z262" s="384"/>
      <c r="AA262" s="384"/>
      <c r="AB262" s="384"/>
      <c r="AC262" s="384"/>
      <c r="AD262" s="384"/>
      <c r="AE262" s="384"/>
      <c r="AF262" s="384"/>
      <c r="AG262" s="384"/>
      <c r="AH262" s="384"/>
      <c r="AI262" s="322"/>
      <c r="AJ262" s="479"/>
      <c r="AK262" s="378" t="str">
        <f>_xll.BLUEMATRIX2("/servlet/excelData",E262,$B$1,$B262&amp;":"&amp;E$115&amp;":"&amp;$AI$114)</f>
        <v>#</v>
      </c>
      <c r="AL262" s="378" t="str">
        <f>_xll.BLUEMATRIX2("/servlet/excelData",F262,$B$1,$B262&amp;":"&amp;F$115&amp;":"&amp;$AI$114)</f>
        <v>#</v>
      </c>
      <c r="AM262" s="378" t="str">
        <f>_xll.BLUEMATRIX2("/servlet/excelData",G262,$B$1,$B262&amp;":"&amp;G$115&amp;":"&amp;$AI$114)</f>
        <v>#</v>
      </c>
      <c r="AN262" s="378" t="str">
        <f>_xll.BLUEMATRIX2("/servlet/excelData",H262,$B$1,$B262&amp;":"&amp;H$115&amp;":"&amp;$AI$114)</f>
        <v>#</v>
      </c>
      <c r="AO262" s="378" t="str">
        <f>_xll.BLUEMATRIX2("/servlet/excelData",I262,$B$1,$B262&amp;":"&amp;I$115&amp;":"&amp;$AI$114)</f>
        <v>#</v>
      </c>
      <c r="AP262" s="378" t="str">
        <f>_xll.BLUEMATRIX2("/servlet/excelData",J262,$B$1,$B262&amp;":"&amp;J$115&amp;":"&amp;$AI$114)</f>
        <v>#</v>
      </c>
      <c r="AQ262" s="378" t="str">
        <f>_xll.BLUEMATRIX2("/servlet/excelData",K262,$B$1,$B262&amp;":"&amp;K$115&amp;":"&amp;$AI$114)</f>
        <v>#</v>
      </c>
      <c r="AR262" s="378" t="str">
        <f>_xll.BLUEMATRIX2("/servlet/excelData",L262,$B$1,$B262&amp;":"&amp;L$115&amp;":"&amp;$AI$114)</f>
        <v>#</v>
      </c>
      <c r="AS262" s="378" t="str">
        <f>_xll.BLUEMATRIX2("/servlet/excelData",M262,$B$1,$B262&amp;":"&amp;M$115&amp;":"&amp;$AI$114)</f>
        <v>#</v>
      </c>
      <c r="AT262" s="378" t="str">
        <f>_xll.BLUEMATRIX2("/servlet/excelData",N262,$B$1,$B262&amp;":"&amp;N$115&amp;":"&amp;$AI$114)</f>
        <v>#</v>
      </c>
      <c r="AU262" s="378" t="str">
        <f>_xll.BLUEMATRIX2("/servlet/excelData",O262,$B$1,$B262&amp;":"&amp;O$115&amp;":"&amp;$AI$114)</f>
        <v>#</v>
      </c>
      <c r="AV262" s="378" t="str">
        <f>_xll.BLUEMATRIX2("/servlet/excelData",P262,$B$1,$B262&amp;":"&amp;P$115&amp;":"&amp;$AI$114)</f>
        <v>#</v>
      </c>
      <c r="AW262" s="378" t="str">
        <f>_xll.BLUEMATRIX2("/servlet/excelData",Q262,$B$1,$B262&amp;":"&amp;Q$115&amp;":"&amp;$AI$114)</f>
        <v>#</v>
      </c>
    </row>
    <row r="263" spans="1:49" ht="12.95" customHeight="1">
      <c r="A263" s="348" t="s">
        <v>887</v>
      </c>
      <c r="B263" s="350" t="s">
        <v>888</v>
      </c>
      <c r="C263" s="408" t="s">
        <v>889</v>
      </c>
      <c r="D263" s="387"/>
      <c r="E263" s="387"/>
      <c r="F263" s="387"/>
      <c r="G263" s="387"/>
      <c r="H263" s="387"/>
      <c r="I263" s="387">
        <f t="shared" ref="I263:Q263" si="70">I257+I258+I259+I260+I261+I262</f>
        <v>-31.679000000000002</v>
      </c>
      <c r="J263" s="387">
        <f t="shared" si="70"/>
        <v>-51.436000000000035</v>
      </c>
      <c r="K263" s="387">
        <f t="shared" si="70"/>
        <v>-319.41200000000003</v>
      </c>
      <c r="L263" s="387">
        <f t="shared" si="70"/>
        <v>-94.698000000000008</v>
      </c>
      <c r="M263" s="387">
        <f t="shared" si="70"/>
        <v>-113.67</v>
      </c>
      <c r="N263" s="387">
        <f t="shared" si="70"/>
        <v>195.64666</v>
      </c>
      <c r="O263" s="387">
        <f t="shared" si="70"/>
        <v>-77.365100699999999</v>
      </c>
      <c r="P263" s="387">
        <f t="shared" si="70"/>
        <v>-80.938069874999997</v>
      </c>
      <c r="Q263" s="387">
        <f t="shared" si="70"/>
        <v>-84.22416400022999</v>
      </c>
      <c r="R263" s="387"/>
      <c r="S263" s="387"/>
      <c r="T263" s="387">
        <f t="shared" ref="T263:AH263" si="71">T257+T258+T259+T260+T261+T262</f>
        <v>0</v>
      </c>
      <c r="U263" s="387">
        <f t="shared" si="71"/>
        <v>0</v>
      </c>
      <c r="V263" s="387">
        <f t="shared" si="71"/>
        <v>0</v>
      </c>
      <c r="W263" s="387">
        <f t="shared" si="71"/>
        <v>0</v>
      </c>
      <c r="X263" s="387">
        <f t="shared" si="71"/>
        <v>0</v>
      </c>
      <c r="Y263" s="387">
        <f t="shared" si="71"/>
        <v>0</v>
      </c>
      <c r="Z263" s="387">
        <f t="shared" si="71"/>
        <v>0</v>
      </c>
      <c r="AA263" s="387">
        <f t="shared" si="71"/>
        <v>0</v>
      </c>
      <c r="AB263" s="387">
        <f t="shared" si="71"/>
        <v>0</v>
      </c>
      <c r="AC263" s="387">
        <f t="shared" si="71"/>
        <v>0</v>
      </c>
      <c r="AD263" s="387">
        <f t="shared" si="71"/>
        <v>0</v>
      </c>
      <c r="AE263" s="387">
        <f t="shared" si="71"/>
        <v>0</v>
      </c>
      <c r="AF263" s="387">
        <f t="shared" si="71"/>
        <v>0</v>
      </c>
      <c r="AG263" s="387">
        <f t="shared" si="71"/>
        <v>0</v>
      </c>
      <c r="AH263" s="387">
        <f t="shared" si="71"/>
        <v>0</v>
      </c>
      <c r="AI263" s="385"/>
      <c r="AJ263" s="479"/>
      <c r="AK263" s="378" t="str">
        <f>_xll.BLUEMATRIX2("/servlet/excelData",E263,$B$1,$B263&amp;":"&amp;E$115&amp;":"&amp;$AI$114)</f>
        <v>#</v>
      </c>
      <c r="AL263" s="378" t="str">
        <f>_xll.BLUEMATRIX2("/servlet/excelData",F263,$B$1,$B263&amp;":"&amp;F$115&amp;":"&amp;$AI$114)</f>
        <v>#</v>
      </c>
      <c r="AM263" s="378" t="str">
        <f>_xll.BLUEMATRIX2("/servlet/excelData",G263,$B$1,$B263&amp;":"&amp;G$115&amp;":"&amp;$AI$114)</f>
        <v>#</v>
      </c>
      <c r="AN263" s="378" t="str">
        <f>_xll.BLUEMATRIX2("/servlet/excelData",H263,$B$1,$B263&amp;":"&amp;H$115&amp;":"&amp;$AI$114)</f>
        <v>#</v>
      </c>
      <c r="AO263" s="378" t="str">
        <f>_xll.BLUEMATRIX2("/servlet/excelData",I263,$B$1,$B263&amp;":"&amp;I$115&amp;":"&amp;$AI$114)</f>
        <v>#</v>
      </c>
      <c r="AP263" s="378" t="str">
        <f>_xll.BLUEMATRIX2("/servlet/excelData",J263,$B$1,$B263&amp;":"&amp;J$115&amp;":"&amp;$AI$114)</f>
        <v>#</v>
      </c>
      <c r="AQ263" s="378" t="str">
        <f>_xll.BLUEMATRIX2("/servlet/excelData",K263,$B$1,$B263&amp;":"&amp;K$115&amp;":"&amp;$AI$114)</f>
        <v>#</v>
      </c>
      <c r="AR263" s="378" t="str">
        <f>_xll.BLUEMATRIX2("/servlet/excelData",L263,$B$1,$B263&amp;":"&amp;L$115&amp;":"&amp;$AI$114)</f>
        <v>#</v>
      </c>
      <c r="AS263" s="378" t="str">
        <f>_xll.BLUEMATRIX2("/servlet/excelData",M263,$B$1,$B263&amp;":"&amp;M$115&amp;":"&amp;$AI$114)</f>
        <v>#</v>
      </c>
      <c r="AT263" s="378" t="str">
        <f>_xll.BLUEMATRIX2("/servlet/excelData",N263,$B$1,$B263&amp;":"&amp;N$115&amp;":"&amp;$AI$114)</f>
        <v>#</v>
      </c>
      <c r="AU263" s="378" t="str">
        <f>_xll.BLUEMATRIX2("/servlet/excelData",O263,$B$1,$B263&amp;":"&amp;O$115&amp;":"&amp;$AI$114)</f>
        <v>#</v>
      </c>
      <c r="AV263" s="378" t="str">
        <f>_xll.BLUEMATRIX2("/servlet/excelData",P263,$B$1,$B263&amp;":"&amp;P$115&amp;":"&amp;$AI$114)</f>
        <v>#</v>
      </c>
      <c r="AW263" s="378" t="str">
        <f>_xll.BLUEMATRIX2("/servlet/excelData",Q263,$B$1,$B263&amp;":"&amp;Q$115&amp;":"&amp;$AI$114)</f>
        <v>#</v>
      </c>
    </row>
    <row r="264" spans="1:49" ht="12.95" customHeight="1">
      <c r="A264" s="348"/>
      <c r="B264" s="350"/>
      <c r="C264" s="483" t="s">
        <v>890</v>
      </c>
      <c r="D264" s="484"/>
      <c r="E264" s="484"/>
      <c r="F264" s="485"/>
      <c r="G264" s="485"/>
      <c r="H264" s="485"/>
      <c r="I264" s="485">
        <f>ROUND(FY!G86-I263,2)</f>
        <v>0</v>
      </c>
      <c r="J264" s="485">
        <f>ROUND(FY!H86-J263,2)</f>
        <v>0</v>
      </c>
      <c r="K264" s="485">
        <f>ROUND(FY!I86-K263,2)</f>
        <v>0</v>
      </c>
      <c r="L264" s="485">
        <f>ROUND(FY!J86-L263,2)</f>
        <v>0</v>
      </c>
      <c r="M264" s="485">
        <f>ROUND(FY!K86-M263,2)</f>
        <v>0</v>
      </c>
      <c r="N264" s="485">
        <f>ROUND(FY!L86-N263,2)</f>
        <v>0</v>
      </c>
      <c r="O264" s="485">
        <f>ROUND(FY!M86-O263,2)</f>
        <v>0</v>
      </c>
      <c r="P264" s="485">
        <f>ROUND(FY!N86-P263,2)</f>
        <v>0</v>
      </c>
      <c r="Q264" s="485">
        <f>ROUND(FY!O86-Q263,2)</f>
        <v>0</v>
      </c>
      <c r="R264" s="392"/>
      <c r="S264" s="392"/>
      <c r="T264" s="392"/>
      <c r="U264" s="392"/>
      <c r="V264" s="392"/>
      <c r="W264" s="392"/>
      <c r="X264" s="392"/>
      <c r="Y264" s="392"/>
      <c r="Z264" s="392"/>
      <c r="AA264" s="392"/>
      <c r="AB264" s="392"/>
      <c r="AC264" s="392"/>
      <c r="AD264" s="392"/>
      <c r="AE264" s="392"/>
      <c r="AF264" s="392"/>
      <c r="AG264" s="392"/>
      <c r="AH264" s="392"/>
      <c r="AI264" s="322"/>
      <c r="AJ264" s="479"/>
      <c r="AK264" s="378"/>
      <c r="AL264" s="378"/>
      <c r="AM264" s="378"/>
      <c r="AN264" s="378"/>
      <c r="AO264" s="378"/>
      <c r="AP264" s="378"/>
      <c r="AQ264" s="378"/>
      <c r="AR264" s="378"/>
      <c r="AS264" s="378"/>
      <c r="AT264" s="378"/>
      <c r="AU264" s="378"/>
      <c r="AV264" s="378"/>
      <c r="AW264" s="378"/>
    </row>
    <row r="265" spans="1:49" ht="12.95" customHeight="1">
      <c r="A265" s="348"/>
      <c r="B265" s="350"/>
      <c r="C265" s="433"/>
      <c r="D265" s="416"/>
      <c r="E265" s="416"/>
      <c r="F265" s="416"/>
      <c r="G265" s="416"/>
      <c r="H265" s="416"/>
      <c r="I265" s="416"/>
      <c r="J265" s="416"/>
      <c r="K265" s="416"/>
      <c r="L265" s="416"/>
      <c r="M265" s="416"/>
      <c r="N265" s="416"/>
      <c r="O265" s="416"/>
      <c r="P265" s="416"/>
      <c r="Q265" s="416"/>
      <c r="R265" s="416"/>
      <c r="S265" s="416"/>
      <c r="T265" s="416"/>
      <c r="U265" s="416"/>
      <c r="V265" s="416"/>
      <c r="W265" s="416"/>
      <c r="X265" s="416"/>
      <c r="Y265" s="416"/>
      <c r="Z265" s="416"/>
      <c r="AA265" s="416"/>
      <c r="AB265" s="416"/>
      <c r="AC265" s="416"/>
      <c r="AD265" s="416"/>
      <c r="AE265" s="416"/>
      <c r="AF265" s="416"/>
      <c r="AG265" s="416"/>
      <c r="AH265" s="416"/>
      <c r="AI265" s="322"/>
      <c r="AJ265" s="479"/>
      <c r="AK265" s="378"/>
      <c r="AL265" s="378"/>
      <c r="AM265" s="378"/>
      <c r="AN265" s="378"/>
      <c r="AO265" s="378"/>
      <c r="AP265" s="378"/>
      <c r="AQ265" s="378"/>
      <c r="AR265" s="378"/>
      <c r="AS265" s="378"/>
      <c r="AT265" s="378"/>
      <c r="AU265" s="378"/>
      <c r="AV265" s="378"/>
      <c r="AW265" s="378"/>
    </row>
    <row r="266" spans="1:49" ht="12.95" customHeight="1">
      <c r="A266" s="348"/>
      <c r="B266" s="350"/>
      <c r="C266" s="429" t="s">
        <v>891</v>
      </c>
      <c r="D266" s="420"/>
      <c r="E266" s="420"/>
      <c r="F266" s="420"/>
      <c r="G266" s="420"/>
      <c r="H266" s="420"/>
      <c r="I266" s="420"/>
      <c r="J266" s="420"/>
      <c r="K266" s="420"/>
      <c r="L266" s="420"/>
      <c r="M266" s="420"/>
      <c r="N266" s="420"/>
      <c r="O266" s="420"/>
      <c r="P266" s="420"/>
      <c r="Q266" s="420"/>
      <c r="R266" s="420"/>
      <c r="S266" s="420"/>
      <c r="T266" s="420"/>
      <c r="U266" s="420"/>
      <c r="V266" s="420"/>
      <c r="W266" s="420"/>
      <c r="X266" s="420"/>
      <c r="Y266" s="420"/>
      <c r="Z266" s="420"/>
      <c r="AA266" s="420"/>
      <c r="AB266" s="420"/>
      <c r="AC266" s="420"/>
      <c r="AD266" s="420"/>
      <c r="AE266" s="420"/>
      <c r="AF266" s="420"/>
      <c r="AG266" s="420"/>
      <c r="AH266" s="420"/>
      <c r="AI266" s="322"/>
      <c r="AJ266" s="479"/>
      <c r="AK266" s="378"/>
      <c r="AL266" s="378"/>
      <c r="AM266" s="378"/>
      <c r="AN266" s="378"/>
      <c r="AO266" s="378"/>
      <c r="AP266" s="378"/>
      <c r="AQ266" s="378"/>
      <c r="AR266" s="378"/>
      <c r="AS266" s="378"/>
      <c r="AT266" s="378"/>
      <c r="AU266" s="378"/>
      <c r="AV266" s="378"/>
      <c r="AW266" s="378"/>
    </row>
    <row r="267" spans="1:49" ht="12.95" customHeight="1">
      <c r="A267" s="348" t="s">
        <v>892</v>
      </c>
      <c r="B267" s="350" t="s">
        <v>893</v>
      </c>
      <c r="C267" s="383" t="s">
        <v>894</v>
      </c>
      <c r="D267" s="384"/>
      <c r="E267" s="384"/>
      <c r="F267" s="384"/>
      <c r="G267" s="384"/>
      <c r="H267" s="384"/>
      <c r="I267" s="384">
        <f>FY!G90+FY!G91</f>
        <v>0</v>
      </c>
      <c r="J267" s="384">
        <f>FY!H90+FY!H91</f>
        <v>0</v>
      </c>
      <c r="K267" s="384">
        <f>FY!I90+FY!I91</f>
        <v>0</v>
      </c>
      <c r="L267" s="384">
        <f>FY!J90+FY!J91</f>
        <v>0</v>
      </c>
      <c r="M267" s="384">
        <f>FY!K90+FY!K91</f>
        <v>229.02699999999999</v>
      </c>
      <c r="N267" s="384">
        <f>FY!L90+FY!L91</f>
        <v>0</v>
      </c>
      <c r="O267" s="384">
        <f>FY!M90+FY!M91</f>
        <v>0</v>
      </c>
      <c r="P267" s="384">
        <f>FY!N90+FY!N91</f>
        <v>0</v>
      </c>
      <c r="Q267" s="384">
        <f>FY!O90+FY!O91</f>
        <v>0</v>
      </c>
      <c r="R267" s="384"/>
      <c r="S267" s="384"/>
      <c r="T267" s="384"/>
      <c r="U267" s="384"/>
      <c r="V267" s="384"/>
      <c r="W267" s="384"/>
      <c r="X267" s="384"/>
      <c r="Y267" s="384"/>
      <c r="Z267" s="384"/>
      <c r="AA267" s="384"/>
      <c r="AB267" s="384"/>
      <c r="AC267" s="384"/>
      <c r="AD267" s="384"/>
      <c r="AE267" s="384"/>
      <c r="AF267" s="384"/>
      <c r="AG267" s="384"/>
      <c r="AH267" s="384"/>
      <c r="AI267" s="322"/>
      <c r="AJ267" s="479"/>
      <c r="AK267" s="378" t="str">
        <f>_xll.BLUEMATRIX2("/servlet/excelData",E267,$B$1,$B267&amp;":"&amp;E$115&amp;":"&amp;$AI$114)</f>
        <v>#</v>
      </c>
      <c r="AL267" s="378" t="str">
        <f>_xll.BLUEMATRIX2("/servlet/excelData",F267,$B$1,$B267&amp;":"&amp;F$115&amp;":"&amp;$AI$114)</f>
        <v>#</v>
      </c>
      <c r="AM267" s="378" t="str">
        <f>_xll.BLUEMATRIX2("/servlet/excelData",G267,$B$1,$B267&amp;":"&amp;G$115&amp;":"&amp;$AI$114)</f>
        <v>#</v>
      </c>
      <c r="AN267" s="378" t="str">
        <f>_xll.BLUEMATRIX2("/servlet/excelData",H267,$B$1,$B267&amp;":"&amp;H$115&amp;":"&amp;$AI$114)</f>
        <v>#</v>
      </c>
      <c r="AO267" s="378" t="str">
        <f>_xll.BLUEMATRIX2("/servlet/excelData",I267,$B$1,$B267&amp;":"&amp;I$115&amp;":"&amp;$AI$114)</f>
        <v>#</v>
      </c>
      <c r="AP267" s="378" t="str">
        <f>_xll.BLUEMATRIX2("/servlet/excelData",J267,$B$1,$B267&amp;":"&amp;J$115&amp;":"&amp;$AI$114)</f>
        <v>#</v>
      </c>
      <c r="AQ267" s="378" t="str">
        <f>_xll.BLUEMATRIX2("/servlet/excelData",K267,$B$1,$B267&amp;":"&amp;K$115&amp;":"&amp;$AI$114)</f>
        <v>#</v>
      </c>
      <c r="AR267" s="378" t="str">
        <f>_xll.BLUEMATRIX2("/servlet/excelData",L267,$B$1,$B267&amp;":"&amp;L$115&amp;":"&amp;$AI$114)</f>
        <v>#</v>
      </c>
      <c r="AS267" s="378" t="str">
        <f>_xll.BLUEMATRIX2("/servlet/excelData",M267,$B$1,$B267&amp;":"&amp;M$115&amp;":"&amp;$AI$114)</f>
        <v>#</v>
      </c>
      <c r="AT267" s="378" t="str">
        <f>_xll.BLUEMATRIX2("/servlet/excelData",N267,$B$1,$B267&amp;":"&amp;N$115&amp;":"&amp;$AI$114)</f>
        <v>#</v>
      </c>
      <c r="AU267" s="378" t="str">
        <f>_xll.BLUEMATRIX2("/servlet/excelData",O267,$B$1,$B267&amp;":"&amp;O$115&amp;":"&amp;$AI$114)</f>
        <v>#</v>
      </c>
      <c r="AV267" s="378" t="str">
        <f>_xll.BLUEMATRIX2("/servlet/excelData",P267,$B$1,$B267&amp;":"&amp;P$115&amp;":"&amp;$AI$114)</f>
        <v>#</v>
      </c>
      <c r="AW267" s="378" t="str">
        <f>_xll.BLUEMATRIX2("/servlet/excelData",Q267,$B$1,$B267&amp;":"&amp;Q$115&amp;":"&amp;$AI$114)</f>
        <v>#</v>
      </c>
    </row>
    <row r="268" spans="1:49" ht="12.95" customHeight="1">
      <c r="A268" s="348" t="s">
        <v>895</v>
      </c>
      <c r="B268" s="350" t="s">
        <v>896</v>
      </c>
      <c r="C268" s="383" t="s">
        <v>897</v>
      </c>
      <c r="D268" s="384"/>
      <c r="E268" s="384"/>
      <c r="F268" s="384"/>
      <c r="G268" s="384"/>
      <c r="H268" s="384"/>
      <c r="I268" s="384">
        <f>FY!G89</f>
        <v>42.676000000000045</v>
      </c>
      <c r="J268" s="384">
        <f>FY!H89</f>
        <v>40.886999999999944</v>
      </c>
      <c r="K268" s="384">
        <f>FY!I89</f>
        <v>39.563999999999965</v>
      </c>
      <c r="L268" s="384">
        <f>FY!J89</f>
        <v>47.54099999999994</v>
      </c>
      <c r="M268" s="384">
        <f>FY!K89</f>
        <v>-150.0140000000001</v>
      </c>
      <c r="N268" s="384">
        <f>FY!L89</f>
        <v>-285</v>
      </c>
      <c r="O268" s="384">
        <f>FY!M89</f>
        <v>0</v>
      </c>
      <c r="P268" s="384">
        <f>FY!N89</f>
        <v>0</v>
      </c>
      <c r="Q268" s="384">
        <f>FY!O89</f>
        <v>0</v>
      </c>
      <c r="R268" s="384"/>
      <c r="S268" s="384"/>
      <c r="T268" s="384"/>
      <c r="U268" s="384"/>
      <c r="V268" s="384"/>
      <c r="W268" s="384"/>
      <c r="X268" s="384"/>
      <c r="Y268" s="384"/>
      <c r="Z268" s="384"/>
      <c r="AA268" s="384"/>
      <c r="AB268" s="384"/>
      <c r="AC268" s="384"/>
      <c r="AD268" s="384"/>
      <c r="AE268" s="384"/>
      <c r="AF268" s="384"/>
      <c r="AG268" s="384"/>
      <c r="AH268" s="384"/>
      <c r="AI268" s="322"/>
      <c r="AJ268" s="479"/>
      <c r="AK268" s="378" t="str">
        <f>_xll.BLUEMATRIX2("/servlet/excelData",E268,$B$1,$B268&amp;":"&amp;E$115&amp;":"&amp;$AI$114)</f>
        <v>#</v>
      </c>
      <c r="AL268" s="378" t="str">
        <f>_xll.BLUEMATRIX2("/servlet/excelData",F268,$B$1,$B268&amp;":"&amp;F$115&amp;":"&amp;$AI$114)</f>
        <v>#</v>
      </c>
      <c r="AM268" s="378" t="str">
        <f>_xll.BLUEMATRIX2("/servlet/excelData",G268,$B$1,$B268&amp;":"&amp;G$115&amp;":"&amp;$AI$114)</f>
        <v>#</v>
      </c>
      <c r="AN268" s="378" t="str">
        <f>_xll.BLUEMATRIX2("/servlet/excelData",H268,$B$1,$B268&amp;":"&amp;H$115&amp;":"&amp;$AI$114)</f>
        <v>#</v>
      </c>
      <c r="AO268" s="378" t="str">
        <f>_xll.BLUEMATRIX2("/servlet/excelData",I268,$B$1,$B268&amp;":"&amp;I$115&amp;":"&amp;$AI$114)</f>
        <v>#</v>
      </c>
      <c r="AP268" s="378" t="str">
        <f>_xll.BLUEMATRIX2("/servlet/excelData",J268,$B$1,$B268&amp;":"&amp;J$115&amp;":"&amp;$AI$114)</f>
        <v>#</v>
      </c>
      <c r="AQ268" s="378" t="str">
        <f>_xll.BLUEMATRIX2("/servlet/excelData",K268,$B$1,$B268&amp;":"&amp;K$115&amp;":"&amp;$AI$114)</f>
        <v>#</v>
      </c>
      <c r="AR268" s="378" t="str">
        <f>_xll.BLUEMATRIX2("/servlet/excelData",L268,$B$1,$B268&amp;":"&amp;L$115&amp;":"&amp;$AI$114)</f>
        <v>#</v>
      </c>
      <c r="AS268" s="378" t="str">
        <f>_xll.BLUEMATRIX2("/servlet/excelData",M268,$B$1,$B268&amp;":"&amp;M$115&amp;":"&amp;$AI$114)</f>
        <v>#</v>
      </c>
      <c r="AT268" s="378" t="str">
        <f>_xll.BLUEMATRIX2("/servlet/excelData",N268,$B$1,$B268&amp;":"&amp;N$115&amp;":"&amp;$AI$114)</f>
        <v>#</v>
      </c>
      <c r="AU268" s="378" t="str">
        <f>_xll.BLUEMATRIX2("/servlet/excelData",O268,$B$1,$B268&amp;":"&amp;O$115&amp;":"&amp;$AI$114)</f>
        <v>#</v>
      </c>
      <c r="AV268" s="378" t="str">
        <f>_xll.BLUEMATRIX2("/servlet/excelData",P268,$B$1,$B268&amp;":"&amp;P$115&amp;":"&amp;$AI$114)</f>
        <v>#</v>
      </c>
      <c r="AW268" s="378" t="str">
        <f>_xll.BLUEMATRIX2("/servlet/excelData",Q268,$B$1,$B268&amp;":"&amp;Q$115&amp;":"&amp;$AI$114)</f>
        <v>#</v>
      </c>
    </row>
    <row r="269" spans="1:49" ht="12.95" customHeight="1">
      <c r="A269" s="348" t="s">
        <v>898</v>
      </c>
      <c r="B269" s="350" t="s">
        <v>899</v>
      </c>
      <c r="C269" s="430" t="s">
        <v>900</v>
      </c>
      <c r="D269" s="384"/>
      <c r="E269" s="384"/>
      <c r="F269" s="384"/>
      <c r="G269" s="384"/>
      <c r="H269" s="384"/>
      <c r="I269" s="384"/>
      <c r="J269" s="384"/>
      <c r="K269" s="384"/>
      <c r="L269" s="384"/>
      <c r="M269" s="384"/>
      <c r="N269" s="384"/>
      <c r="O269" s="384"/>
      <c r="P269" s="384"/>
      <c r="Q269" s="384"/>
      <c r="R269" s="384"/>
      <c r="S269" s="384"/>
      <c r="T269" s="384"/>
      <c r="U269" s="384"/>
      <c r="V269" s="384"/>
      <c r="W269" s="384"/>
      <c r="X269" s="384"/>
      <c r="Y269" s="384"/>
      <c r="Z269" s="384"/>
      <c r="AA269" s="384"/>
      <c r="AB269" s="384"/>
      <c r="AC269" s="384"/>
      <c r="AD269" s="384"/>
      <c r="AE269" s="384"/>
      <c r="AF269" s="384"/>
      <c r="AG269" s="384"/>
      <c r="AH269" s="384"/>
      <c r="AI269" s="384"/>
      <c r="AJ269" s="479"/>
      <c r="AK269" s="378" t="str">
        <f>_xll.BLUEMATRIX2("/servlet/excelData",E269,$B$1,$B269&amp;":"&amp;E$115&amp;":"&amp;$AI$114)</f>
        <v>#</v>
      </c>
      <c r="AL269" s="378" t="str">
        <f>_xll.BLUEMATRIX2("/servlet/excelData",F269,$B$1,$B269&amp;":"&amp;F$115&amp;":"&amp;$AI$114)</f>
        <v>#</v>
      </c>
      <c r="AM269" s="378" t="str">
        <f>_xll.BLUEMATRIX2("/servlet/excelData",G269,$B$1,$B269&amp;":"&amp;G$115&amp;":"&amp;$AI$114)</f>
        <v>#</v>
      </c>
      <c r="AN269" s="378" t="str">
        <f>_xll.BLUEMATRIX2("/servlet/excelData",H269,$B$1,$B269&amp;":"&amp;H$115&amp;":"&amp;$AI$114)</f>
        <v>#</v>
      </c>
      <c r="AO269" s="378" t="str">
        <f>_xll.BLUEMATRIX2("/servlet/excelData",I269,$B$1,$B269&amp;":"&amp;I$115&amp;":"&amp;$AI$114)</f>
        <v>#</v>
      </c>
      <c r="AP269" s="378" t="str">
        <f>_xll.BLUEMATRIX2("/servlet/excelData",J269,$B$1,$B269&amp;":"&amp;J$115&amp;":"&amp;$AI$114)</f>
        <v>#</v>
      </c>
      <c r="AQ269" s="378" t="str">
        <f>_xll.BLUEMATRIX2("/servlet/excelData",K269,$B$1,$B269&amp;":"&amp;K$115&amp;":"&amp;$AI$114)</f>
        <v>#</v>
      </c>
      <c r="AR269" s="378" t="str">
        <f>_xll.BLUEMATRIX2("/servlet/excelData",L269,$B$1,$B269&amp;":"&amp;L$115&amp;":"&amp;$AI$114)</f>
        <v>#</v>
      </c>
      <c r="AS269" s="378" t="str">
        <f>_xll.BLUEMATRIX2("/servlet/excelData",M269,$B$1,$B269&amp;":"&amp;M$115&amp;":"&amp;$AI$114)</f>
        <v>#</v>
      </c>
      <c r="AT269" s="378" t="str">
        <f>_xll.BLUEMATRIX2("/servlet/excelData",N269,$B$1,$B269&amp;":"&amp;N$115&amp;":"&amp;$AI$114)</f>
        <v>#</v>
      </c>
      <c r="AU269" s="378" t="str">
        <f>_xll.BLUEMATRIX2("/servlet/excelData",O269,$B$1,$B269&amp;":"&amp;O$115&amp;":"&amp;$AI$114)</f>
        <v>#</v>
      </c>
      <c r="AV269" s="378" t="str">
        <f>_xll.BLUEMATRIX2("/servlet/excelData",P269,$B$1,$B269&amp;":"&amp;P$115&amp;":"&amp;$AI$114)</f>
        <v>#</v>
      </c>
      <c r="AW269" s="378" t="str">
        <f>_xll.BLUEMATRIX2("/servlet/excelData",Q269,$B$1,$B269&amp;":"&amp;Q$115&amp;":"&amp;$AI$114)</f>
        <v>#</v>
      </c>
    </row>
    <row r="270" spans="1:49" ht="12.95" customHeight="1">
      <c r="A270" s="348" t="s">
        <v>901</v>
      </c>
      <c r="B270" s="350" t="s">
        <v>902</v>
      </c>
      <c r="C270" s="383" t="s">
        <v>903</v>
      </c>
      <c r="D270" s="384"/>
      <c r="E270" s="384"/>
      <c r="F270" s="384"/>
      <c r="G270" s="384"/>
      <c r="H270" s="384"/>
      <c r="I270" s="384">
        <f>FY!G92</f>
        <v>-53.082000000000001</v>
      </c>
      <c r="J270" s="384">
        <f>FY!H92</f>
        <v>-45.533000000000001</v>
      </c>
      <c r="K270" s="384">
        <f>FY!I92</f>
        <v>-85.382000000000005</v>
      </c>
      <c r="L270" s="384">
        <f>FY!J92</f>
        <v>0</v>
      </c>
      <c r="M270" s="384">
        <f>FY!K92</f>
        <v>0</v>
      </c>
      <c r="N270" s="384">
        <f>FY!L92</f>
        <v>0</v>
      </c>
      <c r="O270" s="384">
        <f>FY!M92</f>
        <v>0</v>
      </c>
      <c r="P270" s="384">
        <f>FY!N92</f>
        <v>0</v>
      </c>
      <c r="Q270" s="384">
        <f>FY!O92</f>
        <v>0</v>
      </c>
      <c r="R270" s="384"/>
      <c r="S270" s="384"/>
      <c r="T270" s="384"/>
      <c r="U270" s="384"/>
      <c r="V270" s="384"/>
      <c r="W270" s="384"/>
      <c r="X270" s="384"/>
      <c r="Y270" s="384"/>
      <c r="Z270" s="384"/>
      <c r="AA270" s="384"/>
      <c r="AB270" s="384"/>
      <c r="AC270" s="384"/>
      <c r="AD270" s="384"/>
      <c r="AE270" s="384"/>
      <c r="AF270" s="384"/>
      <c r="AG270" s="384"/>
      <c r="AH270" s="384"/>
      <c r="AI270" s="322"/>
      <c r="AJ270" s="479"/>
      <c r="AK270" s="378" t="str">
        <f>_xll.BLUEMATRIX2("/servlet/excelData",E270,$B$1,$B270&amp;":"&amp;E$115&amp;":"&amp;$AI$114)</f>
        <v>#</v>
      </c>
      <c r="AL270" s="378" t="str">
        <f>_xll.BLUEMATRIX2("/servlet/excelData",F270,$B$1,$B270&amp;":"&amp;F$115&amp;":"&amp;$AI$114)</f>
        <v>#</v>
      </c>
      <c r="AM270" s="378" t="str">
        <f>_xll.BLUEMATRIX2("/servlet/excelData",G270,$B$1,$B270&amp;":"&amp;G$115&amp;":"&amp;$AI$114)</f>
        <v>#</v>
      </c>
      <c r="AN270" s="378" t="str">
        <f>_xll.BLUEMATRIX2("/servlet/excelData",H270,$B$1,$B270&amp;":"&amp;H$115&amp;":"&amp;$AI$114)</f>
        <v>#</v>
      </c>
      <c r="AO270" s="378" t="str">
        <f>_xll.BLUEMATRIX2("/servlet/excelData",I270,$B$1,$B270&amp;":"&amp;I$115&amp;":"&amp;$AI$114)</f>
        <v>#</v>
      </c>
      <c r="AP270" s="378" t="str">
        <f>_xll.BLUEMATRIX2("/servlet/excelData",J270,$B$1,$B270&amp;":"&amp;J$115&amp;":"&amp;$AI$114)</f>
        <v>#</v>
      </c>
      <c r="AQ270" s="378" t="str">
        <f>_xll.BLUEMATRIX2("/servlet/excelData",K270,$B$1,$B270&amp;":"&amp;K$115&amp;":"&amp;$AI$114)</f>
        <v>#</v>
      </c>
      <c r="AR270" s="378" t="str">
        <f>_xll.BLUEMATRIX2("/servlet/excelData",L270,$B$1,$B270&amp;":"&amp;L$115&amp;":"&amp;$AI$114)</f>
        <v>#</v>
      </c>
      <c r="AS270" s="378" t="str">
        <f>_xll.BLUEMATRIX2("/servlet/excelData",M270,$B$1,$B270&amp;":"&amp;M$115&amp;":"&amp;$AI$114)</f>
        <v>#</v>
      </c>
      <c r="AT270" s="378" t="str">
        <f>_xll.BLUEMATRIX2("/servlet/excelData",N270,$B$1,$B270&amp;":"&amp;N$115&amp;":"&amp;$AI$114)</f>
        <v>#</v>
      </c>
      <c r="AU270" s="378" t="str">
        <f>_xll.BLUEMATRIX2("/servlet/excelData",O270,$B$1,$B270&amp;":"&amp;O$115&amp;":"&amp;$AI$114)</f>
        <v>#</v>
      </c>
      <c r="AV270" s="378" t="str">
        <f>_xll.BLUEMATRIX2("/servlet/excelData",P270,$B$1,$B270&amp;":"&amp;P$115&amp;":"&amp;$AI$114)</f>
        <v>#</v>
      </c>
      <c r="AW270" s="378" t="str">
        <f>_xll.BLUEMATRIX2("/servlet/excelData",Q270,$B$1,$B270&amp;":"&amp;Q$115&amp;":"&amp;$AI$114)</f>
        <v>#</v>
      </c>
    </row>
    <row r="271" spans="1:49" ht="12.95" customHeight="1">
      <c r="A271" s="348" t="s">
        <v>904</v>
      </c>
      <c r="B271" s="350" t="s">
        <v>905</v>
      </c>
      <c r="C271" s="383" t="s">
        <v>906</v>
      </c>
      <c r="D271" s="384"/>
      <c r="E271" s="384"/>
      <c r="F271" s="426"/>
      <c r="G271" s="426"/>
      <c r="H271" s="426"/>
      <c r="I271" s="426"/>
      <c r="J271" s="426"/>
      <c r="K271" s="426"/>
      <c r="L271" s="426"/>
      <c r="M271" s="426"/>
      <c r="N271" s="426"/>
      <c r="O271" s="426"/>
      <c r="P271" s="426"/>
      <c r="Q271" s="426"/>
      <c r="R271" s="384"/>
      <c r="S271" s="384"/>
      <c r="T271" s="384"/>
      <c r="U271" s="384"/>
      <c r="V271" s="384"/>
      <c r="W271" s="384"/>
      <c r="X271" s="384"/>
      <c r="Y271" s="384"/>
      <c r="Z271" s="384"/>
      <c r="AA271" s="384"/>
      <c r="AB271" s="384"/>
      <c r="AC271" s="384"/>
      <c r="AD271" s="384"/>
      <c r="AE271" s="384"/>
      <c r="AF271" s="384"/>
      <c r="AG271" s="384"/>
      <c r="AH271" s="384"/>
      <c r="AI271" s="322"/>
      <c r="AJ271" s="479"/>
      <c r="AK271" s="378" t="str">
        <f>_xll.BLUEMATRIX2("/servlet/excelData",E271,$B$1,$B271&amp;":"&amp;E$115&amp;":"&amp;$AI$114)</f>
        <v>#</v>
      </c>
      <c r="AL271" s="378" t="str">
        <f>_xll.BLUEMATRIX2("/servlet/excelData",F271,$B$1,$B271&amp;":"&amp;F$115&amp;":"&amp;$AI$114)</f>
        <v>#</v>
      </c>
      <c r="AM271" s="378" t="str">
        <f>_xll.BLUEMATRIX2("/servlet/excelData",G271,$B$1,$B271&amp;":"&amp;G$115&amp;":"&amp;$AI$114)</f>
        <v>#</v>
      </c>
      <c r="AN271" s="378" t="str">
        <f>_xll.BLUEMATRIX2("/servlet/excelData",H271,$B$1,$B271&amp;":"&amp;H$115&amp;":"&amp;$AI$114)</f>
        <v>#</v>
      </c>
      <c r="AO271" s="378" t="str">
        <f>_xll.BLUEMATRIX2("/servlet/excelData",I271,$B$1,$B271&amp;":"&amp;I$115&amp;":"&amp;$AI$114)</f>
        <v>#</v>
      </c>
      <c r="AP271" s="378" t="str">
        <f>_xll.BLUEMATRIX2("/servlet/excelData",J271,$B$1,$B271&amp;":"&amp;J$115&amp;":"&amp;$AI$114)</f>
        <v>#</v>
      </c>
      <c r="AQ271" s="378" t="str">
        <f>_xll.BLUEMATRIX2("/servlet/excelData",K271,$B$1,$B271&amp;":"&amp;K$115&amp;":"&amp;$AI$114)</f>
        <v>#</v>
      </c>
      <c r="AR271" s="378" t="str">
        <f>_xll.BLUEMATRIX2("/servlet/excelData",L271,$B$1,$B271&amp;":"&amp;L$115&amp;":"&amp;$AI$114)</f>
        <v>#</v>
      </c>
      <c r="AS271" s="378" t="str">
        <f>_xll.BLUEMATRIX2("/servlet/excelData",M271,$B$1,$B271&amp;":"&amp;M$115&amp;":"&amp;$AI$114)</f>
        <v>#</v>
      </c>
      <c r="AT271" s="378" t="str">
        <f>_xll.BLUEMATRIX2("/servlet/excelData",N271,$B$1,$B271&amp;":"&amp;N$115&amp;":"&amp;$AI$114)</f>
        <v>#</v>
      </c>
      <c r="AU271" s="378" t="str">
        <f>_xll.BLUEMATRIX2("/servlet/excelData",O271,$B$1,$B271&amp;":"&amp;O$115&amp;":"&amp;$AI$114)</f>
        <v>#</v>
      </c>
      <c r="AV271" s="378" t="str">
        <f>_xll.BLUEMATRIX2("/servlet/excelData",P271,$B$1,$B271&amp;":"&amp;P$115&amp;":"&amp;$AI$114)</f>
        <v>#</v>
      </c>
      <c r="AW271" s="378" t="str">
        <f>_xll.BLUEMATRIX2("/servlet/excelData",Q271,$B$1,$B271&amp;":"&amp;Q$115&amp;":"&amp;$AI$114)</f>
        <v>#</v>
      </c>
    </row>
    <row r="272" spans="1:49" ht="12.95" customHeight="1">
      <c r="A272" s="348" t="s">
        <v>907</v>
      </c>
      <c r="B272" s="350" t="s">
        <v>908</v>
      </c>
      <c r="C272" s="383" t="s">
        <v>909</v>
      </c>
      <c r="D272" s="384"/>
      <c r="E272" s="384"/>
      <c r="F272" s="384"/>
      <c r="G272" s="384"/>
      <c r="H272" s="384"/>
      <c r="I272" s="384">
        <f>I273-SUM(I267:I271)</f>
        <v>-52.179000000000045</v>
      </c>
      <c r="J272" s="384">
        <f t="shared" ref="J272:Q272" si="72">J273-SUM(J267:J271)</f>
        <v>-33.864999999999938</v>
      </c>
      <c r="K272" s="384">
        <f t="shared" si="72"/>
        <v>-29.07199999999996</v>
      </c>
      <c r="L272" s="384">
        <f t="shared" si="72"/>
        <v>-7.0419999999999376</v>
      </c>
      <c r="M272" s="384">
        <f t="shared" si="72"/>
        <v>-54.102999999999895</v>
      </c>
      <c r="N272" s="384">
        <f t="shared" si="72"/>
        <v>-26.72411404815125</v>
      </c>
      <c r="O272" s="384">
        <f t="shared" si="72"/>
        <v>-21.935186810000655</v>
      </c>
      <c r="P272" s="384">
        <f t="shared" si="72"/>
        <v>-19.650921251912443</v>
      </c>
      <c r="Q272" s="384">
        <f t="shared" si="72"/>
        <v>-16.707393769213969</v>
      </c>
      <c r="R272" s="384"/>
      <c r="S272" s="384"/>
      <c r="T272" s="384"/>
      <c r="U272" s="384"/>
      <c r="V272" s="384"/>
      <c r="W272" s="384"/>
      <c r="X272" s="384"/>
      <c r="Y272" s="384"/>
      <c r="Z272" s="384"/>
      <c r="AA272" s="384"/>
      <c r="AB272" s="384"/>
      <c r="AC272" s="384"/>
      <c r="AD272" s="384"/>
      <c r="AE272" s="384"/>
      <c r="AF272" s="384"/>
      <c r="AG272" s="384"/>
      <c r="AH272" s="384"/>
      <c r="AI272" s="322"/>
      <c r="AJ272" s="479"/>
      <c r="AK272" s="378" t="str">
        <f>_xll.BLUEMATRIX2("/servlet/excelData",E272,$B$1,$B272&amp;":"&amp;E$115&amp;":"&amp;$AI$114)</f>
        <v>#</v>
      </c>
      <c r="AL272" s="378" t="str">
        <f>_xll.BLUEMATRIX2("/servlet/excelData",F272,$B$1,$B272&amp;":"&amp;F$115&amp;":"&amp;$AI$114)</f>
        <v>#</v>
      </c>
      <c r="AM272" s="378" t="str">
        <f>_xll.BLUEMATRIX2("/servlet/excelData",G272,$B$1,$B272&amp;":"&amp;G$115&amp;":"&amp;$AI$114)</f>
        <v>#</v>
      </c>
      <c r="AN272" s="378" t="str">
        <f>_xll.BLUEMATRIX2("/servlet/excelData",H272,$B$1,$B272&amp;":"&amp;H$115&amp;":"&amp;$AI$114)</f>
        <v>#</v>
      </c>
      <c r="AO272" s="378" t="str">
        <f>_xll.BLUEMATRIX2("/servlet/excelData",I272,$B$1,$B272&amp;":"&amp;I$115&amp;":"&amp;$AI$114)</f>
        <v>#</v>
      </c>
      <c r="AP272" s="378" t="str">
        <f>_xll.BLUEMATRIX2("/servlet/excelData",J272,$B$1,$B272&amp;":"&amp;J$115&amp;":"&amp;$AI$114)</f>
        <v>#</v>
      </c>
      <c r="AQ272" s="378" t="str">
        <f>_xll.BLUEMATRIX2("/servlet/excelData",K272,$B$1,$B272&amp;":"&amp;K$115&amp;":"&amp;$AI$114)</f>
        <v>#</v>
      </c>
      <c r="AR272" s="378" t="str">
        <f>_xll.BLUEMATRIX2("/servlet/excelData",L272,$B$1,$B272&amp;":"&amp;L$115&amp;":"&amp;$AI$114)</f>
        <v>#</v>
      </c>
      <c r="AS272" s="378" t="str">
        <f>_xll.BLUEMATRIX2("/servlet/excelData",M272,$B$1,$B272&amp;":"&amp;M$115&amp;":"&amp;$AI$114)</f>
        <v>#</v>
      </c>
      <c r="AT272" s="378" t="str">
        <f>_xll.BLUEMATRIX2("/servlet/excelData",N272,$B$1,$B272&amp;":"&amp;N$115&amp;":"&amp;$AI$114)</f>
        <v>#</v>
      </c>
      <c r="AU272" s="378" t="str">
        <f>_xll.BLUEMATRIX2("/servlet/excelData",O272,$B$1,$B272&amp;":"&amp;O$115&amp;":"&amp;$AI$114)</f>
        <v>#</v>
      </c>
      <c r="AV272" s="378" t="str">
        <f>_xll.BLUEMATRIX2("/servlet/excelData",P272,$B$1,$B272&amp;":"&amp;P$115&amp;":"&amp;$AI$114)</f>
        <v>#</v>
      </c>
      <c r="AW272" s="378" t="str">
        <f>_xll.BLUEMATRIX2("/servlet/excelData",Q272,$B$1,$B272&amp;":"&amp;Q$115&amp;":"&amp;$AI$114)</f>
        <v>#</v>
      </c>
    </row>
    <row r="273" spans="1:49" ht="12.95" customHeight="1">
      <c r="A273" s="348" t="s">
        <v>910</v>
      </c>
      <c r="B273" s="350" t="s">
        <v>911</v>
      </c>
      <c r="C273" s="408" t="s">
        <v>912</v>
      </c>
      <c r="D273" s="387"/>
      <c r="E273" s="387"/>
      <c r="F273" s="387"/>
      <c r="G273" s="387"/>
      <c r="H273" s="387"/>
      <c r="I273" s="387">
        <f>FY!G96</f>
        <v>-62.585000000000001</v>
      </c>
      <c r="J273" s="387">
        <f>FY!H96</f>
        <v>-38.510999999999996</v>
      </c>
      <c r="K273" s="387">
        <f>FY!I96</f>
        <v>-74.89</v>
      </c>
      <c r="L273" s="387">
        <f>FY!J96</f>
        <v>40.499000000000002</v>
      </c>
      <c r="M273" s="387">
        <f>FY!K96</f>
        <v>24.91</v>
      </c>
      <c r="N273" s="387">
        <f>FY!L96</f>
        <v>-311.72411404815125</v>
      </c>
      <c r="O273" s="387">
        <f>FY!M96</f>
        <v>-21.935186810000655</v>
      </c>
      <c r="P273" s="387">
        <f>FY!N96</f>
        <v>-19.650921251912443</v>
      </c>
      <c r="Q273" s="387">
        <f>FY!O96</f>
        <v>-16.707393769213969</v>
      </c>
      <c r="R273" s="387"/>
      <c r="S273" s="387"/>
      <c r="T273" s="387">
        <f t="shared" ref="T273:AH273" si="73">T267+T268+T269+T270+T271+T272</f>
        <v>0</v>
      </c>
      <c r="U273" s="387">
        <f t="shared" si="73"/>
        <v>0</v>
      </c>
      <c r="V273" s="387">
        <f t="shared" si="73"/>
        <v>0</v>
      </c>
      <c r="W273" s="387">
        <f t="shared" si="73"/>
        <v>0</v>
      </c>
      <c r="X273" s="387">
        <f t="shared" si="73"/>
        <v>0</v>
      </c>
      <c r="Y273" s="387">
        <f t="shared" si="73"/>
        <v>0</v>
      </c>
      <c r="Z273" s="387">
        <f t="shared" si="73"/>
        <v>0</v>
      </c>
      <c r="AA273" s="387">
        <f t="shared" si="73"/>
        <v>0</v>
      </c>
      <c r="AB273" s="387">
        <f t="shared" si="73"/>
        <v>0</v>
      </c>
      <c r="AC273" s="387">
        <f t="shared" si="73"/>
        <v>0</v>
      </c>
      <c r="AD273" s="387">
        <f t="shared" si="73"/>
        <v>0</v>
      </c>
      <c r="AE273" s="387">
        <f t="shared" si="73"/>
        <v>0</v>
      </c>
      <c r="AF273" s="387">
        <f t="shared" si="73"/>
        <v>0</v>
      </c>
      <c r="AG273" s="387">
        <f t="shared" si="73"/>
        <v>0</v>
      </c>
      <c r="AH273" s="387">
        <f t="shared" si="73"/>
        <v>0</v>
      </c>
      <c r="AI273" s="322"/>
      <c r="AJ273" s="479"/>
      <c r="AK273" s="378" t="str">
        <f>_xll.BLUEMATRIX2("/servlet/excelData",E273,$B$1,$B273&amp;":"&amp;E$115&amp;":"&amp;$AI$114)</f>
        <v>#</v>
      </c>
      <c r="AL273" s="378" t="str">
        <f>_xll.BLUEMATRIX2("/servlet/excelData",F273,$B$1,$B273&amp;":"&amp;F$115&amp;":"&amp;$AI$114)</f>
        <v>#</v>
      </c>
      <c r="AM273" s="378" t="str">
        <f>_xll.BLUEMATRIX2("/servlet/excelData",G273,$B$1,$B273&amp;":"&amp;G$115&amp;":"&amp;$AI$114)</f>
        <v>#</v>
      </c>
      <c r="AN273" s="378" t="str">
        <f>_xll.BLUEMATRIX2("/servlet/excelData",H273,$B$1,$B273&amp;":"&amp;H$115&amp;":"&amp;$AI$114)</f>
        <v>#</v>
      </c>
      <c r="AO273" s="378" t="str">
        <f>_xll.BLUEMATRIX2("/servlet/excelData",I273,$B$1,$B273&amp;":"&amp;I$115&amp;":"&amp;$AI$114)</f>
        <v>#</v>
      </c>
      <c r="AP273" s="378" t="str">
        <f>_xll.BLUEMATRIX2("/servlet/excelData",J273,$B$1,$B273&amp;":"&amp;J$115&amp;":"&amp;$AI$114)</f>
        <v>#</v>
      </c>
      <c r="AQ273" s="378" t="str">
        <f>_xll.BLUEMATRIX2("/servlet/excelData",K273,$B$1,$B273&amp;":"&amp;K$115&amp;":"&amp;$AI$114)</f>
        <v>#</v>
      </c>
      <c r="AR273" s="378" t="str">
        <f>_xll.BLUEMATRIX2("/servlet/excelData",L273,$B$1,$B273&amp;":"&amp;L$115&amp;":"&amp;$AI$114)</f>
        <v>#</v>
      </c>
      <c r="AS273" s="378" t="str">
        <f>_xll.BLUEMATRIX2("/servlet/excelData",M273,$B$1,$B273&amp;":"&amp;M$115&amp;":"&amp;$AI$114)</f>
        <v>#</v>
      </c>
      <c r="AT273" s="378" t="str">
        <f>_xll.BLUEMATRIX2("/servlet/excelData",N273,$B$1,$B273&amp;":"&amp;N$115&amp;":"&amp;$AI$114)</f>
        <v>#</v>
      </c>
      <c r="AU273" s="378" t="str">
        <f>_xll.BLUEMATRIX2("/servlet/excelData",O273,$B$1,$B273&amp;":"&amp;O$115&amp;":"&amp;$AI$114)</f>
        <v>#</v>
      </c>
      <c r="AV273" s="378" t="str">
        <f>_xll.BLUEMATRIX2("/servlet/excelData",P273,$B$1,$B273&amp;":"&amp;P$115&amp;":"&amp;$AI$114)</f>
        <v>#</v>
      </c>
      <c r="AW273" s="378" t="str">
        <f>_xll.BLUEMATRIX2("/servlet/excelData",Q273,$B$1,$B273&amp;":"&amp;Q$115&amp;":"&amp;$AI$114)</f>
        <v>#</v>
      </c>
    </row>
    <row r="274" spans="1:49" ht="12.95" customHeight="1">
      <c r="A274" s="348"/>
      <c r="B274" s="350"/>
      <c r="C274" s="483" t="s">
        <v>913</v>
      </c>
      <c r="D274" s="484"/>
      <c r="E274" s="484"/>
      <c r="F274" s="651"/>
      <c r="G274" s="651"/>
      <c r="H274" s="651"/>
      <c r="I274" s="651">
        <f>ROUND(FY!G96-I273,2)</f>
        <v>0</v>
      </c>
      <c r="J274" s="651">
        <f>ROUND(FY!H96-J273,2)</f>
        <v>0</v>
      </c>
      <c r="K274" s="651">
        <f>ROUND(FY!I96-K273,2)</f>
        <v>0</v>
      </c>
      <c r="L274" s="485">
        <f>ROUND(FY!J96-L273,2)</f>
        <v>0</v>
      </c>
      <c r="M274" s="485">
        <f>ROUND(FY!K96-M273,2)</f>
        <v>0</v>
      </c>
      <c r="N274" s="485">
        <f>ROUND(FY!L96-N273,2)</f>
        <v>0</v>
      </c>
      <c r="O274" s="485">
        <f>ROUND(FY!M96-O273,2)</f>
        <v>0</v>
      </c>
      <c r="P274" s="485">
        <f>ROUND(FY!N96-P273,2)</f>
        <v>0</v>
      </c>
      <c r="Q274" s="485">
        <f>ROUND(FY!O96-Q273,2)</f>
        <v>0</v>
      </c>
      <c r="R274" s="392"/>
      <c r="S274" s="392"/>
      <c r="T274" s="392"/>
      <c r="U274" s="392"/>
      <c r="V274" s="392"/>
      <c r="W274" s="392"/>
      <c r="X274" s="392"/>
      <c r="Y274" s="392"/>
      <c r="Z274" s="392"/>
      <c r="AA274" s="392"/>
      <c r="AB274" s="392"/>
      <c r="AC274" s="392"/>
      <c r="AD274" s="392"/>
      <c r="AE274" s="392"/>
      <c r="AF274" s="392"/>
      <c r="AG274" s="392"/>
      <c r="AH274" s="392"/>
      <c r="AI274" s="322"/>
      <c r="AJ274" s="479"/>
      <c r="AK274" s="378"/>
      <c r="AL274" s="378"/>
      <c r="AM274" s="378"/>
      <c r="AN274" s="378"/>
      <c r="AO274" s="378"/>
      <c r="AP274" s="378"/>
      <c r="AQ274" s="378"/>
      <c r="AR274" s="378"/>
      <c r="AS274" s="378"/>
      <c r="AT274" s="378"/>
      <c r="AU274" s="378"/>
      <c r="AV274" s="378"/>
      <c r="AW274" s="378"/>
    </row>
    <row r="275" spans="1:49" ht="12.95" customHeight="1">
      <c r="A275" s="348"/>
      <c r="B275" s="350"/>
      <c r="C275" s="403"/>
      <c r="D275" s="392"/>
      <c r="E275" s="392"/>
      <c r="F275" s="392"/>
      <c r="G275" s="392"/>
      <c r="H275" s="392"/>
      <c r="I275" s="392"/>
      <c r="J275" s="392"/>
      <c r="K275" s="392"/>
      <c r="L275" s="392"/>
      <c r="M275" s="392"/>
      <c r="N275" s="392"/>
      <c r="O275" s="392"/>
      <c r="P275" s="392"/>
      <c r="Q275" s="392"/>
      <c r="R275" s="392"/>
      <c r="S275" s="392"/>
      <c r="T275" s="392"/>
      <c r="U275" s="392"/>
      <c r="V275" s="392"/>
      <c r="W275" s="392"/>
      <c r="X275" s="392"/>
      <c r="Y275" s="392"/>
      <c r="Z275" s="392"/>
      <c r="AA275" s="392"/>
      <c r="AB275" s="392"/>
      <c r="AC275" s="392"/>
      <c r="AD275" s="392"/>
      <c r="AE275" s="392"/>
      <c r="AF275" s="392"/>
      <c r="AG275" s="392"/>
      <c r="AH275" s="392"/>
      <c r="AI275" s="322"/>
      <c r="AJ275" s="479"/>
      <c r="AK275" s="378"/>
      <c r="AL275" s="378"/>
      <c r="AM275" s="378"/>
      <c r="AN275" s="378"/>
      <c r="AO275" s="378"/>
      <c r="AP275" s="378"/>
      <c r="AQ275" s="378"/>
      <c r="AR275" s="378"/>
      <c r="AS275" s="378"/>
      <c r="AT275" s="378"/>
      <c r="AU275" s="378"/>
      <c r="AV275" s="378"/>
      <c r="AW275" s="378"/>
    </row>
    <row r="276" spans="1:49" ht="12.95" customHeight="1">
      <c r="A276" s="348" t="s">
        <v>914</v>
      </c>
      <c r="B276" s="350" t="s">
        <v>915</v>
      </c>
      <c r="C276" s="434" t="s">
        <v>916</v>
      </c>
      <c r="D276" s="384"/>
      <c r="E276" s="384"/>
      <c r="F276" s="384"/>
      <c r="G276" s="384"/>
      <c r="H276" s="384"/>
      <c r="I276" s="384">
        <f>FY!G99</f>
        <v>0</v>
      </c>
      <c r="J276" s="384">
        <f>FY!H99</f>
        <v>0</v>
      </c>
      <c r="K276" s="384">
        <f>FY!I99</f>
        <v>0</v>
      </c>
      <c r="L276" s="384">
        <f>FY!J99</f>
        <v>0</v>
      </c>
      <c r="M276" s="384">
        <f>FY!K99</f>
        <v>0</v>
      </c>
      <c r="N276" s="384">
        <f>FY!L99</f>
        <v>0</v>
      </c>
      <c r="O276" s="384">
        <f>FY!M99</f>
        <v>0</v>
      </c>
      <c r="P276" s="384">
        <f>FY!N99</f>
        <v>0</v>
      </c>
      <c r="Q276" s="384">
        <f>FY!O99</f>
        <v>0</v>
      </c>
      <c r="R276" s="384"/>
      <c r="S276" s="384"/>
      <c r="T276" s="384"/>
      <c r="U276" s="384"/>
      <c r="V276" s="384"/>
      <c r="W276" s="384"/>
      <c r="X276" s="384"/>
      <c r="Y276" s="384"/>
      <c r="Z276" s="384"/>
      <c r="AA276" s="384"/>
      <c r="AB276" s="384"/>
      <c r="AC276" s="384"/>
      <c r="AD276" s="384"/>
      <c r="AE276" s="384"/>
      <c r="AF276" s="384"/>
      <c r="AG276" s="384"/>
      <c r="AH276" s="384"/>
      <c r="AI276" s="322"/>
      <c r="AJ276" s="479"/>
      <c r="AK276" s="378" t="str">
        <f>_xll.BLUEMATRIX2("/servlet/excelData",E276,$B$1,$B276&amp;":"&amp;E$115&amp;":"&amp;$AI$114)</f>
        <v>#</v>
      </c>
      <c r="AL276" s="378" t="str">
        <f>_xll.BLUEMATRIX2("/servlet/excelData",F276,$B$1,$B276&amp;":"&amp;F$115&amp;":"&amp;$AI$114)</f>
        <v>#</v>
      </c>
      <c r="AM276" s="378" t="str">
        <f>_xll.BLUEMATRIX2("/servlet/excelData",G276,$B$1,$B276&amp;":"&amp;G$115&amp;":"&amp;$AI$114)</f>
        <v>#</v>
      </c>
      <c r="AN276" s="378" t="str">
        <f>_xll.BLUEMATRIX2("/servlet/excelData",H276,$B$1,$B276&amp;":"&amp;H$115&amp;":"&amp;$AI$114)</f>
        <v>#</v>
      </c>
      <c r="AO276" s="378" t="str">
        <f>_xll.BLUEMATRIX2("/servlet/excelData",I276,$B$1,$B276&amp;":"&amp;I$115&amp;":"&amp;$AI$114)</f>
        <v>#</v>
      </c>
      <c r="AP276" s="378" t="str">
        <f>_xll.BLUEMATRIX2("/servlet/excelData",J276,$B$1,$B276&amp;":"&amp;J$115&amp;":"&amp;$AI$114)</f>
        <v>#</v>
      </c>
      <c r="AQ276" s="378" t="str">
        <f>_xll.BLUEMATRIX2("/servlet/excelData",K276,$B$1,$B276&amp;":"&amp;K$115&amp;":"&amp;$AI$114)</f>
        <v>#</v>
      </c>
      <c r="AR276" s="378" t="str">
        <f>_xll.BLUEMATRIX2("/servlet/excelData",L276,$B$1,$B276&amp;":"&amp;L$115&amp;":"&amp;$AI$114)</f>
        <v>#</v>
      </c>
      <c r="AS276" s="378" t="str">
        <f>_xll.BLUEMATRIX2("/servlet/excelData",M276,$B$1,$B276&amp;":"&amp;M$115&amp;":"&amp;$AI$114)</f>
        <v>#</v>
      </c>
      <c r="AT276" s="378" t="str">
        <f>_xll.BLUEMATRIX2("/servlet/excelData",N276,$B$1,$B276&amp;":"&amp;N$115&amp;":"&amp;$AI$114)</f>
        <v>#</v>
      </c>
      <c r="AU276" s="378" t="str">
        <f>_xll.BLUEMATRIX2("/servlet/excelData",O276,$B$1,$B276&amp;":"&amp;O$115&amp;":"&amp;$AI$114)</f>
        <v>#</v>
      </c>
      <c r="AV276" s="378" t="str">
        <f>_xll.BLUEMATRIX2("/servlet/excelData",P276,$B$1,$B276&amp;":"&amp;P$115&amp;":"&amp;$AI$114)</f>
        <v>#</v>
      </c>
      <c r="AW276" s="378" t="str">
        <f>_xll.BLUEMATRIX2("/servlet/excelData",Q276,$B$1,$B276&amp;":"&amp;Q$115&amp;":"&amp;$AI$114)</f>
        <v>#</v>
      </c>
    </row>
    <row r="277" spans="1:49" ht="12.95" customHeight="1">
      <c r="A277" s="348" t="s">
        <v>917</v>
      </c>
      <c r="B277" s="350" t="s">
        <v>918</v>
      </c>
      <c r="C277" s="408" t="s">
        <v>919</v>
      </c>
      <c r="D277" s="387"/>
      <c r="E277" s="387"/>
      <c r="F277" s="387"/>
      <c r="G277" s="387"/>
      <c r="H277" s="387"/>
      <c r="I277" s="387">
        <f t="shared" ref="I277:Q277" si="74">I250+I263+I273+I276</f>
        <v>-1.2420000000000115</v>
      </c>
      <c r="J277" s="387">
        <f t="shared" si="74"/>
        <v>196.31500000000003</v>
      </c>
      <c r="K277" s="387">
        <f t="shared" si="74"/>
        <v>-184.47700000000003</v>
      </c>
      <c r="L277" s="387">
        <f t="shared" si="74"/>
        <v>-9.036999999999999</v>
      </c>
      <c r="M277" s="387">
        <f t="shared" si="74"/>
        <v>32.916000000000039</v>
      </c>
      <c r="N277" s="387">
        <f t="shared" si="74"/>
        <v>8.7291624475767549</v>
      </c>
      <c r="O277" s="387">
        <f t="shared" si="74"/>
        <v>62.932440947483713</v>
      </c>
      <c r="P277" s="387">
        <f t="shared" si="74"/>
        <v>92.487067818247709</v>
      </c>
      <c r="Q277" s="387">
        <f t="shared" si="74"/>
        <v>106.40562816263757</v>
      </c>
      <c r="R277" s="387"/>
      <c r="S277" s="387"/>
      <c r="T277" s="387">
        <f t="shared" ref="T277:AH277" si="75">T250+T263+T273+T276</f>
        <v>0</v>
      </c>
      <c r="U277" s="387">
        <f t="shared" si="75"/>
        <v>0</v>
      </c>
      <c r="V277" s="387">
        <f t="shared" si="75"/>
        <v>0</v>
      </c>
      <c r="W277" s="387">
        <f t="shared" si="75"/>
        <v>0</v>
      </c>
      <c r="X277" s="387">
        <f t="shared" si="75"/>
        <v>0</v>
      </c>
      <c r="Y277" s="387">
        <f t="shared" si="75"/>
        <v>0</v>
      </c>
      <c r="Z277" s="387">
        <f t="shared" si="75"/>
        <v>0</v>
      </c>
      <c r="AA277" s="387">
        <f t="shared" si="75"/>
        <v>0</v>
      </c>
      <c r="AB277" s="387">
        <f t="shared" si="75"/>
        <v>0</v>
      </c>
      <c r="AC277" s="387">
        <f t="shared" si="75"/>
        <v>0</v>
      </c>
      <c r="AD277" s="387">
        <f t="shared" si="75"/>
        <v>0</v>
      </c>
      <c r="AE277" s="387">
        <f t="shared" si="75"/>
        <v>0</v>
      </c>
      <c r="AF277" s="387">
        <f t="shared" si="75"/>
        <v>0</v>
      </c>
      <c r="AG277" s="387">
        <f t="shared" si="75"/>
        <v>0</v>
      </c>
      <c r="AH277" s="387">
        <f t="shared" si="75"/>
        <v>0</v>
      </c>
      <c r="AI277" s="322"/>
      <c r="AJ277" s="479"/>
      <c r="AK277" s="378" t="str">
        <f>_xll.BLUEMATRIX2("/servlet/excelData",E277,$B$1,$B277&amp;":"&amp;E$115&amp;":"&amp;$AI$114)</f>
        <v>#</v>
      </c>
      <c r="AL277" s="378" t="str">
        <f>_xll.BLUEMATRIX2("/servlet/excelData",F277,$B$1,$B277&amp;":"&amp;F$115&amp;":"&amp;$AI$114)</f>
        <v>#</v>
      </c>
      <c r="AM277" s="378" t="str">
        <f>_xll.BLUEMATRIX2("/servlet/excelData",G277,$B$1,$B277&amp;":"&amp;G$115&amp;":"&amp;$AI$114)</f>
        <v>#</v>
      </c>
      <c r="AN277" s="378" t="str">
        <f>_xll.BLUEMATRIX2("/servlet/excelData",H277,$B$1,$B277&amp;":"&amp;H$115&amp;":"&amp;$AI$114)</f>
        <v>#</v>
      </c>
      <c r="AO277" s="378" t="str">
        <f>_xll.BLUEMATRIX2("/servlet/excelData",I277,$B$1,$B277&amp;":"&amp;I$115&amp;":"&amp;$AI$114)</f>
        <v>#</v>
      </c>
      <c r="AP277" s="378" t="str">
        <f>_xll.BLUEMATRIX2("/servlet/excelData",J277,$B$1,$B277&amp;":"&amp;J$115&amp;":"&amp;$AI$114)</f>
        <v>#</v>
      </c>
      <c r="AQ277" s="378" t="str">
        <f>_xll.BLUEMATRIX2("/servlet/excelData",K277,$B$1,$B277&amp;":"&amp;K$115&amp;":"&amp;$AI$114)</f>
        <v>#</v>
      </c>
      <c r="AR277" s="378" t="str">
        <f>_xll.BLUEMATRIX2("/servlet/excelData",L277,$B$1,$B277&amp;":"&amp;L$115&amp;":"&amp;$AI$114)</f>
        <v>#</v>
      </c>
      <c r="AS277" s="378" t="str">
        <f>_xll.BLUEMATRIX2("/servlet/excelData",M277,$B$1,$B277&amp;":"&amp;M$115&amp;":"&amp;$AI$114)</f>
        <v>#</v>
      </c>
      <c r="AT277" s="378" t="str">
        <f>_xll.BLUEMATRIX2("/servlet/excelData",N277,$B$1,$B277&amp;":"&amp;N$115&amp;":"&amp;$AI$114)</f>
        <v>#</v>
      </c>
      <c r="AU277" s="378" t="str">
        <f>_xll.BLUEMATRIX2("/servlet/excelData",O277,$B$1,$B277&amp;":"&amp;O$115&amp;":"&amp;$AI$114)</f>
        <v>#</v>
      </c>
      <c r="AV277" s="378" t="str">
        <f>_xll.BLUEMATRIX2("/servlet/excelData",P277,$B$1,$B277&amp;":"&amp;P$115&amp;":"&amp;$AI$114)</f>
        <v>#</v>
      </c>
      <c r="AW277" s="378" t="str">
        <f>_xll.BLUEMATRIX2("/servlet/excelData",Q277,$B$1,$B277&amp;":"&amp;Q$115&amp;":"&amp;$AI$114)</f>
        <v>#</v>
      </c>
    </row>
    <row r="278" spans="1:49" ht="12.95" customHeight="1">
      <c r="A278" s="348"/>
      <c r="B278" s="350"/>
      <c r="C278" s="433"/>
      <c r="D278" s="420"/>
      <c r="E278" s="420"/>
      <c r="F278" s="420"/>
      <c r="G278" s="420"/>
      <c r="H278" s="420"/>
      <c r="I278" s="420"/>
      <c r="J278" s="420"/>
      <c r="K278" s="420"/>
      <c r="L278" s="420"/>
      <c r="M278" s="420"/>
      <c r="N278" s="420"/>
      <c r="O278" s="420"/>
      <c r="P278" s="420"/>
      <c r="Q278" s="420"/>
      <c r="R278" s="420"/>
      <c r="S278" s="420"/>
      <c r="T278" s="420"/>
      <c r="U278" s="420"/>
      <c r="V278" s="420"/>
      <c r="W278" s="420"/>
      <c r="X278" s="420"/>
      <c r="Y278" s="420"/>
      <c r="Z278" s="420"/>
      <c r="AA278" s="420"/>
      <c r="AB278" s="420"/>
      <c r="AC278" s="420"/>
      <c r="AD278" s="420"/>
      <c r="AE278" s="420"/>
      <c r="AF278" s="420"/>
      <c r="AG278" s="420"/>
      <c r="AH278" s="420"/>
      <c r="AI278" s="420"/>
      <c r="AJ278" s="479"/>
      <c r="AK278" s="378"/>
      <c r="AL278" s="378"/>
      <c r="AM278" s="378"/>
      <c r="AN278" s="378"/>
      <c r="AO278" s="378"/>
      <c r="AP278" s="378"/>
      <c r="AQ278" s="378"/>
      <c r="AR278" s="378"/>
      <c r="AS278" s="378"/>
      <c r="AT278" s="378"/>
      <c r="AU278" s="378"/>
      <c r="AV278" s="378"/>
      <c r="AW278" s="378"/>
    </row>
    <row r="279" spans="1:49" ht="12.95" customHeight="1">
      <c r="A279" s="348" t="s">
        <v>920</v>
      </c>
      <c r="B279" s="350" t="s">
        <v>921</v>
      </c>
      <c r="C279" s="435" t="s">
        <v>922</v>
      </c>
      <c r="D279" s="418"/>
      <c r="E279" s="418"/>
      <c r="F279" s="418"/>
      <c r="G279" s="418"/>
      <c r="H279" s="418"/>
      <c r="I279" s="418">
        <f t="shared" ref="I279:Q279" si="76">I250+I257</f>
        <v>-7.0430000000000064</v>
      </c>
      <c r="J279" s="418">
        <f t="shared" si="76"/>
        <v>31.516000000000048</v>
      </c>
      <c r="K279" s="418">
        <f t="shared" si="76"/>
        <v>-93.864000000000004</v>
      </c>
      <c r="L279" s="418">
        <f t="shared" si="76"/>
        <v>-116.42699999999999</v>
      </c>
      <c r="M279" s="418">
        <f t="shared" si="76"/>
        <v>18.709000000000046</v>
      </c>
      <c r="N279" s="418">
        <f t="shared" si="76"/>
        <v>44.806616495728036</v>
      </c>
      <c r="O279" s="418">
        <f t="shared" si="76"/>
        <v>93.463750057484376</v>
      </c>
      <c r="P279" s="418">
        <f t="shared" si="76"/>
        <v>121.13110794516015</v>
      </c>
      <c r="Q279" s="418">
        <f t="shared" si="76"/>
        <v>132.47126237632153</v>
      </c>
      <c r="R279" s="418"/>
      <c r="S279" s="418"/>
      <c r="T279" s="418">
        <f t="shared" ref="T279:AH279" si="77">T250+T255</f>
        <v>0</v>
      </c>
      <c r="U279" s="418">
        <f t="shared" si="77"/>
        <v>0</v>
      </c>
      <c r="V279" s="418">
        <f t="shared" si="77"/>
        <v>0</v>
      </c>
      <c r="W279" s="418">
        <f t="shared" si="77"/>
        <v>0</v>
      </c>
      <c r="X279" s="418">
        <f t="shared" si="77"/>
        <v>0</v>
      </c>
      <c r="Y279" s="418">
        <f t="shared" si="77"/>
        <v>0</v>
      </c>
      <c r="Z279" s="418">
        <f t="shared" si="77"/>
        <v>0</v>
      </c>
      <c r="AA279" s="418">
        <f t="shared" si="77"/>
        <v>0</v>
      </c>
      <c r="AB279" s="418">
        <f t="shared" si="77"/>
        <v>0</v>
      </c>
      <c r="AC279" s="418">
        <f t="shared" si="77"/>
        <v>0</v>
      </c>
      <c r="AD279" s="418">
        <f t="shared" si="77"/>
        <v>0</v>
      </c>
      <c r="AE279" s="418">
        <f t="shared" si="77"/>
        <v>0</v>
      </c>
      <c r="AF279" s="418">
        <f t="shared" si="77"/>
        <v>0</v>
      </c>
      <c r="AG279" s="418">
        <f t="shared" si="77"/>
        <v>0</v>
      </c>
      <c r="AH279" s="418">
        <f t="shared" si="77"/>
        <v>0</v>
      </c>
      <c r="AI279" s="322"/>
      <c r="AJ279" s="479"/>
      <c r="AK279" s="378" t="str">
        <f>_xll.BLUEMATRIX2("/servlet/excelData",E279,$B$1,$B279&amp;":"&amp;E$115&amp;":"&amp;$AI$114)</f>
        <v>#</v>
      </c>
      <c r="AL279" s="378" t="str">
        <f>_xll.BLUEMATRIX2("/servlet/excelData",F279,$B$1,$B279&amp;":"&amp;F$115&amp;":"&amp;$AI$114)</f>
        <v>#</v>
      </c>
      <c r="AM279" s="378" t="str">
        <f>_xll.BLUEMATRIX2("/servlet/excelData",G279,$B$1,$B279&amp;":"&amp;G$115&amp;":"&amp;$AI$114)</f>
        <v>#</v>
      </c>
      <c r="AN279" s="378" t="str">
        <f>_xll.BLUEMATRIX2("/servlet/excelData",H279,$B$1,$B279&amp;":"&amp;H$115&amp;":"&amp;$AI$114)</f>
        <v>#</v>
      </c>
      <c r="AO279" s="378" t="str">
        <f>_xll.BLUEMATRIX2("/servlet/excelData",I279,$B$1,$B279&amp;":"&amp;I$115&amp;":"&amp;$AI$114)</f>
        <v>#</v>
      </c>
      <c r="AP279" s="378" t="str">
        <f>_xll.BLUEMATRIX2("/servlet/excelData",J279,$B$1,$B279&amp;":"&amp;J$115&amp;":"&amp;$AI$114)</f>
        <v>#</v>
      </c>
      <c r="AQ279" s="378" t="str">
        <f>_xll.BLUEMATRIX2("/servlet/excelData",K279,$B$1,$B279&amp;":"&amp;K$115&amp;":"&amp;$AI$114)</f>
        <v>#</v>
      </c>
      <c r="AR279" s="378" t="str">
        <f>_xll.BLUEMATRIX2("/servlet/excelData",L279,$B$1,$B279&amp;":"&amp;L$115&amp;":"&amp;$AI$114)</f>
        <v>#</v>
      </c>
      <c r="AS279" s="378" t="str">
        <f>_xll.BLUEMATRIX2("/servlet/excelData",M279,$B$1,$B279&amp;":"&amp;M$115&amp;":"&amp;$AI$114)</f>
        <v>#</v>
      </c>
      <c r="AT279" s="378" t="str">
        <f>_xll.BLUEMATRIX2("/servlet/excelData",N279,$B$1,$B279&amp;":"&amp;N$115&amp;":"&amp;$AI$114)</f>
        <v>#</v>
      </c>
      <c r="AU279" s="378" t="str">
        <f>_xll.BLUEMATRIX2("/servlet/excelData",O279,$B$1,$B279&amp;":"&amp;O$115&amp;":"&amp;$AI$114)</f>
        <v>#</v>
      </c>
      <c r="AV279" s="378" t="str">
        <f>_xll.BLUEMATRIX2("/servlet/excelData",P279,$B$1,$B279&amp;":"&amp;P$115&amp;":"&amp;$AI$114)</f>
        <v>#</v>
      </c>
      <c r="AW279" s="378" t="str">
        <f>_xll.BLUEMATRIX2("/servlet/excelData",Q279,$B$1,$B279&amp;":"&amp;Q$115&amp;":"&amp;$AI$114)</f>
        <v>#</v>
      </c>
    </row>
    <row r="280" spans="1:49" ht="12.95" customHeight="1">
      <c r="A280" s="348"/>
      <c r="B280" s="350"/>
      <c r="C280" s="433"/>
      <c r="D280" s="420"/>
      <c r="E280" s="420"/>
      <c r="F280" s="420"/>
      <c r="G280" s="420"/>
      <c r="H280" s="420"/>
      <c r="I280" s="420"/>
      <c r="J280" s="420"/>
      <c r="K280" s="420"/>
      <c r="L280" s="420"/>
      <c r="M280" s="420"/>
      <c r="N280" s="420"/>
      <c r="O280" s="420"/>
      <c r="P280" s="420"/>
      <c r="Q280" s="420"/>
      <c r="R280" s="420"/>
      <c r="S280" s="420"/>
      <c r="T280" s="420"/>
      <c r="U280" s="420"/>
      <c r="V280" s="420"/>
      <c r="W280" s="420"/>
      <c r="X280" s="420"/>
      <c r="Y280" s="420"/>
      <c r="Z280" s="420"/>
      <c r="AA280" s="420"/>
      <c r="AB280" s="420"/>
      <c r="AC280" s="420"/>
      <c r="AD280" s="420"/>
      <c r="AE280" s="420"/>
      <c r="AF280" s="420"/>
      <c r="AG280" s="420"/>
      <c r="AH280" s="420"/>
      <c r="AI280" s="322"/>
      <c r="AJ280" s="479"/>
      <c r="AK280" s="378"/>
      <c r="AL280" s="378"/>
      <c r="AM280" s="378"/>
      <c r="AN280" s="378"/>
      <c r="AO280" s="378"/>
      <c r="AP280" s="378"/>
      <c r="AQ280" s="378"/>
      <c r="AR280" s="378"/>
      <c r="AS280" s="378"/>
      <c r="AT280" s="378"/>
      <c r="AU280" s="378"/>
      <c r="AV280" s="378"/>
      <c r="AW280" s="378"/>
    </row>
    <row r="281" spans="1:49" ht="12.95" customHeight="1">
      <c r="A281" s="348" t="s">
        <v>923</v>
      </c>
      <c r="B281" s="350" t="s">
        <v>924</v>
      </c>
      <c r="C281" s="434" t="s">
        <v>925</v>
      </c>
      <c r="D281" s="384"/>
      <c r="E281" s="384"/>
      <c r="F281" s="384"/>
      <c r="G281" s="384"/>
      <c r="H281" s="384"/>
      <c r="I281" s="384">
        <v>49.94</v>
      </c>
      <c r="J281" s="384">
        <f t="shared" ref="J281:Q281" si="78">I282</f>
        <v>48.698</v>
      </c>
      <c r="K281" s="384">
        <f t="shared" si="78"/>
        <v>245.01300000000001</v>
      </c>
      <c r="L281" s="384">
        <f t="shared" si="78"/>
        <v>60.536000000000001</v>
      </c>
      <c r="M281" s="384">
        <f t="shared" si="78"/>
        <v>51.499000000000002</v>
      </c>
      <c r="N281" s="384">
        <f t="shared" si="78"/>
        <v>84.415000000000006</v>
      </c>
      <c r="O281" s="384">
        <f t="shared" si="78"/>
        <v>93.144162447576775</v>
      </c>
      <c r="P281" s="384">
        <f t="shared" si="78"/>
        <v>156.07660339506049</v>
      </c>
      <c r="Q281" s="384">
        <f t="shared" si="78"/>
        <v>248.56367121330823</v>
      </c>
      <c r="R281" s="384"/>
      <c r="S281" s="384"/>
      <c r="T281" s="384"/>
      <c r="U281" s="384"/>
      <c r="V281" s="384"/>
      <c r="W281" s="384"/>
      <c r="X281" s="384"/>
      <c r="Y281" s="384"/>
      <c r="Z281" s="384"/>
      <c r="AA281" s="384"/>
      <c r="AB281" s="384"/>
      <c r="AC281" s="384"/>
      <c r="AD281" s="384"/>
      <c r="AE281" s="384"/>
      <c r="AF281" s="384"/>
      <c r="AG281" s="384"/>
      <c r="AH281" s="384"/>
      <c r="AI281" s="322"/>
      <c r="AJ281" s="479"/>
      <c r="AK281" s="378" t="str">
        <f>_xll.BLUEMATRIX2("/servlet/excelData",E281,$B$1,$B281&amp;":"&amp;E$115&amp;":"&amp;$AI$114)</f>
        <v>#</v>
      </c>
      <c r="AL281" s="378" t="str">
        <f>_xll.BLUEMATRIX2("/servlet/excelData",F281,$B$1,$B281&amp;":"&amp;F$115&amp;":"&amp;$AI$114)</f>
        <v>#</v>
      </c>
      <c r="AM281" s="378" t="str">
        <f>_xll.BLUEMATRIX2("/servlet/excelData",G281,$B$1,$B281&amp;":"&amp;G$115&amp;":"&amp;$AI$114)</f>
        <v>#</v>
      </c>
      <c r="AN281" s="378" t="str">
        <f>_xll.BLUEMATRIX2("/servlet/excelData",H281,$B$1,$B281&amp;":"&amp;H$115&amp;":"&amp;$AI$114)</f>
        <v>#</v>
      </c>
      <c r="AO281" s="378" t="str">
        <f>_xll.BLUEMATRIX2("/servlet/excelData",I281,$B$1,$B281&amp;":"&amp;I$115&amp;":"&amp;$AI$114)</f>
        <v>#</v>
      </c>
      <c r="AP281" s="378" t="str">
        <f>_xll.BLUEMATRIX2("/servlet/excelData",J281,$B$1,$B281&amp;":"&amp;J$115&amp;":"&amp;$AI$114)</f>
        <v>#</v>
      </c>
      <c r="AQ281" s="378" t="str">
        <f>_xll.BLUEMATRIX2("/servlet/excelData",K281,$B$1,$B281&amp;":"&amp;K$115&amp;":"&amp;$AI$114)</f>
        <v>#</v>
      </c>
      <c r="AR281" s="378" t="str">
        <f>_xll.BLUEMATRIX2("/servlet/excelData",L281,$B$1,$B281&amp;":"&amp;L$115&amp;":"&amp;$AI$114)</f>
        <v>#</v>
      </c>
      <c r="AS281" s="378" t="str">
        <f>_xll.BLUEMATRIX2("/servlet/excelData",M281,$B$1,$B281&amp;":"&amp;M$115&amp;":"&amp;$AI$114)</f>
        <v>#</v>
      </c>
      <c r="AT281" s="378" t="str">
        <f>_xll.BLUEMATRIX2("/servlet/excelData",N281,$B$1,$B281&amp;":"&amp;N$115&amp;":"&amp;$AI$114)</f>
        <v>#</v>
      </c>
      <c r="AU281" s="378" t="str">
        <f>_xll.BLUEMATRIX2("/servlet/excelData",O281,$B$1,$B281&amp;":"&amp;O$115&amp;":"&amp;$AI$114)</f>
        <v>#</v>
      </c>
      <c r="AV281" s="378" t="str">
        <f>_xll.BLUEMATRIX2("/servlet/excelData",P281,$B$1,$B281&amp;":"&amp;P$115&amp;":"&amp;$AI$114)</f>
        <v>#</v>
      </c>
      <c r="AW281" s="378" t="str">
        <f>_xll.BLUEMATRIX2("/servlet/excelData",Q281,$B$1,$B281&amp;":"&amp;Q$115&amp;":"&amp;$AI$114)</f>
        <v>#</v>
      </c>
    </row>
    <row r="282" spans="1:49" ht="12.95" customHeight="1">
      <c r="A282" s="348" t="s">
        <v>926</v>
      </c>
      <c r="B282" s="350" t="s">
        <v>927</v>
      </c>
      <c r="C282" s="434" t="s">
        <v>928</v>
      </c>
      <c r="D282" s="384"/>
      <c r="E282" s="384"/>
      <c r="F282" s="384"/>
      <c r="G282" s="384"/>
      <c r="H282" s="690">
        <v>49.94</v>
      </c>
      <c r="I282" s="384">
        <f t="shared" ref="I282:Q282" si="79">I182</f>
        <v>48.698</v>
      </c>
      <c r="J282" s="384">
        <f t="shared" si="79"/>
        <v>245.01300000000001</v>
      </c>
      <c r="K282" s="384">
        <f t="shared" si="79"/>
        <v>60.536000000000001</v>
      </c>
      <c r="L282" s="384">
        <f t="shared" si="79"/>
        <v>51.499000000000002</v>
      </c>
      <c r="M282" s="384">
        <f t="shared" si="79"/>
        <v>84.415000000000006</v>
      </c>
      <c r="N282" s="384">
        <f t="shared" si="79"/>
        <v>93.144162447576775</v>
      </c>
      <c r="O282" s="384">
        <f t="shared" si="79"/>
        <v>156.07660339506049</v>
      </c>
      <c r="P282" s="384">
        <f t="shared" si="79"/>
        <v>248.56367121330823</v>
      </c>
      <c r="Q282" s="384">
        <f t="shared" si="79"/>
        <v>354.96929937594575</v>
      </c>
      <c r="R282" s="384"/>
      <c r="S282" s="384"/>
      <c r="T282" s="384"/>
      <c r="U282" s="384"/>
      <c r="V282" s="384"/>
      <c r="W282" s="384"/>
      <c r="X282" s="384"/>
      <c r="Y282" s="384"/>
      <c r="Z282" s="384"/>
      <c r="AA282" s="384"/>
      <c r="AB282" s="384"/>
      <c r="AC282" s="384"/>
      <c r="AD282" s="384"/>
      <c r="AE282" s="384"/>
      <c r="AF282" s="384"/>
      <c r="AG282" s="384"/>
      <c r="AH282" s="384"/>
      <c r="AI282" s="322"/>
      <c r="AJ282" s="479"/>
      <c r="AK282" s="378" t="str">
        <f>_xll.BLUEMATRIX2("/servlet/excelData",E282,$B$1,$B282&amp;":"&amp;E$115&amp;":"&amp;$AI$114)</f>
        <v>#</v>
      </c>
      <c r="AL282" s="378" t="str">
        <f>_xll.BLUEMATRIX2("/servlet/excelData",F282,$B$1,$B282&amp;":"&amp;F$115&amp;":"&amp;$AI$114)</f>
        <v>#</v>
      </c>
      <c r="AM282" s="378" t="str">
        <f>_xll.BLUEMATRIX2("/servlet/excelData",G282,$B$1,$B282&amp;":"&amp;G$115&amp;":"&amp;$AI$114)</f>
        <v>#</v>
      </c>
      <c r="AN282" s="378" t="str">
        <f>_xll.BLUEMATRIX2("/servlet/excelData",H282,$B$1,$B282&amp;":"&amp;H$115&amp;":"&amp;$AI$114)</f>
        <v>#</v>
      </c>
      <c r="AO282" s="378" t="str">
        <f>_xll.BLUEMATRIX2("/servlet/excelData",I282,$B$1,$B282&amp;":"&amp;I$115&amp;":"&amp;$AI$114)</f>
        <v>#</v>
      </c>
      <c r="AP282" s="378" t="str">
        <f>_xll.BLUEMATRIX2("/servlet/excelData",J282,$B$1,$B282&amp;":"&amp;J$115&amp;":"&amp;$AI$114)</f>
        <v>#</v>
      </c>
      <c r="AQ282" s="378" t="str">
        <f>_xll.BLUEMATRIX2("/servlet/excelData",K282,$B$1,$B282&amp;":"&amp;K$115&amp;":"&amp;$AI$114)</f>
        <v>#</v>
      </c>
      <c r="AR282" s="378" t="str">
        <f>_xll.BLUEMATRIX2("/servlet/excelData",L282,$B$1,$B282&amp;":"&amp;L$115&amp;":"&amp;$AI$114)</f>
        <v>#</v>
      </c>
      <c r="AS282" s="378" t="str">
        <f>_xll.BLUEMATRIX2("/servlet/excelData",M282,$B$1,$B282&amp;":"&amp;M$115&amp;":"&amp;$AI$114)</f>
        <v>#</v>
      </c>
      <c r="AT282" s="378" t="str">
        <f>_xll.BLUEMATRIX2("/servlet/excelData",N282,$B$1,$B282&amp;":"&amp;N$115&amp;":"&amp;$AI$114)</f>
        <v>#</v>
      </c>
      <c r="AU282" s="378" t="str">
        <f>_xll.BLUEMATRIX2("/servlet/excelData",O282,$B$1,$B282&amp;":"&amp;O$115&amp;":"&amp;$AI$114)</f>
        <v>#</v>
      </c>
      <c r="AV282" s="378" t="str">
        <f>_xll.BLUEMATRIX2("/servlet/excelData",P282,$B$1,$B282&amp;":"&amp;P$115&amp;":"&amp;$AI$114)</f>
        <v>#</v>
      </c>
      <c r="AW282" s="378" t="str">
        <f>_xll.BLUEMATRIX2("/servlet/excelData",Q282,$B$1,$B282&amp;":"&amp;Q$115&amp;":"&amp;$AI$114)</f>
        <v>#</v>
      </c>
    </row>
    <row r="283" spans="1:49" ht="12.95" customHeight="1">
      <c r="A283" s="348"/>
      <c r="B283" s="350"/>
      <c r="C283" s="483" t="s">
        <v>929</v>
      </c>
      <c r="D283" s="484"/>
      <c r="E283" s="484"/>
      <c r="F283" s="651"/>
      <c r="G283" s="651"/>
      <c r="H283" s="651"/>
      <c r="I283" s="651">
        <f t="shared" ref="I283:Q283" si="80">I282-(I277+I281)</f>
        <v>0</v>
      </c>
      <c r="J283" s="651">
        <f t="shared" si="80"/>
        <v>0</v>
      </c>
      <c r="K283" s="651">
        <f t="shared" si="80"/>
        <v>0</v>
      </c>
      <c r="L283" s="485">
        <f t="shared" si="80"/>
        <v>0</v>
      </c>
      <c r="M283" s="485">
        <f t="shared" si="80"/>
        <v>0</v>
      </c>
      <c r="N283" s="485">
        <f t="shared" si="80"/>
        <v>0</v>
      </c>
      <c r="O283" s="485">
        <f t="shared" si="80"/>
        <v>0</v>
      </c>
      <c r="P283" s="485">
        <f t="shared" si="80"/>
        <v>0</v>
      </c>
      <c r="Q283" s="485">
        <f t="shared" si="80"/>
        <v>0</v>
      </c>
      <c r="R283" s="392"/>
      <c r="S283" s="392"/>
      <c r="T283" s="392"/>
      <c r="U283" s="392"/>
      <c r="V283" s="392"/>
      <c r="W283" s="392"/>
      <c r="X283" s="392"/>
      <c r="Y283" s="392"/>
      <c r="Z283" s="392"/>
      <c r="AA283" s="392"/>
      <c r="AB283" s="392"/>
      <c r="AC283" s="392"/>
      <c r="AD283" s="392"/>
      <c r="AE283" s="392"/>
      <c r="AF283" s="392"/>
      <c r="AG283" s="392"/>
      <c r="AH283" s="392"/>
      <c r="AI283" s="322"/>
      <c r="AJ283" s="479"/>
      <c r="AK283" s="378"/>
      <c r="AL283" s="378"/>
      <c r="AM283" s="378"/>
      <c r="AN283" s="378"/>
      <c r="AO283" s="378"/>
      <c r="AP283" s="378"/>
      <c r="AQ283" s="378"/>
      <c r="AR283" s="378"/>
      <c r="AS283" s="378"/>
      <c r="AT283" s="378"/>
      <c r="AU283" s="378"/>
      <c r="AV283" s="378"/>
      <c r="AW283" s="378"/>
    </row>
    <row r="284" spans="1:49" ht="12.95" customHeight="1">
      <c r="A284" s="348"/>
      <c r="B284" s="350"/>
      <c r="C284" s="433"/>
      <c r="D284" s="416"/>
      <c r="E284" s="416"/>
      <c r="F284" s="416"/>
      <c r="G284" s="416"/>
      <c r="H284" s="416"/>
      <c r="I284" s="416"/>
      <c r="J284" s="416"/>
      <c r="K284" s="416"/>
      <c r="L284" s="416"/>
      <c r="M284" s="416"/>
      <c r="N284" s="416"/>
      <c r="O284" s="416"/>
      <c r="P284" s="416"/>
      <c r="Q284" s="416"/>
      <c r="R284" s="416"/>
      <c r="S284" s="416"/>
      <c r="T284" s="416"/>
      <c r="U284" s="416"/>
      <c r="V284" s="416"/>
      <c r="W284" s="416"/>
      <c r="X284" s="416"/>
      <c r="Y284" s="416"/>
      <c r="Z284" s="416"/>
      <c r="AA284" s="416"/>
      <c r="AB284" s="416"/>
      <c r="AC284" s="416"/>
      <c r="AD284" s="416"/>
      <c r="AE284" s="416"/>
      <c r="AF284" s="416"/>
      <c r="AG284" s="416"/>
      <c r="AH284" s="416"/>
      <c r="AI284" s="322"/>
      <c r="AJ284" s="477"/>
      <c r="AK284" s="351"/>
      <c r="AL284" s="351"/>
      <c r="AM284" s="351"/>
      <c r="AN284" s="351"/>
      <c r="AO284" s="351"/>
      <c r="AP284" s="351"/>
      <c r="AQ284" s="351"/>
      <c r="AR284" s="351"/>
      <c r="AS284" s="351"/>
      <c r="AT284" s="351"/>
      <c r="AU284" s="351"/>
      <c r="AV284" s="351"/>
      <c r="AW284" s="351"/>
    </row>
    <row r="285" spans="1:49" ht="15" customHeight="1">
      <c r="A285" s="368"/>
      <c r="B285" s="350"/>
      <c r="C285" s="369" t="s">
        <v>930</v>
      </c>
      <c r="D285" s="370"/>
      <c r="E285" s="370"/>
      <c r="F285" s="370"/>
      <c r="G285" s="370"/>
      <c r="H285" s="370"/>
      <c r="I285" s="370"/>
      <c r="J285" s="370"/>
      <c r="K285" s="370"/>
      <c r="L285" s="370"/>
      <c r="M285" s="370"/>
      <c r="N285" s="370"/>
      <c r="O285" s="370"/>
      <c r="P285" s="370"/>
      <c r="Q285" s="370"/>
      <c r="R285" s="370"/>
      <c r="S285" s="370"/>
      <c r="T285" s="370"/>
      <c r="U285" s="370"/>
      <c r="V285" s="370"/>
      <c r="W285" s="370"/>
      <c r="X285" s="370"/>
      <c r="Y285" s="370"/>
      <c r="Z285" s="370"/>
      <c r="AA285" s="370"/>
      <c r="AB285" s="370"/>
      <c r="AC285" s="370"/>
      <c r="AD285" s="370"/>
      <c r="AE285" s="370"/>
      <c r="AF285" s="370"/>
      <c r="AG285" s="370"/>
      <c r="AH285" s="370"/>
      <c r="AI285" s="328"/>
      <c r="AJ285" s="477"/>
      <c r="AK285" s="351"/>
      <c r="AL285" s="351"/>
      <c r="AM285" s="351"/>
      <c r="AN285" s="351"/>
      <c r="AO285" s="351"/>
      <c r="AP285" s="351"/>
      <c r="AQ285" s="351"/>
      <c r="AR285" s="351"/>
      <c r="AS285" s="351"/>
      <c r="AT285" s="351"/>
      <c r="AU285" s="351"/>
      <c r="AV285" s="351"/>
      <c r="AW285" s="351"/>
    </row>
    <row r="286" spans="1:49" ht="12.95" customHeight="1">
      <c r="A286" s="348" t="s">
        <v>931</v>
      </c>
      <c r="B286" s="350" t="s">
        <v>932</v>
      </c>
      <c r="C286" s="436" t="s">
        <v>933</v>
      </c>
      <c r="D286" s="384"/>
      <c r="E286" s="384"/>
      <c r="F286" s="384"/>
      <c r="G286" s="384"/>
      <c r="H286" s="384"/>
      <c r="I286" s="384">
        <f>FY!G159</f>
        <v>760.20520899999997</v>
      </c>
      <c r="J286" s="384">
        <f>FY!H159</f>
        <v>760.20520899999997</v>
      </c>
      <c r="K286" s="384">
        <f>FY!I159</f>
        <v>760.20520899999997</v>
      </c>
      <c r="L286" s="384">
        <f>FY!J159</f>
        <v>760.20520899999997</v>
      </c>
      <c r="M286" s="384">
        <f>FY!K159</f>
        <v>1103.0550470000001</v>
      </c>
      <c r="N286" s="384">
        <f>FY!L159</f>
        <v>1103.0550470000001</v>
      </c>
      <c r="O286" s="384">
        <f>FY!M159</f>
        <v>1103.0550470000001</v>
      </c>
      <c r="P286" s="384">
        <f>FY!N159</f>
        <v>1103.0550470000001</v>
      </c>
      <c r="Q286" s="384">
        <f>FY!O159</f>
        <v>1103.0550470000001</v>
      </c>
      <c r="R286" s="384"/>
      <c r="S286" s="384"/>
      <c r="T286" s="384"/>
      <c r="U286" s="384"/>
      <c r="V286" s="384"/>
      <c r="W286" s="384"/>
      <c r="X286" s="384"/>
      <c r="Y286" s="384"/>
      <c r="Z286" s="384"/>
      <c r="AA286" s="384"/>
      <c r="AB286" s="384"/>
      <c r="AC286" s="384"/>
      <c r="AD286" s="384"/>
      <c r="AE286" s="384"/>
      <c r="AF286" s="384"/>
      <c r="AG286" s="384"/>
      <c r="AH286" s="384"/>
      <c r="AI286" s="437"/>
      <c r="AJ286" s="479"/>
      <c r="AK286" s="378" t="str">
        <f>_xll.BLUEMATRIX2("/servlet/excelData",E286,$B$1,$B286&amp;":"&amp;E$115&amp;":"&amp;$AI$114)</f>
        <v>#</v>
      </c>
      <c r="AL286" s="378" t="str">
        <f>_xll.BLUEMATRIX2("/servlet/excelData",F286,$B$1,$B286&amp;":"&amp;F$115&amp;":"&amp;$AI$114)</f>
        <v>#</v>
      </c>
      <c r="AM286" s="378" t="str">
        <f>_xll.BLUEMATRIX2("/servlet/excelData",G286,$B$1,$B286&amp;":"&amp;G$115&amp;":"&amp;$AI$114)</f>
        <v>#</v>
      </c>
      <c r="AN286" s="378" t="str">
        <f>_xll.BLUEMATRIX2("/servlet/excelData",H286,$B$1,$B286&amp;":"&amp;H$115&amp;":"&amp;$AI$114)</f>
        <v>#</v>
      </c>
      <c r="AO286" s="378" t="str">
        <f>_xll.BLUEMATRIX2("/servlet/excelData",I286,$B$1,$B286&amp;":"&amp;I$115&amp;":"&amp;$AI$114)</f>
        <v>#</v>
      </c>
      <c r="AP286" s="378" t="str">
        <f>_xll.BLUEMATRIX2("/servlet/excelData",J286,$B$1,$B286&amp;":"&amp;J$115&amp;":"&amp;$AI$114)</f>
        <v>#</v>
      </c>
      <c r="AQ286" s="378" t="str">
        <f>_xll.BLUEMATRIX2("/servlet/excelData",K286,$B$1,$B286&amp;":"&amp;K$115&amp;":"&amp;$AI$114)</f>
        <v>#</v>
      </c>
      <c r="AR286" s="378" t="str">
        <f>_xll.BLUEMATRIX2("/servlet/excelData",L286,$B$1,$B286&amp;":"&amp;L$115&amp;":"&amp;$AI$114)</f>
        <v>#</v>
      </c>
      <c r="AS286" s="378" t="str">
        <f>_xll.BLUEMATRIX2("/servlet/excelData",M286,$B$1,$B286&amp;":"&amp;M$115&amp;":"&amp;$AI$114)</f>
        <v>#</v>
      </c>
      <c r="AT286" s="378" t="str">
        <f>_xll.BLUEMATRIX2("/servlet/excelData",N286,$B$1,$B286&amp;":"&amp;N$115&amp;":"&amp;$AI$114)</f>
        <v>#</v>
      </c>
      <c r="AU286" s="378" t="str">
        <f>_xll.BLUEMATRIX2("/servlet/excelData",O286,$B$1,$B286&amp;":"&amp;O$115&amp;":"&amp;$AI$114)</f>
        <v>#</v>
      </c>
      <c r="AV286" s="378" t="str">
        <f>_xll.BLUEMATRIX2("/servlet/excelData",P286,$B$1,$B286&amp;":"&amp;P$115&amp;":"&amp;$AI$114)</f>
        <v>#</v>
      </c>
      <c r="AW286" s="378" t="str">
        <f>_xll.BLUEMATRIX2("/servlet/excelData",Q286,$B$1,$B286&amp;":"&amp;Q$115&amp;":"&amp;$AI$114)</f>
        <v>#</v>
      </c>
    </row>
    <row r="287" spans="1:49" ht="12.95" customHeight="1">
      <c r="A287" s="348" t="s">
        <v>934</v>
      </c>
      <c r="B287" s="350" t="s">
        <v>935</v>
      </c>
      <c r="C287" s="436" t="s">
        <v>936</v>
      </c>
      <c r="D287" s="384"/>
      <c r="E287" s="384"/>
      <c r="F287" s="384"/>
      <c r="G287" s="384"/>
      <c r="H287" s="384"/>
      <c r="I287" s="384">
        <f>FY!G159</f>
        <v>760.20520899999997</v>
      </c>
      <c r="J287" s="384">
        <f>FY!H159</f>
        <v>760.20520899999997</v>
      </c>
      <c r="K287" s="384">
        <f>FY!I159</f>
        <v>760.20520899999997</v>
      </c>
      <c r="L287" s="384">
        <f>FY!J159</f>
        <v>760.20520899999997</v>
      </c>
      <c r="M287" s="384">
        <f>FY!K159</f>
        <v>1103.0550470000001</v>
      </c>
      <c r="N287" s="384">
        <f>FY!L159</f>
        <v>1103.0550470000001</v>
      </c>
      <c r="O287" s="384">
        <f>FY!M159</f>
        <v>1103.0550470000001</v>
      </c>
      <c r="P287" s="384">
        <f>FY!N159</f>
        <v>1103.0550470000001</v>
      </c>
      <c r="Q287" s="384">
        <f>FY!O159</f>
        <v>1103.0550470000001</v>
      </c>
      <c r="R287" s="384"/>
      <c r="S287" s="384"/>
      <c r="T287" s="384"/>
      <c r="U287" s="384"/>
      <c r="V287" s="384"/>
      <c r="W287" s="384"/>
      <c r="X287" s="384"/>
      <c r="Y287" s="384"/>
      <c r="Z287" s="384"/>
      <c r="AA287" s="384"/>
      <c r="AB287" s="384"/>
      <c r="AC287" s="384"/>
      <c r="AD287" s="384"/>
      <c r="AE287" s="384"/>
      <c r="AF287" s="384"/>
      <c r="AG287" s="384"/>
      <c r="AH287" s="384"/>
      <c r="AI287" s="437"/>
      <c r="AJ287" s="479"/>
      <c r="AK287" s="378" t="str">
        <f>_xll.BLUEMATRIX2("/servlet/excelData",E287,$B$1,$B287&amp;":"&amp;E$115&amp;":"&amp;$AI$114)</f>
        <v>#</v>
      </c>
      <c r="AL287" s="378" t="str">
        <f>_xll.BLUEMATRIX2("/servlet/excelData",F287,$B$1,$B287&amp;":"&amp;F$115&amp;":"&amp;$AI$114)</f>
        <v>#</v>
      </c>
      <c r="AM287" s="378" t="str">
        <f>_xll.BLUEMATRIX2("/servlet/excelData",G287,$B$1,$B287&amp;":"&amp;G$115&amp;":"&amp;$AI$114)</f>
        <v>#</v>
      </c>
      <c r="AN287" s="378" t="str">
        <f>_xll.BLUEMATRIX2("/servlet/excelData",H287,$B$1,$B287&amp;":"&amp;H$115&amp;":"&amp;$AI$114)</f>
        <v>#</v>
      </c>
      <c r="AO287" s="378" t="str">
        <f>_xll.BLUEMATRIX2("/servlet/excelData",I287,$B$1,$B287&amp;":"&amp;I$115&amp;":"&amp;$AI$114)</f>
        <v>#</v>
      </c>
      <c r="AP287" s="378" t="str">
        <f>_xll.BLUEMATRIX2("/servlet/excelData",J287,$B$1,$B287&amp;":"&amp;J$115&amp;":"&amp;$AI$114)</f>
        <v>#</v>
      </c>
      <c r="AQ287" s="378" t="str">
        <f>_xll.BLUEMATRIX2("/servlet/excelData",K287,$B$1,$B287&amp;":"&amp;K$115&amp;":"&amp;$AI$114)</f>
        <v>#</v>
      </c>
      <c r="AR287" s="378" t="str">
        <f>_xll.BLUEMATRIX2("/servlet/excelData",L287,$B$1,$B287&amp;":"&amp;L$115&amp;":"&amp;$AI$114)</f>
        <v>#</v>
      </c>
      <c r="AS287" s="378" t="str">
        <f>_xll.BLUEMATRIX2("/servlet/excelData",M287,$B$1,$B287&amp;":"&amp;M$115&amp;":"&amp;$AI$114)</f>
        <v>#</v>
      </c>
      <c r="AT287" s="378" t="str">
        <f>_xll.BLUEMATRIX2("/servlet/excelData",N287,$B$1,$B287&amp;":"&amp;N$115&amp;":"&amp;$AI$114)</f>
        <v>#</v>
      </c>
      <c r="AU287" s="378" t="str">
        <f>_xll.BLUEMATRIX2("/servlet/excelData",O287,$B$1,$B287&amp;":"&amp;O$115&amp;":"&amp;$AI$114)</f>
        <v>#</v>
      </c>
      <c r="AV287" s="378" t="str">
        <f>_xll.BLUEMATRIX2("/servlet/excelData",P287,$B$1,$B287&amp;":"&amp;P$115&amp;":"&amp;$AI$114)</f>
        <v>#</v>
      </c>
      <c r="AW287" s="378" t="str">
        <f>_xll.BLUEMATRIX2("/servlet/excelData",Q287,$B$1,$B287&amp;":"&amp;Q$115&amp;":"&amp;$AI$114)</f>
        <v>#</v>
      </c>
    </row>
    <row r="288" spans="1:49" ht="12.95" customHeight="1">
      <c r="A288" s="348" t="s">
        <v>937</v>
      </c>
      <c r="B288" s="350" t="s">
        <v>938</v>
      </c>
      <c r="C288" s="438" t="s">
        <v>939</v>
      </c>
      <c r="D288" s="384"/>
      <c r="E288" s="384"/>
      <c r="F288" s="384"/>
      <c r="G288" s="384"/>
      <c r="H288" s="384"/>
      <c r="I288" s="384">
        <f>FY!G160</f>
        <v>760.20520899999997</v>
      </c>
      <c r="J288" s="384">
        <f>FY!H160</f>
        <v>760.20520899999997</v>
      </c>
      <c r="K288" s="384">
        <f>FY!I160</f>
        <v>760.20520899999997</v>
      </c>
      <c r="L288" s="384">
        <f>FY!J160</f>
        <v>760.20520899999997</v>
      </c>
      <c r="M288" s="384">
        <f>FY!K160</f>
        <v>1103.0550470000001</v>
      </c>
      <c r="N288" s="384">
        <f>FY!L160</f>
        <v>1103.0550470000001</v>
      </c>
      <c r="O288" s="384">
        <f>FY!M160</f>
        <v>1103.0550470000001</v>
      </c>
      <c r="P288" s="384">
        <f>FY!N160</f>
        <v>1103.0550470000001</v>
      </c>
      <c r="Q288" s="384">
        <f>FY!O160</f>
        <v>1103.0550470000001</v>
      </c>
      <c r="R288" s="384"/>
      <c r="S288" s="384"/>
      <c r="T288" s="384"/>
      <c r="U288" s="384"/>
      <c r="V288" s="384"/>
      <c r="W288" s="384"/>
      <c r="X288" s="384"/>
      <c r="Y288" s="384"/>
      <c r="Z288" s="384"/>
      <c r="AA288" s="384"/>
      <c r="AB288" s="384"/>
      <c r="AC288" s="384"/>
      <c r="AD288" s="384"/>
      <c r="AE288" s="384"/>
      <c r="AF288" s="384"/>
      <c r="AG288" s="384"/>
      <c r="AH288" s="384"/>
      <c r="AI288" s="437"/>
      <c r="AJ288" s="479"/>
      <c r="AK288" s="378" t="str">
        <f>_xll.BLUEMATRIX2("/servlet/excelData",E288,$B$1,$B288&amp;":"&amp;E$115&amp;":"&amp;$AI$114)</f>
        <v>#</v>
      </c>
      <c r="AL288" s="378" t="str">
        <f>_xll.BLUEMATRIX2("/servlet/excelData",F288,$B$1,$B288&amp;":"&amp;F$115&amp;":"&amp;$AI$114)</f>
        <v>#</v>
      </c>
      <c r="AM288" s="378" t="str">
        <f>_xll.BLUEMATRIX2("/servlet/excelData",G288,$B$1,$B288&amp;":"&amp;G$115&amp;":"&amp;$AI$114)</f>
        <v>#</v>
      </c>
      <c r="AN288" s="378" t="str">
        <f>_xll.BLUEMATRIX2("/servlet/excelData",H288,$B$1,$B288&amp;":"&amp;H$115&amp;":"&amp;$AI$114)</f>
        <v>#</v>
      </c>
      <c r="AO288" s="378" t="str">
        <f>_xll.BLUEMATRIX2("/servlet/excelData",I288,$B$1,$B288&amp;":"&amp;I$115&amp;":"&amp;$AI$114)</f>
        <v>#</v>
      </c>
      <c r="AP288" s="378" t="str">
        <f>_xll.BLUEMATRIX2("/servlet/excelData",J288,$B$1,$B288&amp;":"&amp;J$115&amp;":"&amp;$AI$114)</f>
        <v>#</v>
      </c>
      <c r="AQ288" s="378" t="str">
        <f>_xll.BLUEMATRIX2("/servlet/excelData",K288,$B$1,$B288&amp;":"&amp;K$115&amp;":"&amp;$AI$114)</f>
        <v>#</v>
      </c>
      <c r="AR288" s="378" t="str">
        <f>_xll.BLUEMATRIX2("/servlet/excelData",L288,$B$1,$B288&amp;":"&amp;L$115&amp;":"&amp;$AI$114)</f>
        <v>#</v>
      </c>
      <c r="AS288" s="378" t="str">
        <f>_xll.BLUEMATRIX2("/servlet/excelData",M288,$B$1,$B288&amp;":"&amp;M$115&amp;":"&amp;$AI$114)</f>
        <v>#</v>
      </c>
      <c r="AT288" s="378" t="str">
        <f>_xll.BLUEMATRIX2("/servlet/excelData",N288,$B$1,$B288&amp;":"&amp;N$115&amp;":"&amp;$AI$114)</f>
        <v>#</v>
      </c>
      <c r="AU288" s="378" t="str">
        <f>_xll.BLUEMATRIX2("/servlet/excelData",O288,$B$1,$B288&amp;":"&amp;O$115&amp;":"&amp;$AI$114)</f>
        <v>#</v>
      </c>
      <c r="AV288" s="378" t="str">
        <f>_xll.BLUEMATRIX2("/servlet/excelData",P288,$B$1,$B288&amp;":"&amp;P$115&amp;":"&amp;$AI$114)</f>
        <v>#</v>
      </c>
      <c r="AW288" s="378" t="str">
        <f>_xll.BLUEMATRIX2("/servlet/excelData",Q288,$B$1,$B288&amp;":"&amp;Q$115&amp;":"&amp;$AI$114)</f>
        <v>#</v>
      </c>
    </row>
    <row r="289" spans="1:49" ht="12.95" customHeight="1">
      <c r="A289" s="348" t="s">
        <v>940</v>
      </c>
      <c r="B289" s="350" t="s">
        <v>941</v>
      </c>
      <c r="C289" s="438" t="s">
        <v>942</v>
      </c>
      <c r="D289" s="384"/>
      <c r="E289" s="384"/>
      <c r="F289" s="426"/>
      <c r="G289" s="426"/>
      <c r="H289" s="426"/>
      <c r="I289" s="426"/>
      <c r="J289" s="426"/>
      <c r="K289" s="426"/>
      <c r="L289" s="426"/>
      <c r="M289" s="426"/>
      <c r="N289" s="426"/>
      <c r="O289" s="426"/>
      <c r="P289" s="426"/>
      <c r="Q289" s="426"/>
      <c r="R289" s="384"/>
      <c r="S289" s="384"/>
      <c r="T289" s="384"/>
      <c r="U289" s="384"/>
      <c r="V289" s="384"/>
      <c r="W289" s="384"/>
      <c r="X289" s="384"/>
      <c r="Y289" s="384"/>
      <c r="Z289" s="384"/>
      <c r="AA289" s="384"/>
      <c r="AB289" s="384"/>
      <c r="AC289" s="384"/>
      <c r="AD289" s="384"/>
      <c r="AE289" s="384"/>
      <c r="AF289" s="384"/>
      <c r="AG289" s="384"/>
      <c r="AH289" s="384"/>
      <c r="AI289" s="437"/>
      <c r="AJ289" s="479"/>
      <c r="AK289" s="378" t="str">
        <f>_xll.BLUEMATRIX2("/servlet/excelData",E289,$B$1,$B289&amp;":"&amp;E$115&amp;":"&amp;$AI$114)</f>
        <v>#</v>
      </c>
      <c r="AL289" s="378" t="str">
        <f>_xll.BLUEMATRIX2("/servlet/excelData",F289,$B$1,$B289&amp;":"&amp;F$115&amp;":"&amp;$AI$114)</f>
        <v>#</v>
      </c>
      <c r="AM289" s="378" t="str">
        <f>_xll.BLUEMATRIX2("/servlet/excelData",G289,$B$1,$B289&amp;":"&amp;G$115&amp;":"&amp;$AI$114)</f>
        <v>#</v>
      </c>
      <c r="AN289" s="378" t="str">
        <f>_xll.BLUEMATRIX2("/servlet/excelData",H289,$B$1,$B289&amp;":"&amp;H$115&amp;":"&amp;$AI$114)</f>
        <v>#</v>
      </c>
      <c r="AO289" s="378" t="str">
        <f>_xll.BLUEMATRIX2("/servlet/excelData",I289,$B$1,$B289&amp;":"&amp;I$115&amp;":"&amp;$AI$114)</f>
        <v>#</v>
      </c>
      <c r="AP289" s="378" t="str">
        <f>_xll.BLUEMATRIX2("/servlet/excelData",J289,$B$1,$B289&amp;":"&amp;J$115&amp;":"&amp;$AI$114)</f>
        <v>#</v>
      </c>
      <c r="AQ289" s="378" t="str">
        <f>_xll.BLUEMATRIX2("/servlet/excelData",K289,$B$1,$B289&amp;":"&amp;K$115&amp;":"&amp;$AI$114)</f>
        <v>#</v>
      </c>
      <c r="AR289" s="378" t="str">
        <f>_xll.BLUEMATRIX2("/servlet/excelData",L289,$B$1,$B289&amp;":"&amp;L$115&amp;":"&amp;$AI$114)</f>
        <v>#</v>
      </c>
      <c r="AS289" s="378" t="str">
        <f>_xll.BLUEMATRIX2("/servlet/excelData",M289,$B$1,$B289&amp;":"&amp;M$115&amp;":"&amp;$AI$114)</f>
        <v>#</v>
      </c>
      <c r="AT289" s="378" t="str">
        <f>_xll.BLUEMATRIX2("/servlet/excelData",N289,$B$1,$B289&amp;":"&amp;N$115&amp;":"&amp;$AI$114)</f>
        <v>#</v>
      </c>
      <c r="AU289" s="378" t="str">
        <f>_xll.BLUEMATRIX2("/servlet/excelData",O289,$B$1,$B289&amp;":"&amp;O$115&amp;":"&amp;$AI$114)</f>
        <v>#</v>
      </c>
      <c r="AV289" s="378" t="str">
        <f>_xll.BLUEMATRIX2("/servlet/excelData",P289,$B$1,$B289&amp;":"&amp;P$115&amp;":"&amp;$AI$114)</f>
        <v>#</v>
      </c>
      <c r="AW289" s="378" t="str">
        <f>_xll.BLUEMATRIX2("/servlet/excelData",Q289,$B$1,$B289&amp;":"&amp;Q$115&amp;":"&amp;$AI$114)</f>
        <v>#</v>
      </c>
    </row>
    <row r="290" spans="1:49" ht="12.95" customHeight="1">
      <c r="A290" s="348" t="s">
        <v>943</v>
      </c>
      <c r="B290" s="350" t="s">
        <v>944</v>
      </c>
      <c r="C290" s="436" t="s">
        <v>945</v>
      </c>
      <c r="D290" s="384"/>
      <c r="E290" s="384"/>
      <c r="F290" s="426"/>
      <c r="G290" s="426"/>
      <c r="H290" s="426"/>
      <c r="I290" s="426"/>
      <c r="J290" s="426"/>
      <c r="K290" s="426"/>
      <c r="L290" s="426"/>
      <c r="M290" s="426"/>
      <c r="N290" s="426"/>
      <c r="O290" s="426"/>
      <c r="P290" s="426"/>
      <c r="Q290" s="426"/>
      <c r="R290" s="384"/>
      <c r="S290" s="384"/>
      <c r="T290" s="384"/>
      <c r="U290" s="384"/>
      <c r="V290" s="384"/>
      <c r="W290" s="384"/>
      <c r="X290" s="384"/>
      <c r="Y290" s="384"/>
      <c r="Z290" s="384"/>
      <c r="AA290" s="384"/>
      <c r="AB290" s="384"/>
      <c r="AC290" s="384"/>
      <c r="AD290" s="384"/>
      <c r="AE290" s="384"/>
      <c r="AF290" s="384"/>
      <c r="AG290" s="384"/>
      <c r="AH290" s="384"/>
      <c r="AI290" s="439"/>
      <c r="AJ290" s="479"/>
      <c r="AK290" s="378" t="str">
        <f>_xll.BLUEMATRIX2("/servlet/excelData",E290,$B$1,$B290&amp;":"&amp;E$115&amp;":"&amp;$AI$114)</f>
        <v>#</v>
      </c>
      <c r="AL290" s="378" t="str">
        <f>_xll.BLUEMATRIX2("/servlet/excelData",F290,$B$1,$B290&amp;":"&amp;F$115&amp;":"&amp;$AI$114)</f>
        <v>#</v>
      </c>
      <c r="AM290" s="378" t="str">
        <f>_xll.BLUEMATRIX2("/servlet/excelData",G290,$B$1,$B290&amp;":"&amp;G$115&amp;":"&amp;$AI$114)</f>
        <v>#</v>
      </c>
      <c r="AN290" s="378" t="str">
        <f>_xll.BLUEMATRIX2("/servlet/excelData",H290,$B$1,$B290&amp;":"&amp;H$115&amp;":"&amp;$AI$114)</f>
        <v>#</v>
      </c>
      <c r="AO290" s="378" t="str">
        <f>_xll.BLUEMATRIX2("/servlet/excelData",I290,$B$1,$B290&amp;":"&amp;I$115&amp;":"&amp;$AI$114)</f>
        <v>#</v>
      </c>
      <c r="AP290" s="378" t="str">
        <f>_xll.BLUEMATRIX2("/servlet/excelData",J290,$B$1,$B290&amp;":"&amp;J$115&amp;":"&amp;$AI$114)</f>
        <v>#</v>
      </c>
      <c r="AQ290" s="378" t="str">
        <f>_xll.BLUEMATRIX2("/servlet/excelData",K290,$B$1,$B290&amp;":"&amp;K$115&amp;":"&amp;$AI$114)</f>
        <v>#</v>
      </c>
      <c r="AR290" s="378" t="str">
        <f>_xll.BLUEMATRIX2("/servlet/excelData",L290,$B$1,$B290&amp;":"&amp;L$115&amp;":"&amp;$AI$114)</f>
        <v>#</v>
      </c>
      <c r="AS290" s="378" t="str">
        <f>_xll.BLUEMATRIX2("/servlet/excelData",M290,$B$1,$B290&amp;":"&amp;M$115&amp;":"&amp;$AI$114)</f>
        <v>#</v>
      </c>
      <c r="AT290" s="378" t="str">
        <f>_xll.BLUEMATRIX2("/servlet/excelData",N290,$B$1,$B290&amp;":"&amp;N$115&amp;":"&amp;$AI$114)</f>
        <v>#</v>
      </c>
      <c r="AU290" s="378" t="str">
        <f>_xll.BLUEMATRIX2("/servlet/excelData",O290,$B$1,$B290&amp;":"&amp;O$115&amp;":"&amp;$AI$114)</f>
        <v>#</v>
      </c>
      <c r="AV290" s="378" t="str">
        <f>_xll.BLUEMATRIX2("/servlet/excelData",P290,$B$1,$B290&amp;":"&amp;P$115&amp;":"&amp;$AI$114)</f>
        <v>#</v>
      </c>
      <c r="AW290" s="378" t="str">
        <f>_xll.BLUEMATRIX2("/servlet/excelData",Q290,$B$1,$B290&amp;":"&amp;Q$115&amp;":"&amp;$AI$114)</f>
        <v>#</v>
      </c>
    </row>
    <row r="291" spans="1:49" ht="12.95" customHeight="1">
      <c r="A291" s="348" t="s">
        <v>946</v>
      </c>
      <c r="B291" s="350" t="s">
        <v>947</v>
      </c>
      <c r="C291" s="436" t="s">
        <v>948</v>
      </c>
      <c r="D291" s="384"/>
      <c r="E291" s="384"/>
      <c r="F291" s="426"/>
      <c r="G291" s="426"/>
      <c r="H291" s="426"/>
      <c r="I291" s="426"/>
      <c r="J291" s="426"/>
      <c r="K291" s="426"/>
      <c r="L291" s="426"/>
      <c r="M291" s="426"/>
      <c r="N291" s="426"/>
      <c r="O291" s="426"/>
      <c r="P291" s="426"/>
      <c r="Q291" s="426"/>
      <c r="R291" s="384"/>
      <c r="S291" s="384"/>
      <c r="T291" s="384"/>
      <c r="U291" s="384"/>
      <c r="V291" s="384"/>
      <c r="W291" s="384"/>
      <c r="X291" s="384"/>
      <c r="Y291" s="384"/>
      <c r="Z291" s="384"/>
      <c r="AA291" s="384"/>
      <c r="AB291" s="384"/>
      <c r="AC291" s="384"/>
      <c r="AD291" s="384"/>
      <c r="AE291" s="384"/>
      <c r="AF291" s="384"/>
      <c r="AG291" s="384"/>
      <c r="AH291" s="384"/>
      <c r="AI291" s="439"/>
      <c r="AJ291" s="479"/>
      <c r="AK291" s="378" t="str">
        <f>_xll.BLUEMATRIX2("/servlet/excelData",E291,$B$1,$B291&amp;":"&amp;E$115&amp;":"&amp;$AI$114)</f>
        <v>#</v>
      </c>
      <c r="AL291" s="378" t="str">
        <f>_xll.BLUEMATRIX2("/servlet/excelData",F291,$B$1,$B291&amp;":"&amp;F$115&amp;":"&amp;$AI$114)</f>
        <v>#</v>
      </c>
      <c r="AM291" s="378" t="str">
        <f>_xll.BLUEMATRIX2("/servlet/excelData",G291,$B$1,$B291&amp;":"&amp;G$115&amp;":"&amp;$AI$114)</f>
        <v>#</v>
      </c>
      <c r="AN291" s="378" t="str">
        <f>_xll.BLUEMATRIX2("/servlet/excelData",H291,$B$1,$B291&amp;":"&amp;H$115&amp;":"&amp;$AI$114)</f>
        <v>#</v>
      </c>
      <c r="AO291" s="378" t="str">
        <f>_xll.BLUEMATRIX2("/servlet/excelData",I291,$B$1,$B291&amp;":"&amp;I$115&amp;":"&amp;$AI$114)</f>
        <v>#</v>
      </c>
      <c r="AP291" s="378" t="str">
        <f>_xll.BLUEMATRIX2("/servlet/excelData",J291,$B$1,$B291&amp;":"&amp;J$115&amp;":"&amp;$AI$114)</f>
        <v>#</v>
      </c>
      <c r="AQ291" s="378" t="str">
        <f>_xll.BLUEMATRIX2("/servlet/excelData",K291,$B$1,$B291&amp;":"&amp;K$115&amp;":"&amp;$AI$114)</f>
        <v>#</v>
      </c>
      <c r="AR291" s="378" t="str">
        <f>_xll.BLUEMATRIX2("/servlet/excelData",L291,$B$1,$B291&amp;":"&amp;L$115&amp;":"&amp;$AI$114)</f>
        <v>#</v>
      </c>
      <c r="AS291" s="378" t="str">
        <f>_xll.BLUEMATRIX2("/servlet/excelData",M291,$B$1,$B291&amp;":"&amp;M$115&amp;":"&amp;$AI$114)</f>
        <v>#</v>
      </c>
      <c r="AT291" s="378" t="str">
        <f>_xll.BLUEMATRIX2("/servlet/excelData",N291,$B$1,$B291&amp;":"&amp;N$115&amp;":"&amp;$AI$114)</f>
        <v>#</v>
      </c>
      <c r="AU291" s="378" t="str">
        <f>_xll.BLUEMATRIX2("/servlet/excelData",O291,$B$1,$B291&amp;":"&amp;O$115&amp;":"&amp;$AI$114)</f>
        <v>#</v>
      </c>
      <c r="AV291" s="378" t="str">
        <f>_xll.BLUEMATRIX2("/servlet/excelData",P291,$B$1,$B291&amp;":"&amp;P$115&amp;":"&amp;$AI$114)</f>
        <v>#</v>
      </c>
      <c r="AW291" s="378" t="str">
        <f>_xll.BLUEMATRIX2("/servlet/excelData",Q291,$B$1,$B291&amp;":"&amp;Q$115&amp;":"&amp;$AI$114)</f>
        <v>#</v>
      </c>
    </row>
    <row r="292" spans="1:49" ht="12.95" customHeight="1">
      <c r="A292" s="348" t="s">
        <v>949</v>
      </c>
      <c r="B292" s="350" t="s">
        <v>950</v>
      </c>
      <c r="C292" s="436" t="s">
        <v>951</v>
      </c>
      <c r="D292" s="384"/>
      <c r="E292" s="384"/>
      <c r="F292" s="426"/>
      <c r="G292" s="426"/>
      <c r="H292" s="426"/>
      <c r="I292" s="426"/>
      <c r="J292" s="426"/>
      <c r="K292" s="426"/>
      <c r="L292" s="426"/>
      <c r="M292" s="426"/>
      <c r="N292" s="426"/>
      <c r="O292" s="426"/>
      <c r="P292" s="426"/>
      <c r="Q292" s="426"/>
      <c r="R292" s="384"/>
      <c r="S292" s="384"/>
      <c r="T292" s="384"/>
      <c r="U292" s="384"/>
      <c r="V292" s="384"/>
      <c r="W292" s="384"/>
      <c r="X292" s="384"/>
      <c r="Y292" s="384"/>
      <c r="Z292" s="384"/>
      <c r="AA292" s="384"/>
      <c r="AB292" s="384"/>
      <c r="AC292" s="384"/>
      <c r="AD292" s="384"/>
      <c r="AE292" s="384"/>
      <c r="AF292" s="384"/>
      <c r="AG292" s="384"/>
      <c r="AH292" s="384"/>
      <c r="AI292" s="439"/>
      <c r="AJ292" s="479"/>
      <c r="AK292" s="378" t="str">
        <f>_xll.BLUEMATRIX2("/servlet/excelData",E292,$B$1,$B292&amp;":"&amp;E$115&amp;":"&amp;$AI$114)</f>
        <v>#</v>
      </c>
      <c r="AL292" s="378" t="str">
        <f>_xll.BLUEMATRIX2("/servlet/excelData",F292,$B$1,$B292&amp;":"&amp;F$115&amp;":"&amp;$AI$114)</f>
        <v>#</v>
      </c>
      <c r="AM292" s="378" t="str">
        <f>_xll.BLUEMATRIX2("/servlet/excelData",G292,$B$1,$B292&amp;":"&amp;G$115&amp;":"&amp;$AI$114)</f>
        <v>#</v>
      </c>
      <c r="AN292" s="378" t="str">
        <f>_xll.BLUEMATRIX2("/servlet/excelData",H292,$B$1,$B292&amp;":"&amp;H$115&amp;":"&amp;$AI$114)</f>
        <v>#</v>
      </c>
      <c r="AO292" s="378" t="str">
        <f>_xll.BLUEMATRIX2("/servlet/excelData",I292,$B$1,$B292&amp;":"&amp;I$115&amp;":"&amp;$AI$114)</f>
        <v>#</v>
      </c>
      <c r="AP292" s="378" t="str">
        <f>_xll.BLUEMATRIX2("/servlet/excelData",J292,$B$1,$B292&amp;":"&amp;J$115&amp;":"&amp;$AI$114)</f>
        <v>#</v>
      </c>
      <c r="AQ292" s="378" t="str">
        <f>_xll.BLUEMATRIX2("/servlet/excelData",K292,$B$1,$B292&amp;":"&amp;K$115&amp;":"&amp;$AI$114)</f>
        <v>#</v>
      </c>
      <c r="AR292" s="378" t="str">
        <f>_xll.BLUEMATRIX2("/servlet/excelData",L292,$B$1,$B292&amp;":"&amp;L$115&amp;":"&amp;$AI$114)</f>
        <v>#</v>
      </c>
      <c r="AS292" s="378" t="str">
        <f>_xll.BLUEMATRIX2("/servlet/excelData",M292,$B$1,$B292&amp;":"&amp;M$115&amp;":"&amp;$AI$114)</f>
        <v>#</v>
      </c>
      <c r="AT292" s="378" t="str">
        <f>_xll.BLUEMATRIX2("/servlet/excelData",N292,$B$1,$B292&amp;":"&amp;N$115&amp;":"&amp;$AI$114)</f>
        <v>#</v>
      </c>
      <c r="AU292" s="378" t="str">
        <f>_xll.BLUEMATRIX2("/servlet/excelData",O292,$B$1,$B292&amp;":"&amp;O$115&amp;":"&amp;$AI$114)</f>
        <v>#</v>
      </c>
      <c r="AV292" s="378" t="str">
        <f>_xll.BLUEMATRIX2("/servlet/excelData",P292,$B$1,$B292&amp;":"&amp;P$115&amp;":"&amp;$AI$114)</f>
        <v>#</v>
      </c>
      <c r="AW292" s="378" t="str">
        <f>_xll.BLUEMATRIX2("/servlet/excelData",Q292,$B$1,$B292&amp;":"&amp;Q$115&amp;":"&amp;$AI$114)</f>
        <v>#</v>
      </c>
    </row>
    <row r="293" spans="1:49" ht="12.95" customHeight="1">
      <c r="A293" s="348" t="s">
        <v>952</v>
      </c>
      <c r="B293" s="350" t="s">
        <v>953</v>
      </c>
      <c r="C293" s="436" t="s">
        <v>954</v>
      </c>
      <c r="D293" s="384"/>
      <c r="E293" s="384"/>
      <c r="F293" s="426"/>
      <c r="G293" s="426"/>
      <c r="H293" s="426"/>
      <c r="I293" s="426"/>
      <c r="J293" s="426"/>
      <c r="K293" s="426"/>
      <c r="L293" s="426"/>
      <c r="M293" s="426"/>
      <c r="N293" s="426"/>
      <c r="O293" s="426"/>
      <c r="P293" s="426"/>
      <c r="Q293" s="426"/>
      <c r="R293" s="384"/>
      <c r="S293" s="384"/>
      <c r="T293" s="384"/>
      <c r="U293" s="384"/>
      <c r="V293" s="384"/>
      <c r="W293" s="384"/>
      <c r="X293" s="384"/>
      <c r="Y293" s="384"/>
      <c r="Z293" s="384"/>
      <c r="AA293" s="384"/>
      <c r="AB293" s="384"/>
      <c r="AC293" s="384"/>
      <c r="AD293" s="384"/>
      <c r="AE293" s="384"/>
      <c r="AF293" s="384"/>
      <c r="AG293" s="384"/>
      <c r="AH293" s="384"/>
      <c r="AI293" s="439"/>
      <c r="AJ293" s="479"/>
      <c r="AK293" s="378" t="str">
        <f>_xll.BLUEMATRIX2("/servlet/excelData",E293,$B$1,$B293&amp;":"&amp;E$115&amp;":"&amp;$AI$114)</f>
        <v>#</v>
      </c>
      <c r="AL293" s="378" t="str">
        <f>_xll.BLUEMATRIX2("/servlet/excelData",F293,$B$1,$B293&amp;":"&amp;F$115&amp;":"&amp;$AI$114)</f>
        <v>#</v>
      </c>
      <c r="AM293" s="378" t="str">
        <f>_xll.BLUEMATRIX2("/servlet/excelData",G293,$B$1,$B293&amp;":"&amp;G$115&amp;":"&amp;$AI$114)</f>
        <v>#</v>
      </c>
      <c r="AN293" s="378" t="str">
        <f>_xll.BLUEMATRIX2("/servlet/excelData",H293,$B$1,$B293&amp;":"&amp;H$115&amp;":"&amp;$AI$114)</f>
        <v>#</v>
      </c>
      <c r="AO293" s="378" t="str">
        <f>_xll.BLUEMATRIX2("/servlet/excelData",I293,$B$1,$B293&amp;":"&amp;I$115&amp;":"&amp;$AI$114)</f>
        <v>#</v>
      </c>
      <c r="AP293" s="378" t="str">
        <f>_xll.BLUEMATRIX2("/servlet/excelData",J293,$B$1,$B293&amp;":"&amp;J$115&amp;":"&amp;$AI$114)</f>
        <v>#</v>
      </c>
      <c r="AQ293" s="378" t="str">
        <f>_xll.BLUEMATRIX2("/servlet/excelData",K293,$B$1,$B293&amp;":"&amp;K$115&amp;":"&amp;$AI$114)</f>
        <v>#</v>
      </c>
      <c r="AR293" s="378" t="str">
        <f>_xll.BLUEMATRIX2("/servlet/excelData",L293,$B$1,$B293&amp;":"&amp;L$115&amp;":"&amp;$AI$114)</f>
        <v>#</v>
      </c>
      <c r="AS293" s="378" t="str">
        <f>_xll.BLUEMATRIX2("/servlet/excelData",M293,$B$1,$B293&amp;":"&amp;M$115&amp;":"&amp;$AI$114)</f>
        <v>#</v>
      </c>
      <c r="AT293" s="378" t="str">
        <f>_xll.BLUEMATRIX2("/servlet/excelData",N293,$B$1,$B293&amp;":"&amp;N$115&amp;":"&amp;$AI$114)</f>
        <v>#</v>
      </c>
      <c r="AU293" s="378" t="str">
        <f>_xll.BLUEMATRIX2("/servlet/excelData",O293,$B$1,$B293&amp;":"&amp;O$115&amp;":"&amp;$AI$114)</f>
        <v>#</v>
      </c>
      <c r="AV293" s="378" t="str">
        <f>_xll.BLUEMATRIX2("/servlet/excelData",P293,$B$1,$B293&amp;":"&amp;P$115&amp;":"&amp;$AI$114)</f>
        <v>#</v>
      </c>
      <c r="AW293" s="378" t="str">
        <f>_xll.BLUEMATRIX2("/servlet/excelData",Q293,$B$1,$B293&amp;":"&amp;Q$115&amp;":"&amp;$AI$114)</f>
        <v>#</v>
      </c>
    </row>
    <row r="294" spans="1:49" ht="12.95" customHeight="1">
      <c r="A294" s="348"/>
      <c r="B294" s="350"/>
      <c r="C294" s="440"/>
      <c r="D294" s="439"/>
      <c r="E294" s="439"/>
      <c r="F294" s="439"/>
      <c r="G294" s="439"/>
      <c r="H294" s="439"/>
      <c r="I294" s="439"/>
      <c r="J294" s="439"/>
      <c r="K294" s="439"/>
      <c r="L294" s="439"/>
      <c r="M294" s="439"/>
      <c r="N294" s="439"/>
      <c r="O294" s="439"/>
      <c r="P294" s="439"/>
      <c r="Q294" s="439"/>
      <c r="R294" s="439"/>
      <c r="S294" s="439"/>
      <c r="T294" s="439"/>
      <c r="U294" s="439"/>
      <c r="V294" s="439"/>
      <c r="W294" s="439"/>
      <c r="X294" s="439"/>
      <c r="Y294" s="439"/>
      <c r="Z294" s="439"/>
      <c r="AA294" s="439"/>
      <c r="AB294" s="439"/>
      <c r="AC294" s="439"/>
      <c r="AD294" s="439"/>
      <c r="AE294" s="439"/>
      <c r="AF294" s="439"/>
      <c r="AG294" s="439"/>
      <c r="AH294" s="439"/>
      <c r="AI294" s="439"/>
      <c r="AJ294" s="479"/>
      <c r="AK294" s="378"/>
      <c r="AL294" s="378"/>
      <c r="AM294" s="378"/>
      <c r="AN294" s="378"/>
      <c r="AO294" s="378"/>
      <c r="AP294" s="378"/>
      <c r="AQ294" s="378"/>
      <c r="AR294" s="378"/>
      <c r="AS294" s="378"/>
      <c r="AT294" s="378"/>
      <c r="AU294" s="378"/>
      <c r="AV294" s="378"/>
      <c r="AW294" s="378"/>
    </row>
    <row r="295" spans="1:49" ht="12.95" customHeight="1">
      <c r="A295" s="348"/>
      <c r="B295" s="350"/>
      <c r="C295" s="440"/>
      <c r="D295" s="441"/>
      <c r="E295" s="441"/>
      <c r="F295" s="441"/>
      <c r="G295" s="441"/>
      <c r="H295" s="441"/>
      <c r="I295" s="441"/>
      <c r="J295" s="441"/>
      <c r="K295" s="441"/>
      <c r="L295" s="441"/>
      <c r="M295" s="441"/>
      <c r="N295" s="441"/>
      <c r="O295" s="441"/>
      <c r="P295" s="441"/>
      <c r="Q295" s="441"/>
      <c r="R295" s="441"/>
      <c r="S295" s="441"/>
      <c r="T295" s="441"/>
      <c r="U295" s="441"/>
      <c r="V295" s="441"/>
      <c r="W295" s="441"/>
      <c r="X295" s="441"/>
      <c r="Y295" s="441"/>
      <c r="Z295" s="441"/>
      <c r="AA295" s="441"/>
      <c r="AB295" s="441"/>
      <c r="AC295" s="441"/>
      <c r="AD295" s="441"/>
      <c r="AE295" s="441"/>
      <c r="AF295" s="441"/>
      <c r="AG295" s="441"/>
      <c r="AH295" s="441"/>
      <c r="AI295" s="322"/>
      <c r="AJ295" s="479"/>
      <c r="AK295" s="378"/>
      <c r="AL295" s="378"/>
      <c r="AM295" s="378"/>
      <c r="AN295" s="378"/>
      <c r="AO295" s="378"/>
      <c r="AP295" s="378"/>
      <c r="AQ295" s="378"/>
      <c r="AR295" s="378"/>
      <c r="AS295" s="378"/>
      <c r="AT295" s="378"/>
      <c r="AU295" s="378"/>
      <c r="AV295" s="378"/>
      <c r="AW295" s="378"/>
    </row>
    <row r="296" spans="1:49" ht="15" customHeight="1">
      <c r="A296" s="421"/>
      <c r="B296" s="350"/>
      <c r="C296" s="369" t="s">
        <v>955</v>
      </c>
      <c r="D296" s="377"/>
      <c r="E296" s="370"/>
      <c r="F296" s="377"/>
      <c r="G296" s="370"/>
      <c r="H296" s="377"/>
      <c r="I296" s="370"/>
      <c r="J296" s="377"/>
      <c r="K296" s="370"/>
      <c r="L296" s="377"/>
      <c r="M296" s="377"/>
      <c r="N296" s="377"/>
      <c r="O296" s="377"/>
      <c r="P296" s="377"/>
      <c r="Q296" s="377"/>
      <c r="R296" s="370"/>
      <c r="S296" s="377"/>
      <c r="T296" s="370"/>
      <c r="U296" s="377"/>
      <c r="V296" s="370"/>
      <c r="W296" s="377"/>
      <c r="X296" s="370"/>
      <c r="Y296" s="377"/>
      <c r="Z296" s="370"/>
      <c r="AA296" s="377"/>
      <c r="AB296" s="370"/>
      <c r="AC296" s="377"/>
      <c r="AD296" s="370"/>
      <c r="AE296" s="377"/>
      <c r="AF296" s="370"/>
      <c r="AG296" s="377"/>
      <c r="AH296" s="370"/>
      <c r="AI296" s="322"/>
      <c r="AJ296" s="479"/>
      <c r="AK296" s="378"/>
      <c r="AL296" s="378"/>
      <c r="AM296" s="378"/>
      <c r="AN296" s="378"/>
      <c r="AO296" s="378"/>
      <c r="AP296" s="378"/>
      <c r="AQ296" s="378"/>
      <c r="AR296" s="378"/>
      <c r="AS296" s="378"/>
      <c r="AT296" s="378"/>
      <c r="AU296" s="378"/>
      <c r="AV296" s="378"/>
      <c r="AW296" s="378"/>
    </row>
    <row r="297" spans="1:49" ht="12.95" customHeight="1">
      <c r="A297" s="348" t="s">
        <v>956</v>
      </c>
      <c r="B297" s="350" t="s">
        <v>957</v>
      </c>
      <c r="C297" s="489" t="s">
        <v>958</v>
      </c>
      <c r="D297" s="490"/>
      <c r="E297" s="488"/>
      <c r="F297" s="488"/>
      <c r="G297" s="488"/>
      <c r="H297" s="488"/>
      <c r="I297" s="488">
        <f t="shared" ref="I297:Q297" si="81">IF(ISERROR(I169/I288),"nm",I169/I288)*100</f>
        <v>1.2759712621227264</v>
      </c>
      <c r="J297" s="488">
        <f t="shared" si="81"/>
        <v>17.455813039555217</v>
      </c>
      <c r="K297" s="488">
        <f t="shared" si="81"/>
        <v>16.206150463249454</v>
      </c>
      <c r="L297" s="488">
        <f t="shared" si="81"/>
        <v>9.405355179564415</v>
      </c>
      <c r="M297" s="488">
        <f t="shared" si="81"/>
        <v>3.4449776648363422</v>
      </c>
      <c r="N297" s="488">
        <f t="shared" si="81"/>
        <v>2.7605442661047279</v>
      </c>
      <c r="O297" s="488">
        <f t="shared" si="81"/>
        <v>4.964794025917719</v>
      </c>
      <c r="P297" s="488">
        <f t="shared" si="81"/>
        <v>6.7609822146857192</v>
      </c>
      <c r="Q297" s="488">
        <f t="shared" si="81"/>
        <v>7.6180212071477165</v>
      </c>
      <c r="R297" s="442"/>
      <c r="S297" s="442"/>
      <c r="T297" s="442" t="str">
        <f t="shared" ref="T297:AH297" si="82">IF(ISERROR(T169/T288),"nm",T169/T288)</f>
        <v>nm</v>
      </c>
      <c r="U297" s="442" t="str">
        <f t="shared" si="82"/>
        <v>nm</v>
      </c>
      <c r="V297" s="442" t="str">
        <f t="shared" si="82"/>
        <v>nm</v>
      </c>
      <c r="W297" s="442" t="str">
        <f t="shared" si="82"/>
        <v>nm</v>
      </c>
      <c r="X297" s="442" t="str">
        <f t="shared" si="82"/>
        <v>nm</v>
      </c>
      <c r="Y297" s="442" t="str">
        <f t="shared" si="82"/>
        <v>nm</v>
      </c>
      <c r="Z297" s="442" t="str">
        <f t="shared" si="82"/>
        <v>nm</v>
      </c>
      <c r="AA297" s="442" t="str">
        <f t="shared" si="82"/>
        <v>nm</v>
      </c>
      <c r="AB297" s="442" t="str">
        <f t="shared" si="82"/>
        <v>nm</v>
      </c>
      <c r="AC297" s="442" t="str">
        <f t="shared" si="82"/>
        <v>nm</v>
      </c>
      <c r="AD297" s="442" t="str">
        <f t="shared" si="82"/>
        <v>nm</v>
      </c>
      <c r="AE297" s="442" t="str">
        <f t="shared" si="82"/>
        <v>nm</v>
      </c>
      <c r="AF297" s="442" t="str">
        <f t="shared" si="82"/>
        <v>nm</v>
      </c>
      <c r="AG297" s="442" t="str">
        <f t="shared" si="82"/>
        <v>nm</v>
      </c>
      <c r="AH297" s="442" t="str">
        <f t="shared" si="82"/>
        <v>nm</v>
      </c>
      <c r="AI297" s="443"/>
      <c r="AJ297" s="479"/>
      <c r="AK297" s="378" t="str">
        <f>_xll.BLUEMATRIX2("/servlet/excelData",E297,$B$1,$B297&amp;":"&amp;E$115&amp;":"&amp;$AI$114)</f>
        <v>#</v>
      </c>
      <c r="AL297" s="378" t="str">
        <f>_xll.BLUEMATRIX2("/servlet/excelData",F297,$B$1,$B297&amp;":"&amp;F$115&amp;":"&amp;$AI$114)</f>
        <v>#</v>
      </c>
      <c r="AM297" s="378" t="str">
        <f>_xll.BLUEMATRIX2("/servlet/excelData",G297,$B$1,$B297&amp;":"&amp;G$115&amp;":"&amp;$AI$114)</f>
        <v>#</v>
      </c>
      <c r="AN297" s="378" t="str">
        <f>_xll.BLUEMATRIX2("/servlet/excelData",H297,$B$1,$B297&amp;":"&amp;H$115&amp;":"&amp;$AI$114)</f>
        <v>#</v>
      </c>
      <c r="AO297" s="378" t="str">
        <f>_xll.BLUEMATRIX2("/servlet/excelData",I297,$B$1,$B297&amp;":"&amp;I$115&amp;":"&amp;$AI$114)</f>
        <v>#</v>
      </c>
      <c r="AP297" s="378" t="str">
        <f>_xll.BLUEMATRIX2("/servlet/excelData",J297,$B$1,$B297&amp;":"&amp;J$115&amp;":"&amp;$AI$114)</f>
        <v>#</v>
      </c>
      <c r="AQ297" s="378" t="str">
        <f>_xll.BLUEMATRIX2("/servlet/excelData",K297,$B$1,$B297&amp;":"&amp;K$115&amp;":"&amp;$AI$114)</f>
        <v>#</v>
      </c>
      <c r="AR297" s="378" t="str">
        <f>_xll.BLUEMATRIX2("/servlet/excelData",L297,$B$1,$B297&amp;":"&amp;L$115&amp;":"&amp;$AI$114)</f>
        <v>#</v>
      </c>
      <c r="AS297" s="378" t="str">
        <f>_xll.BLUEMATRIX2("/servlet/excelData",M297,$B$1,$B297&amp;":"&amp;M$115&amp;":"&amp;$AI$114)</f>
        <v>#</v>
      </c>
      <c r="AT297" s="378" t="str">
        <f>_xll.BLUEMATRIX2("/servlet/excelData",N297,$B$1,$B297&amp;":"&amp;N$115&amp;":"&amp;$AI$114)</f>
        <v>#</v>
      </c>
      <c r="AU297" s="378" t="str">
        <f>_xll.BLUEMATRIX2("/servlet/excelData",O297,$B$1,$B297&amp;":"&amp;O$115&amp;":"&amp;$AI$114)</f>
        <v>#</v>
      </c>
      <c r="AV297" s="378" t="str">
        <f>_xll.BLUEMATRIX2("/servlet/excelData",P297,$B$1,$B297&amp;":"&amp;P$115&amp;":"&amp;$AI$114)</f>
        <v>#</v>
      </c>
      <c r="AW297" s="378" t="str">
        <f>_xll.BLUEMATRIX2("/servlet/excelData",Q297,$B$1,$B297&amp;":"&amp;Q$115&amp;":"&amp;$AI$114)</f>
        <v>#</v>
      </c>
    </row>
    <row r="298" spans="1:49" ht="12.95" customHeight="1">
      <c r="A298" s="348" t="s">
        <v>959</v>
      </c>
      <c r="B298" s="350" t="s">
        <v>960</v>
      </c>
      <c r="C298" s="489" t="s">
        <v>961</v>
      </c>
      <c r="D298" s="490"/>
      <c r="E298" s="488"/>
      <c r="F298" s="488"/>
      <c r="G298" s="488"/>
      <c r="H298" s="488"/>
      <c r="I298" s="488">
        <f>FY!G162</f>
        <v>-4.4000000000000004</v>
      </c>
      <c r="J298" s="488">
        <f>FY!H162</f>
        <v>1.1000000000000001</v>
      </c>
      <c r="K298" s="488">
        <f>FY!I162</f>
        <v>1.1000000000000001</v>
      </c>
      <c r="L298" s="488">
        <f>FY!J162</f>
        <v>3.9</v>
      </c>
      <c r="M298" s="488">
        <f>FY!K162</f>
        <v>1.8</v>
      </c>
      <c r="N298" s="488">
        <f>FY!L162</f>
        <v>-1.5003491614560072</v>
      </c>
      <c r="O298" s="488">
        <f>FY!M162</f>
        <v>3.4236198074383042</v>
      </c>
      <c r="P298" s="488">
        <f>FY!N162</f>
        <v>6.1263810659000795</v>
      </c>
      <c r="Q298" s="488">
        <f>FY!O162</f>
        <v>7.6180212071477182</v>
      </c>
      <c r="R298" s="442"/>
      <c r="S298" s="442"/>
      <c r="T298" s="442" t="str">
        <f t="shared" ref="T298:AH298" si="83">IF(ISERROR(T172/T288),"nm",T172/T288)</f>
        <v>nm</v>
      </c>
      <c r="U298" s="442" t="str">
        <f t="shared" si="83"/>
        <v>nm</v>
      </c>
      <c r="V298" s="442" t="str">
        <f t="shared" si="83"/>
        <v>nm</v>
      </c>
      <c r="W298" s="442" t="str">
        <f t="shared" si="83"/>
        <v>nm</v>
      </c>
      <c r="X298" s="442" t="str">
        <f t="shared" si="83"/>
        <v>nm</v>
      </c>
      <c r="Y298" s="442" t="str">
        <f t="shared" si="83"/>
        <v>nm</v>
      </c>
      <c r="Z298" s="442" t="str">
        <f t="shared" si="83"/>
        <v>nm</v>
      </c>
      <c r="AA298" s="442" t="str">
        <f t="shared" si="83"/>
        <v>nm</v>
      </c>
      <c r="AB298" s="442" t="str">
        <f t="shared" si="83"/>
        <v>nm</v>
      </c>
      <c r="AC298" s="442" t="str">
        <f t="shared" si="83"/>
        <v>nm</v>
      </c>
      <c r="AD298" s="442" t="str">
        <f t="shared" si="83"/>
        <v>nm</v>
      </c>
      <c r="AE298" s="442" t="str">
        <f t="shared" si="83"/>
        <v>nm</v>
      </c>
      <c r="AF298" s="442" t="str">
        <f t="shared" si="83"/>
        <v>nm</v>
      </c>
      <c r="AG298" s="442" t="str">
        <f t="shared" si="83"/>
        <v>nm</v>
      </c>
      <c r="AH298" s="442" t="str">
        <f t="shared" si="83"/>
        <v>nm</v>
      </c>
      <c r="AI298" s="443"/>
      <c r="AJ298" s="479"/>
      <c r="AK298" s="378" t="str">
        <f>_xll.BLUEMATRIX2("/servlet/excelData",E298,$B$1,$B298&amp;":"&amp;E$115&amp;":"&amp;$AI$114)</f>
        <v>#</v>
      </c>
      <c r="AL298" s="378" t="str">
        <f>_xll.BLUEMATRIX2("/servlet/excelData",F298,$B$1,$B298&amp;":"&amp;F$115&amp;":"&amp;$AI$114)</f>
        <v>#</v>
      </c>
      <c r="AM298" s="378" t="str">
        <f>_xll.BLUEMATRIX2("/servlet/excelData",G298,$B$1,$B298&amp;":"&amp;G$115&amp;":"&amp;$AI$114)</f>
        <v>#</v>
      </c>
      <c r="AN298" s="378" t="str">
        <f>_xll.BLUEMATRIX2("/servlet/excelData",H298,$B$1,$B298&amp;":"&amp;H$115&amp;":"&amp;$AI$114)</f>
        <v>#</v>
      </c>
      <c r="AO298" s="378" t="str">
        <f>_xll.BLUEMATRIX2("/servlet/excelData",I298,$B$1,$B298&amp;":"&amp;I$115&amp;":"&amp;$AI$114)</f>
        <v>#</v>
      </c>
      <c r="AP298" s="378" t="str">
        <f>_xll.BLUEMATRIX2("/servlet/excelData",J298,$B$1,$B298&amp;":"&amp;J$115&amp;":"&amp;$AI$114)</f>
        <v>#</v>
      </c>
      <c r="AQ298" s="378" t="str">
        <f>_xll.BLUEMATRIX2("/servlet/excelData",K298,$B$1,$B298&amp;":"&amp;K$115&amp;":"&amp;$AI$114)</f>
        <v>#</v>
      </c>
      <c r="AR298" s="378" t="str">
        <f>_xll.BLUEMATRIX2("/servlet/excelData",L298,$B$1,$B298&amp;":"&amp;L$115&amp;":"&amp;$AI$114)</f>
        <v>#</v>
      </c>
      <c r="AS298" s="378" t="str">
        <f>_xll.BLUEMATRIX2("/servlet/excelData",M298,$B$1,$B298&amp;":"&amp;M$115&amp;":"&amp;$AI$114)</f>
        <v>#</v>
      </c>
      <c r="AT298" s="378" t="str">
        <f>_xll.BLUEMATRIX2("/servlet/excelData",N298,$B$1,$B298&amp;":"&amp;N$115&amp;":"&amp;$AI$114)</f>
        <v>#</v>
      </c>
      <c r="AU298" s="378" t="str">
        <f>_xll.BLUEMATRIX2("/servlet/excelData",O298,$B$1,$B298&amp;":"&amp;O$115&amp;":"&amp;$AI$114)</f>
        <v>#</v>
      </c>
      <c r="AV298" s="378" t="str">
        <f>_xll.BLUEMATRIX2("/servlet/excelData",P298,$B$1,$B298&amp;":"&amp;P$115&amp;":"&amp;$AI$114)</f>
        <v>#</v>
      </c>
      <c r="AW298" s="378" t="str">
        <f>_xll.BLUEMATRIX2("/servlet/excelData",Q298,$B$1,$B298&amp;":"&amp;Q$115&amp;":"&amp;$AI$114)</f>
        <v>#</v>
      </c>
    </row>
    <row r="299" spans="1:49" ht="12.95" customHeight="1">
      <c r="A299" s="348" t="s">
        <v>962</v>
      </c>
      <c r="B299" s="350" t="s">
        <v>963</v>
      </c>
      <c r="C299" s="489" t="s">
        <v>964</v>
      </c>
      <c r="D299" s="491"/>
      <c r="E299" s="488"/>
      <c r="F299" s="488"/>
      <c r="G299" s="488"/>
      <c r="H299" s="488"/>
      <c r="I299" s="488">
        <f t="shared" ref="I299:Q299" si="84">IF(ISERROR(I176/I288),"nm",I176/I288)*100</f>
        <v>1.2759712621227264</v>
      </c>
      <c r="J299" s="488">
        <f t="shared" si="84"/>
        <v>17.455813039555217</v>
      </c>
      <c r="K299" s="488">
        <f t="shared" si="84"/>
        <v>16.206150463249454</v>
      </c>
      <c r="L299" s="488">
        <f t="shared" si="84"/>
        <v>9.405355179564415</v>
      </c>
      <c r="M299" s="488">
        <f t="shared" si="84"/>
        <v>3.4449776648363422</v>
      </c>
      <c r="N299" s="488">
        <f t="shared" si="84"/>
        <v>2.7605442661047279</v>
      </c>
      <c r="O299" s="488">
        <f t="shared" si="84"/>
        <v>4.964794025917719</v>
      </c>
      <c r="P299" s="488">
        <f t="shared" si="84"/>
        <v>6.7609822146857192</v>
      </c>
      <c r="Q299" s="488">
        <f t="shared" si="84"/>
        <v>7.6180212071477165</v>
      </c>
      <c r="R299" s="442"/>
      <c r="S299" s="442"/>
      <c r="T299" s="442" t="str">
        <f t="shared" ref="T299:AH299" si="85">IF(ISERROR(T176/T288),"nm",T176/T288)</f>
        <v>nm</v>
      </c>
      <c r="U299" s="442" t="str">
        <f t="shared" si="85"/>
        <v>nm</v>
      </c>
      <c r="V299" s="442" t="str">
        <f t="shared" si="85"/>
        <v>nm</v>
      </c>
      <c r="W299" s="442" t="str">
        <f t="shared" si="85"/>
        <v>nm</v>
      </c>
      <c r="X299" s="442" t="str">
        <f t="shared" si="85"/>
        <v>nm</v>
      </c>
      <c r="Y299" s="442" t="str">
        <f t="shared" si="85"/>
        <v>nm</v>
      </c>
      <c r="Z299" s="442" t="str">
        <f t="shared" si="85"/>
        <v>nm</v>
      </c>
      <c r="AA299" s="442" t="str">
        <f t="shared" si="85"/>
        <v>nm</v>
      </c>
      <c r="AB299" s="442" t="str">
        <f t="shared" si="85"/>
        <v>nm</v>
      </c>
      <c r="AC299" s="442" t="str">
        <f t="shared" si="85"/>
        <v>nm</v>
      </c>
      <c r="AD299" s="442" t="str">
        <f t="shared" si="85"/>
        <v>nm</v>
      </c>
      <c r="AE299" s="442" t="str">
        <f t="shared" si="85"/>
        <v>nm</v>
      </c>
      <c r="AF299" s="442" t="str">
        <f t="shared" si="85"/>
        <v>nm</v>
      </c>
      <c r="AG299" s="442" t="str">
        <f t="shared" si="85"/>
        <v>nm</v>
      </c>
      <c r="AH299" s="442" t="str">
        <f t="shared" si="85"/>
        <v>nm</v>
      </c>
      <c r="AI299" s="443"/>
      <c r="AJ299" s="479"/>
      <c r="AK299" s="378" t="str">
        <f>_xll.BLUEMATRIX2("/servlet/excelData",E299,$B$1,$B299&amp;":"&amp;E$115&amp;":"&amp;$AI$114)</f>
        <v>#</v>
      </c>
      <c r="AL299" s="378" t="str">
        <f>_xll.BLUEMATRIX2("/servlet/excelData",F299,$B$1,$B299&amp;":"&amp;F$115&amp;":"&amp;$AI$114)</f>
        <v>#</v>
      </c>
      <c r="AM299" s="378" t="str">
        <f>_xll.BLUEMATRIX2("/servlet/excelData",G299,$B$1,$B299&amp;":"&amp;G$115&amp;":"&amp;$AI$114)</f>
        <v>#</v>
      </c>
      <c r="AN299" s="378" t="str">
        <f>_xll.BLUEMATRIX2("/servlet/excelData",H299,$B$1,$B299&amp;":"&amp;H$115&amp;":"&amp;$AI$114)</f>
        <v>#</v>
      </c>
      <c r="AO299" s="378" t="str">
        <f>_xll.BLUEMATRIX2("/servlet/excelData",I299,$B$1,$B299&amp;":"&amp;I$115&amp;":"&amp;$AI$114)</f>
        <v>#</v>
      </c>
      <c r="AP299" s="378" t="str">
        <f>_xll.BLUEMATRIX2("/servlet/excelData",J299,$B$1,$B299&amp;":"&amp;J$115&amp;":"&amp;$AI$114)</f>
        <v>#</v>
      </c>
      <c r="AQ299" s="378" t="str">
        <f>_xll.BLUEMATRIX2("/servlet/excelData",K299,$B$1,$B299&amp;":"&amp;K$115&amp;":"&amp;$AI$114)</f>
        <v>#</v>
      </c>
      <c r="AR299" s="378" t="str">
        <f>_xll.BLUEMATRIX2("/servlet/excelData",L299,$B$1,$B299&amp;":"&amp;L$115&amp;":"&amp;$AI$114)</f>
        <v>#</v>
      </c>
      <c r="AS299" s="378" t="str">
        <f>_xll.BLUEMATRIX2("/servlet/excelData",M299,$B$1,$B299&amp;":"&amp;M$115&amp;":"&amp;$AI$114)</f>
        <v>#</v>
      </c>
      <c r="AT299" s="378" t="str">
        <f>_xll.BLUEMATRIX2("/servlet/excelData",N299,$B$1,$B299&amp;":"&amp;N$115&amp;":"&amp;$AI$114)</f>
        <v>#</v>
      </c>
      <c r="AU299" s="378" t="str">
        <f>_xll.BLUEMATRIX2("/servlet/excelData",O299,$B$1,$B299&amp;":"&amp;O$115&amp;":"&amp;$AI$114)</f>
        <v>#</v>
      </c>
      <c r="AV299" s="378" t="str">
        <f>_xll.BLUEMATRIX2("/servlet/excelData",P299,$B$1,$B299&amp;":"&amp;P$115&amp;":"&amp;$AI$114)</f>
        <v>#</v>
      </c>
      <c r="AW299" s="378" t="str">
        <f>_xll.BLUEMATRIX2("/servlet/excelData",Q299,$B$1,$B299&amp;":"&amp;Q$115&amp;":"&amp;$AI$114)</f>
        <v>#</v>
      </c>
    </row>
    <row r="300" spans="1:49" ht="12.95" customHeight="1">
      <c r="A300" s="348"/>
      <c r="B300" s="350" t="s">
        <v>965</v>
      </c>
      <c r="C300" s="489" t="s">
        <v>966</v>
      </c>
      <c r="D300" s="490"/>
      <c r="E300" s="490"/>
      <c r="F300" s="379"/>
      <c r="G300" s="379"/>
      <c r="H300" s="379"/>
      <c r="I300" s="379" t="e">
        <f t="shared" ref="I300:Q300" si="86">+I299/H299-1</f>
        <v>#DIV/0!</v>
      </c>
      <c r="J300" s="379">
        <f t="shared" si="86"/>
        <v>12.680412371134006</v>
      </c>
      <c r="K300" s="379">
        <f t="shared" si="86"/>
        <v>-7.1590052750565292E-2</v>
      </c>
      <c r="L300" s="379">
        <f t="shared" si="86"/>
        <v>-0.41964285714285721</v>
      </c>
      <c r="M300" s="379">
        <f t="shared" si="86"/>
        <v>-0.63372168311926658</v>
      </c>
      <c r="N300" s="379">
        <f t="shared" si="86"/>
        <v>-0.19867571442270271</v>
      </c>
      <c r="O300" s="379">
        <f t="shared" si="86"/>
        <v>0.79848375803199945</v>
      </c>
      <c r="P300" s="379">
        <f t="shared" si="86"/>
        <v>0.36178503667853223</v>
      </c>
      <c r="Q300" s="379">
        <f t="shared" si="86"/>
        <v>0.12676249770342518</v>
      </c>
      <c r="R300" s="442"/>
      <c r="S300" s="442"/>
      <c r="T300" s="442"/>
      <c r="U300" s="442"/>
      <c r="V300" s="442"/>
      <c r="W300" s="442"/>
      <c r="X300" s="442"/>
      <c r="Y300" s="442"/>
      <c r="Z300" s="442"/>
      <c r="AA300" s="442"/>
      <c r="AB300" s="442"/>
      <c r="AC300" s="442"/>
      <c r="AD300" s="442"/>
      <c r="AE300" s="442"/>
      <c r="AF300" s="442"/>
      <c r="AG300" s="442"/>
      <c r="AH300" s="442"/>
      <c r="AI300" s="443"/>
      <c r="AJ300" s="479"/>
      <c r="AK300" s="378" t="str">
        <f>_xll.BLUEMATRIX2("/servlet/excelData",E300,$B$1,$B300&amp;":"&amp;E$115&amp;":"&amp;$AI$114)</f>
        <v>#</v>
      </c>
      <c r="AL300" s="378" t="str">
        <f>_xll.BLUEMATRIX2("/servlet/excelData",F300,$B$1,$B300&amp;":"&amp;F$115&amp;":"&amp;$AI$114)</f>
        <v>#</v>
      </c>
      <c r="AM300" s="378" t="str">
        <f>_xll.BLUEMATRIX2("/servlet/excelData",G300,$B$1,$B300&amp;":"&amp;G$115&amp;":"&amp;$AI$114)</f>
        <v>#</v>
      </c>
      <c r="AN300" s="378" t="str">
        <f>_xll.BLUEMATRIX2("/servlet/excelData",H300,$B$1,$B300&amp;":"&amp;H$115&amp;":"&amp;$AI$114)</f>
        <v>#</v>
      </c>
      <c r="AO300" s="378" t="e">
        <f>_xll.BLUEMATRIX2("/servlet/excelData",I300,$B$1,$B300&amp;":"&amp;I$115&amp;":"&amp;$AI$114)</f>
        <v>#VALUE!</v>
      </c>
      <c r="AP300" s="378" t="str">
        <f>_xll.BLUEMATRIX2("/servlet/excelData",J300,$B$1,$B300&amp;":"&amp;J$115&amp;":"&amp;$AI$114)</f>
        <v>#</v>
      </c>
      <c r="AQ300" s="378" t="str">
        <f>_xll.BLUEMATRIX2("/servlet/excelData",K300,$B$1,$B300&amp;":"&amp;K$115&amp;":"&amp;$AI$114)</f>
        <v>#</v>
      </c>
      <c r="AR300" s="378" t="str">
        <f>_xll.BLUEMATRIX2("/servlet/excelData",L300,$B$1,$B300&amp;":"&amp;L$115&amp;":"&amp;$AI$114)</f>
        <v>#</v>
      </c>
      <c r="AS300" s="378" t="str">
        <f>_xll.BLUEMATRIX2("/servlet/excelData",M300,$B$1,$B300&amp;":"&amp;M$115&amp;":"&amp;$AI$114)</f>
        <v>#</v>
      </c>
      <c r="AT300" s="378" t="str">
        <f>_xll.BLUEMATRIX2("/servlet/excelData",N300,$B$1,$B300&amp;":"&amp;N$115&amp;":"&amp;$AI$114)</f>
        <v>#</v>
      </c>
      <c r="AU300" s="378" t="str">
        <f>_xll.BLUEMATRIX2("/servlet/excelData",O300,$B$1,$B300&amp;":"&amp;O$115&amp;":"&amp;$AI$114)</f>
        <v>#</v>
      </c>
      <c r="AV300" s="378" t="str">
        <f>_xll.BLUEMATRIX2("/servlet/excelData",P300,$B$1,$B300&amp;":"&amp;P$115&amp;":"&amp;$AI$114)</f>
        <v>#</v>
      </c>
      <c r="AW300" s="378" t="str">
        <f>_xll.BLUEMATRIX2("/servlet/excelData",Q300,$B$1,$B300&amp;":"&amp;Q$115&amp;":"&amp;$AI$114)</f>
        <v>#</v>
      </c>
    </row>
    <row r="301" spans="1:49" ht="12.95" customHeight="1">
      <c r="A301" s="348"/>
      <c r="B301" s="350" t="s">
        <v>968</v>
      </c>
      <c r="C301" s="489" t="s">
        <v>969</v>
      </c>
      <c r="D301" s="492"/>
      <c r="E301" s="490"/>
      <c r="F301" s="492"/>
      <c r="G301" s="492"/>
      <c r="H301" s="492"/>
      <c r="I301" s="492">
        <f>I18/I299*100</f>
        <v>228.06156269999977</v>
      </c>
      <c r="J301" s="492">
        <f>J18/J299*100</f>
        <v>13.061551443255464</v>
      </c>
      <c r="K301" s="492">
        <f>K18/K299*100*HY!$D$653</f>
        <v>3.7689394615032477</v>
      </c>
      <c r="L301" s="492">
        <f>L18/L299*100*HY!$D$653</f>
        <v>6.4941726105902102</v>
      </c>
      <c r="M301" s="492">
        <f>M18/M299*100*HY!$D$653</f>
        <v>17.730158492305254</v>
      </c>
      <c r="N301" s="492">
        <f>N18/N299*100*HY!$D$653</f>
        <v>22.126071568555961</v>
      </c>
      <c r="O301" s="492">
        <f>O18/O299*100*HY!$D$653</f>
        <v>12.302625180650802</v>
      </c>
      <c r="P301" s="492">
        <f>P18/P299*100*HY!$D$653</f>
        <v>9.0341903085215076</v>
      </c>
      <c r="Q301" s="492">
        <f>Q18/Q299*100*HY!$D$653</f>
        <v>8.0178301345093157</v>
      </c>
      <c r="R301" s="442"/>
      <c r="S301" s="442"/>
      <c r="T301" s="442"/>
      <c r="U301" s="442"/>
      <c r="V301" s="442"/>
      <c r="W301" s="442"/>
      <c r="X301" s="442"/>
      <c r="Y301" s="442"/>
      <c r="Z301" s="442"/>
      <c r="AA301" s="442"/>
      <c r="AB301" s="442"/>
      <c r="AC301" s="442"/>
      <c r="AD301" s="442"/>
      <c r="AE301" s="442"/>
      <c r="AF301" s="442"/>
      <c r="AG301" s="442"/>
      <c r="AH301" s="442"/>
      <c r="AI301" s="443"/>
      <c r="AJ301" s="479"/>
      <c r="AK301" s="378" t="str">
        <f>_xll.BLUEMATRIX2("/servlet/excelData",E301,$B$1,$B301&amp;":"&amp;E$115&amp;":"&amp;$AI$114)</f>
        <v>#</v>
      </c>
      <c r="AL301" s="378" t="str">
        <f>_xll.BLUEMATRIX2("/servlet/excelData",F301,$B$1,$B301&amp;":"&amp;F$115&amp;":"&amp;$AI$114)</f>
        <v>#</v>
      </c>
      <c r="AM301" s="378" t="str">
        <f>_xll.BLUEMATRIX2("/servlet/excelData",G301,$B$1,$B301&amp;":"&amp;G$115&amp;":"&amp;$AI$114)</f>
        <v>#</v>
      </c>
      <c r="AN301" s="378" t="str">
        <f>_xll.BLUEMATRIX2("/servlet/excelData",H301,$B$1,$B301&amp;":"&amp;H$115&amp;":"&amp;$AI$114)</f>
        <v>#</v>
      </c>
      <c r="AO301" s="378" t="str">
        <f>_xll.BLUEMATRIX2("/servlet/excelData",I301,$B$1,$B301&amp;":"&amp;I$115&amp;":"&amp;$AI$114)</f>
        <v>#</v>
      </c>
      <c r="AP301" s="378" t="str">
        <f>_xll.BLUEMATRIX2("/servlet/excelData",J301,$B$1,$B301&amp;":"&amp;J$115&amp;":"&amp;$AI$114)</f>
        <v>#</v>
      </c>
      <c r="AQ301" s="378" t="str">
        <f>_xll.BLUEMATRIX2("/servlet/excelData",K301,$B$1,$B301&amp;":"&amp;K$115&amp;":"&amp;$AI$114)</f>
        <v>#</v>
      </c>
      <c r="AR301" s="378" t="str">
        <f>_xll.BLUEMATRIX2("/servlet/excelData",L301,$B$1,$B301&amp;":"&amp;L$115&amp;":"&amp;$AI$114)</f>
        <v>#</v>
      </c>
      <c r="AS301" s="378" t="str">
        <f>_xll.BLUEMATRIX2("/servlet/excelData",M301,$B$1,$B301&amp;":"&amp;M$115&amp;":"&amp;$AI$114)</f>
        <v>#</v>
      </c>
      <c r="AT301" s="378" t="str">
        <f>_xll.BLUEMATRIX2("/servlet/excelData",N301,$B$1,$B301&amp;":"&amp;N$115&amp;":"&amp;$AI$114)</f>
        <v>#</v>
      </c>
      <c r="AU301" s="378" t="str">
        <f>_xll.BLUEMATRIX2("/servlet/excelData",O301,$B$1,$B301&amp;":"&amp;O$115&amp;":"&amp;$AI$114)</f>
        <v>#</v>
      </c>
      <c r="AV301" s="378" t="str">
        <f>_xll.BLUEMATRIX2("/servlet/excelData",P301,$B$1,$B301&amp;":"&amp;P$115&amp;":"&amp;$AI$114)</f>
        <v>#</v>
      </c>
      <c r="AW301" s="378" t="str">
        <f>_xll.BLUEMATRIX2("/servlet/excelData",Q301,$B$1,$B301&amp;":"&amp;Q$115&amp;":"&amp;$AI$114)</f>
        <v>#</v>
      </c>
    </row>
    <row r="302" spans="1:49" ht="12.95" customHeight="1">
      <c r="A302" s="348"/>
      <c r="B302" s="350" t="s">
        <v>970</v>
      </c>
      <c r="C302" s="489" t="s">
        <v>971</v>
      </c>
      <c r="D302" s="490"/>
      <c r="E302" s="490"/>
      <c r="F302" s="379"/>
      <c r="G302" s="490"/>
      <c r="H302" s="490"/>
      <c r="I302" s="490" t="e">
        <f t="shared" ref="I302:Q302" si="87">+IF(I301="0",0,I301/I300)</f>
        <v>#DIV/0!</v>
      </c>
      <c r="J302" s="490">
        <f t="shared" si="87"/>
        <v>1.0300573089396599</v>
      </c>
      <c r="K302" s="490">
        <f t="shared" si="87"/>
        <v>-52.646133320155812</v>
      </c>
      <c r="L302" s="490">
        <f t="shared" si="87"/>
        <v>-15.475475157151138</v>
      </c>
      <c r="M302" s="490">
        <f t="shared" si="87"/>
        <v>-27.977831538026187</v>
      </c>
      <c r="N302" s="490">
        <f t="shared" si="87"/>
        <v>-111.36777151071672</v>
      </c>
      <c r="O302" s="490">
        <f t="shared" si="87"/>
        <v>15.40748331684634</v>
      </c>
      <c r="P302" s="490">
        <f t="shared" si="87"/>
        <v>24.971155223727312</v>
      </c>
      <c r="Q302" s="490">
        <f t="shared" si="87"/>
        <v>63.250805875314256</v>
      </c>
      <c r="R302" s="442"/>
      <c r="S302" s="442"/>
      <c r="T302" s="442"/>
      <c r="U302" s="442"/>
      <c r="V302" s="442"/>
      <c r="W302" s="442"/>
      <c r="X302" s="442"/>
      <c r="Y302" s="442"/>
      <c r="Z302" s="442"/>
      <c r="AA302" s="442"/>
      <c r="AB302" s="442"/>
      <c r="AC302" s="442"/>
      <c r="AD302" s="442"/>
      <c r="AE302" s="442"/>
      <c r="AF302" s="442"/>
      <c r="AG302" s="442"/>
      <c r="AH302" s="442"/>
      <c r="AI302" s="443"/>
      <c r="AJ302" s="479"/>
      <c r="AK302" s="378" t="str">
        <f>_xll.BLUEMATRIX2("/servlet/excelData",E302,$B$1,$B302&amp;":"&amp;E$115&amp;":"&amp;$AI$114)</f>
        <v>#</v>
      </c>
      <c r="AL302" s="378" t="str">
        <f>_xll.BLUEMATRIX2("/servlet/excelData",F302,$B$1,$B302&amp;":"&amp;F$115&amp;":"&amp;$AI$114)</f>
        <v>#</v>
      </c>
      <c r="AM302" s="378" t="str">
        <f>_xll.BLUEMATRIX2("/servlet/excelData",G302,$B$1,$B302&amp;":"&amp;G$115&amp;":"&amp;$AI$114)</f>
        <v>#</v>
      </c>
      <c r="AN302" s="378" t="str">
        <f>_xll.BLUEMATRIX2("/servlet/excelData",H302,$B$1,$B302&amp;":"&amp;H$115&amp;":"&amp;$AI$114)</f>
        <v>#</v>
      </c>
      <c r="AO302" s="378" t="e">
        <f>_xll.BLUEMATRIX2("/servlet/excelData",I302,$B$1,$B302&amp;":"&amp;I$115&amp;":"&amp;$AI$114)</f>
        <v>#VALUE!</v>
      </c>
      <c r="AP302" s="378" t="str">
        <f>_xll.BLUEMATRIX2("/servlet/excelData",J302,$B$1,$B302&amp;":"&amp;J$115&amp;":"&amp;$AI$114)</f>
        <v>#</v>
      </c>
      <c r="AQ302" s="378" t="str">
        <f>_xll.BLUEMATRIX2("/servlet/excelData",K302,$B$1,$B302&amp;":"&amp;K$115&amp;":"&amp;$AI$114)</f>
        <v>#</v>
      </c>
      <c r="AR302" s="378" t="str">
        <f>_xll.BLUEMATRIX2("/servlet/excelData",L302,$B$1,$B302&amp;":"&amp;L$115&amp;":"&amp;$AI$114)</f>
        <v>#</v>
      </c>
      <c r="AS302" s="378" t="str">
        <f>_xll.BLUEMATRIX2("/servlet/excelData",M302,$B$1,$B302&amp;":"&amp;M$115&amp;":"&amp;$AI$114)</f>
        <v>#</v>
      </c>
      <c r="AT302" s="378" t="str">
        <f>_xll.BLUEMATRIX2("/servlet/excelData",N302,$B$1,$B302&amp;":"&amp;N$115&amp;":"&amp;$AI$114)</f>
        <v>#</v>
      </c>
      <c r="AU302" s="378" t="str">
        <f>_xll.BLUEMATRIX2("/servlet/excelData",O302,$B$1,$B302&amp;":"&amp;O$115&amp;":"&amp;$AI$114)</f>
        <v>#</v>
      </c>
      <c r="AV302" s="378" t="str">
        <f>_xll.BLUEMATRIX2("/servlet/excelData",P302,$B$1,$B302&amp;":"&amp;P$115&amp;":"&amp;$AI$114)</f>
        <v>#</v>
      </c>
      <c r="AW302" s="378" t="str">
        <f>_xll.BLUEMATRIX2("/servlet/excelData",Q302,$B$1,$B302&amp;":"&amp;Q$115&amp;":"&amp;$AI$114)</f>
        <v>#</v>
      </c>
    </row>
    <row r="303" spans="1:49" ht="12.95" customHeight="1">
      <c r="A303" s="348" t="s">
        <v>972</v>
      </c>
      <c r="B303" s="350" t="s">
        <v>583</v>
      </c>
      <c r="C303" s="438" t="s">
        <v>973</v>
      </c>
      <c r="D303" s="444"/>
      <c r="E303" s="444"/>
      <c r="F303" s="444"/>
      <c r="G303" s="444"/>
      <c r="H303" s="444"/>
      <c r="I303" s="444">
        <f>FY!G163</f>
        <v>0</v>
      </c>
      <c r="J303" s="444">
        <f>FY!H163/HY!$D$653</f>
        <v>9.8231827111984273</v>
      </c>
      <c r="K303" s="444">
        <f>FY!I163/HY!$D$653</f>
        <v>4.297642436149312</v>
      </c>
      <c r="L303" s="444">
        <f>FY!J163/HY!$D$653</f>
        <v>0</v>
      </c>
      <c r="M303" s="444">
        <f>FY!K163/HY!$D$653</f>
        <v>0</v>
      </c>
      <c r="N303" s="444">
        <f>FY!L163/HY!$D$653</f>
        <v>0</v>
      </c>
      <c r="O303" s="444">
        <f>FY!M163/HY!$D$653</f>
        <v>0</v>
      </c>
      <c r="P303" s="444">
        <f>FY!N163/HY!$D$653</f>
        <v>0</v>
      </c>
      <c r="Q303" s="444">
        <f>FY!O163/HY!$D$653</f>
        <v>0</v>
      </c>
      <c r="R303" s="444"/>
      <c r="S303" s="444"/>
      <c r="T303" s="444"/>
      <c r="U303" s="444"/>
      <c r="V303" s="444"/>
      <c r="W303" s="444"/>
      <c r="X303" s="444"/>
      <c r="Y303" s="444"/>
      <c r="Z303" s="444"/>
      <c r="AA303" s="444"/>
      <c r="AB303" s="444"/>
      <c r="AC303" s="444"/>
      <c r="AD303" s="444"/>
      <c r="AE303" s="444"/>
      <c r="AF303" s="444"/>
      <c r="AG303" s="444"/>
      <c r="AH303" s="444"/>
      <c r="AI303" s="443"/>
      <c r="AJ303" s="479"/>
      <c r="AK303" s="378" t="str">
        <f>_xll.BLUEMATRIX2("/servlet/excelData",E303,$B$1,$B303&amp;":"&amp;E$115&amp;":"&amp;$AI$114)</f>
        <v>#</v>
      </c>
      <c r="AL303" s="378" t="str">
        <f>_xll.BLUEMATRIX2("/servlet/excelData",F303,$B$1,$B303&amp;":"&amp;F$115&amp;":"&amp;$AI$114)</f>
        <v>#</v>
      </c>
      <c r="AM303" s="378" t="str">
        <f>_xll.BLUEMATRIX2("/servlet/excelData",G303,$B$1,$B303&amp;":"&amp;G$115&amp;":"&amp;$AI$114)</f>
        <v>#</v>
      </c>
      <c r="AN303" s="378" t="str">
        <f>_xll.BLUEMATRIX2("/servlet/excelData",H303,$B$1,$B303&amp;":"&amp;H$115&amp;":"&amp;$AI$114)</f>
        <v>#</v>
      </c>
      <c r="AO303" s="378" t="str">
        <f>_xll.BLUEMATRIX2("/servlet/excelData",I303,$B$1,$B303&amp;":"&amp;I$115&amp;":"&amp;$AI$114)</f>
        <v>#</v>
      </c>
      <c r="AP303" s="378" t="str">
        <f>_xll.BLUEMATRIX2("/servlet/excelData",J303,$B$1,$B303&amp;":"&amp;J$115&amp;":"&amp;$AI$114)</f>
        <v>#</v>
      </c>
      <c r="AQ303" s="378" t="str">
        <f>_xll.BLUEMATRIX2("/servlet/excelData",K303,$B$1,$B303&amp;":"&amp;K$115&amp;":"&amp;$AI$114)</f>
        <v>#</v>
      </c>
      <c r="AR303" s="378" t="str">
        <f>_xll.BLUEMATRIX2("/servlet/excelData",L303,$B$1,$B303&amp;":"&amp;L$115&amp;":"&amp;$AI$114)</f>
        <v>#</v>
      </c>
      <c r="AS303" s="378" t="str">
        <f>_xll.BLUEMATRIX2("/servlet/excelData",M303,$B$1,$B303&amp;":"&amp;M$115&amp;":"&amp;$AI$114)</f>
        <v>#</v>
      </c>
      <c r="AT303" s="378" t="str">
        <f>_xll.BLUEMATRIX2("/servlet/excelData",N303,$B$1,$B303&amp;":"&amp;N$115&amp;":"&amp;$AI$114)</f>
        <v>#</v>
      </c>
      <c r="AU303" s="378" t="str">
        <f>_xll.BLUEMATRIX2("/servlet/excelData",O303,$B$1,$B303&amp;":"&amp;O$115&amp;":"&amp;$AI$114)</f>
        <v>#</v>
      </c>
      <c r="AV303" s="378" t="str">
        <f>_xll.BLUEMATRIX2("/servlet/excelData",P303,$B$1,$B303&amp;":"&amp;P$115&amp;":"&amp;$AI$114)</f>
        <v>#</v>
      </c>
      <c r="AW303" s="378" t="str">
        <f>_xll.BLUEMATRIX2("/servlet/excelData",Q303,$B$1,$B303&amp;":"&amp;Q$115&amp;":"&amp;$AI$114)</f>
        <v>#</v>
      </c>
    </row>
    <row r="304" spans="1:49" ht="12.95" customHeight="1">
      <c r="A304" s="348"/>
      <c r="B304" s="350" t="s">
        <v>974</v>
      </c>
      <c r="C304" s="489" t="s">
        <v>975</v>
      </c>
      <c r="D304" s="445"/>
      <c r="E304" s="445"/>
      <c r="F304" s="445"/>
      <c r="G304" s="445"/>
      <c r="H304" s="445"/>
      <c r="I304" s="445">
        <f t="shared" ref="I304:Q304" si="88">I303/I18/100</f>
        <v>0</v>
      </c>
      <c r="J304" s="445">
        <f t="shared" si="88"/>
        <v>4.308413469823872E-2</v>
      </c>
      <c r="K304" s="445">
        <f t="shared" si="88"/>
        <v>8.5952848722986239E-2</v>
      </c>
      <c r="L304" s="445">
        <f t="shared" si="88"/>
        <v>0</v>
      </c>
      <c r="M304" s="445">
        <f t="shared" si="88"/>
        <v>0</v>
      </c>
      <c r="N304" s="445">
        <f t="shared" si="88"/>
        <v>0</v>
      </c>
      <c r="O304" s="445">
        <f t="shared" si="88"/>
        <v>0</v>
      </c>
      <c r="P304" s="445">
        <f t="shared" si="88"/>
        <v>0</v>
      </c>
      <c r="Q304" s="445">
        <f t="shared" si="88"/>
        <v>0</v>
      </c>
      <c r="R304" s="445">
        <f t="shared" ref="R304:AH304" si="89">IF(R116="A",0,((R303)/$D$17))/100</f>
        <v>0</v>
      </c>
      <c r="S304" s="445">
        <f t="shared" si="89"/>
        <v>0</v>
      </c>
      <c r="T304" s="445">
        <f t="shared" si="89"/>
        <v>0</v>
      </c>
      <c r="U304" s="445">
        <f t="shared" si="89"/>
        <v>0</v>
      </c>
      <c r="V304" s="445">
        <f t="shared" si="89"/>
        <v>0</v>
      </c>
      <c r="W304" s="445">
        <f t="shared" si="89"/>
        <v>0</v>
      </c>
      <c r="X304" s="445">
        <f t="shared" si="89"/>
        <v>0</v>
      </c>
      <c r="Y304" s="445">
        <f t="shared" si="89"/>
        <v>0</v>
      </c>
      <c r="Z304" s="445">
        <f t="shared" si="89"/>
        <v>0</v>
      </c>
      <c r="AA304" s="445">
        <f t="shared" si="89"/>
        <v>0</v>
      </c>
      <c r="AB304" s="445">
        <f t="shared" si="89"/>
        <v>0</v>
      </c>
      <c r="AC304" s="445">
        <f t="shared" si="89"/>
        <v>0</v>
      </c>
      <c r="AD304" s="445">
        <f t="shared" si="89"/>
        <v>0</v>
      </c>
      <c r="AE304" s="445">
        <f t="shared" si="89"/>
        <v>0</v>
      </c>
      <c r="AF304" s="445">
        <f t="shared" si="89"/>
        <v>0</v>
      </c>
      <c r="AG304" s="445">
        <f t="shared" si="89"/>
        <v>0</v>
      </c>
      <c r="AH304" s="445">
        <f t="shared" si="89"/>
        <v>0</v>
      </c>
      <c r="AI304" s="443"/>
      <c r="AJ304" s="479"/>
      <c r="AK304" s="378" t="str">
        <f>_xll.BLUEMATRIX2("/servlet/excelData",E304,$B$1,$B304&amp;":"&amp;E$115&amp;":"&amp;$AI$114)</f>
        <v>#</v>
      </c>
      <c r="AL304" s="378" t="str">
        <f>_xll.BLUEMATRIX2("/servlet/excelData",F304,$B$1,$B304&amp;":"&amp;F$115&amp;":"&amp;$AI$114)</f>
        <v>#</v>
      </c>
      <c r="AM304" s="378" t="str">
        <f>_xll.BLUEMATRIX2("/servlet/excelData",G304,$B$1,$B304&amp;":"&amp;G$115&amp;":"&amp;$AI$114)</f>
        <v>#</v>
      </c>
      <c r="AN304" s="378" t="str">
        <f>_xll.BLUEMATRIX2("/servlet/excelData",H304,$B$1,$B304&amp;":"&amp;H$115&amp;":"&amp;$AI$114)</f>
        <v>#</v>
      </c>
      <c r="AO304" s="378" t="str">
        <f>_xll.BLUEMATRIX2("/servlet/excelData",I304,$B$1,$B304&amp;":"&amp;I$115&amp;":"&amp;$AI$114)</f>
        <v>#</v>
      </c>
      <c r="AP304" s="378" t="str">
        <f>_xll.BLUEMATRIX2("/servlet/excelData",J304,$B$1,$B304&amp;":"&amp;J$115&amp;":"&amp;$AI$114)</f>
        <v>#</v>
      </c>
      <c r="AQ304" s="378" t="str">
        <f>_xll.BLUEMATRIX2("/servlet/excelData",K304,$B$1,$B304&amp;":"&amp;K$115&amp;":"&amp;$AI$114)</f>
        <v>#</v>
      </c>
      <c r="AR304" s="378" t="str">
        <f>_xll.BLUEMATRIX2("/servlet/excelData",L304,$B$1,$B304&amp;":"&amp;L$115&amp;":"&amp;$AI$114)</f>
        <v>#</v>
      </c>
      <c r="AS304" s="378" t="str">
        <f>_xll.BLUEMATRIX2("/servlet/excelData",M304,$B$1,$B304&amp;":"&amp;M$115&amp;":"&amp;$AI$114)</f>
        <v>#</v>
      </c>
      <c r="AT304" s="378" t="str">
        <f>_xll.BLUEMATRIX2("/servlet/excelData",N304,$B$1,$B304&amp;":"&amp;N$115&amp;":"&amp;$AI$114)</f>
        <v>#</v>
      </c>
      <c r="AU304" s="378" t="str">
        <f>_xll.BLUEMATRIX2("/servlet/excelData",O304,$B$1,$B304&amp;":"&amp;O$115&amp;":"&amp;$AI$114)</f>
        <v>#</v>
      </c>
      <c r="AV304" s="378" t="str">
        <f>_xll.BLUEMATRIX2("/servlet/excelData",P304,$B$1,$B304&amp;":"&amp;P$115&amp;":"&amp;$AI$114)</f>
        <v>#</v>
      </c>
      <c r="AW304" s="378" t="str">
        <f>_xll.BLUEMATRIX2("/servlet/excelData",Q304,$B$1,$B304&amp;":"&amp;Q$115&amp;":"&amp;$AI$114)</f>
        <v>#</v>
      </c>
    </row>
    <row r="305" spans="1:49" ht="12.95" customHeight="1">
      <c r="A305" s="348" t="s">
        <v>976</v>
      </c>
      <c r="B305" s="350" t="s">
        <v>977</v>
      </c>
      <c r="C305" s="438" t="s">
        <v>978</v>
      </c>
      <c r="D305" s="446"/>
      <c r="E305" s="446"/>
      <c r="F305" s="446"/>
      <c r="G305" s="446"/>
      <c r="H305" s="446"/>
      <c r="I305" s="446"/>
      <c r="J305" s="446"/>
      <c r="K305" s="446"/>
      <c r="L305" s="446"/>
      <c r="M305" s="446"/>
      <c r="N305" s="446"/>
      <c r="O305" s="446"/>
      <c r="P305" s="446"/>
      <c r="Q305" s="446"/>
      <c r="R305" s="446"/>
      <c r="S305" s="444"/>
      <c r="T305" s="444"/>
      <c r="U305" s="444"/>
      <c r="V305" s="444"/>
      <c r="W305" s="444"/>
      <c r="X305" s="444"/>
      <c r="Y305" s="444"/>
      <c r="Z305" s="444"/>
      <c r="AA305" s="444"/>
      <c r="AB305" s="444"/>
      <c r="AC305" s="444"/>
      <c r="AD305" s="444"/>
      <c r="AE305" s="444"/>
      <c r="AF305" s="444"/>
      <c r="AG305" s="444"/>
      <c r="AH305" s="444"/>
      <c r="AI305" s="443"/>
      <c r="AJ305" s="479"/>
      <c r="AK305" s="378" t="str">
        <f>_xll.BLUEMATRIX2("/servlet/excelData",E305,$B$1,$B305&amp;":"&amp;E$115&amp;":"&amp;$AI$114)</f>
        <v>#</v>
      </c>
      <c r="AL305" s="378" t="str">
        <f>_xll.BLUEMATRIX2("/servlet/excelData",F305,$B$1,$B305&amp;":"&amp;F$115&amp;":"&amp;$AI$114)</f>
        <v>#</v>
      </c>
      <c r="AM305" s="378" t="str">
        <f>_xll.BLUEMATRIX2("/servlet/excelData",G305,$B$1,$B305&amp;":"&amp;G$115&amp;":"&amp;$AI$114)</f>
        <v>#</v>
      </c>
      <c r="AN305" s="378" t="str">
        <f>_xll.BLUEMATRIX2("/servlet/excelData",H305,$B$1,$B305&amp;":"&amp;H$115&amp;":"&amp;$AI$114)</f>
        <v>#</v>
      </c>
      <c r="AO305" s="378" t="str">
        <f>_xll.BLUEMATRIX2("/servlet/excelData",I305,$B$1,$B305&amp;":"&amp;I$115&amp;":"&amp;$AI$114)</f>
        <v>#</v>
      </c>
      <c r="AP305" s="378" t="str">
        <f>_xll.BLUEMATRIX2("/servlet/excelData",J305,$B$1,$B305&amp;":"&amp;J$115&amp;":"&amp;$AI$114)</f>
        <v>#</v>
      </c>
      <c r="AQ305" s="378" t="str">
        <f>_xll.BLUEMATRIX2("/servlet/excelData",K305,$B$1,$B305&amp;":"&amp;K$115&amp;":"&amp;$AI$114)</f>
        <v>#</v>
      </c>
      <c r="AR305" s="378" t="str">
        <f>_xll.BLUEMATRIX2("/servlet/excelData",L305,$B$1,$B305&amp;":"&amp;L$115&amp;":"&amp;$AI$114)</f>
        <v>#</v>
      </c>
      <c r="AS305" s="378" t="str">
        <f>_xll.BLUEMATRIX2("/servlet/excelData",M305,$B$1,$B305&amp;":"&amp;M$115&amp;":"&amp;$AI$114)</f>
        <v>#</v>
      </c>
      <c r="AT305" s="378" t="str">
        <f>_xll.BLUEMATRIX2("/servlet/excelData",N305,$B$1,$B305&amp;":"&amp;N$115&amp;":"&amp;$AI$114)</f>
        <v>#</v>
      </c>
      <c r="AU305" s="378" t="str">
        <f>_xll.BLUEMATRIX2("/servlet/excelData",O305,$B$1,$B305&amp;":"&amp;O$115&amp;":"&amp;$AI$114)</f>
        <v>#</v>
      </c>
      <c r="AV305" s="378" t="str">
        <f>_xll.BLUEMATRIX2("/servlet/excelData",P305,$B$1,$B305&amp;":"&amp;P$115&amp;":"&amp;$AI$114)</f>
        <v>#</v>
      </c>
      <c r="AW305" s="378" t="str">
        <f>_xll.BLUEMATRIX2("/servlet/excelData",Q305,$B$1,$B305&amp;":"&amp;Q$115&amp;":"&amp;$AI$114)</f>
        <v>#</v>
      </c>
    </row>
    <row r="306" spans="1:49" ht="12.95" customHeight="1">
      <c r="A306" s="348" t="s">
        <v>979</v>
      </c>
      <c r="B306" s="350" t="s">
        <v>980</v>
      </c>
      <c r="C306" s="438" t="s">
        <v>981</v>
      </c>
      <c r="D306" s="384"/>
      <c r="E306" s="384"/>
      <c r="F306" s="384"/>
      <c r="G306" s="384"/>
      <c r="H306" s="384"/>
      <c r="I306" s="384"/>
      <c r="J306" s="384"/>
      <c r="K306" s="384"/>
      <c r="L306" s="384"/>
      <c r="M306" s="384"/>
      <c r="N306" s="384"/>
      <c r="O306" s="384"/>
      <c r="P306" s="384"/>
      <c r="Q306" s="384"/>
      <c r="R306" s="446"/>
      <c r="S306" s="446"/>
      <c r="T306" s="446"/>
      <c r="U306" s="446"/>
      <c r="V306" s="446"/>
      <c r="W306" s="446"/>
      <c r="X306" s="446"/>
      <c r="Y306" s="446"/>
      <c r="Z306" s="446"/>
      <c r="AA306" s="446"/>
      <c r="AB306" s="446"/>
      <c r="AC306" s="446"/>
      <c r="AD306" s="446"/>
      <c r="AE306" s="446"/>
      <c r="AF306" s="446"/>
      <c r="AG306" s="446"/>
      <c r="AH306" s="446"/>
      <c r="AI306" s="443"/>
      <c r="AJ306" s="479"/>
      <c r="AK306" s="378" t="str">
        <f>_xll.BLUEMATRIX2("/servlet/excelData",E306,$B$1,$B306&amp;":"&amp;E$115&amp;":"&amp;$AI$114)</f>
        <v>#</v>
      </c>
      <c r="AL306" s="378" t="str">
        <f>_xll.BLUEMATRIX2("/servlet/excelData",F306,$B$1,$B306&amp;":"&amp;F$115&amp;":"&amp;$AI$114)</f>
        <v>#</v>
      </c>
      <c r="AM306" s="378" t="str">
        <f>_xll.BLUEMATRIX2("/servlet/excelData",G306,$B$1,$B306&amp;":"&amp;G$115&amp;":"&amp;$AI$114)</f>
        <v>#</v>
      </c>
      <c r="AN306" s="378" t="str">
        <f>_xll.BLUEMATRIX2("/servlet/excelData",H306,$B$1,$B306&amp;":"&amp;H$115&amp;":"&amp;$AI$114)</f>
        <v>#</v>
      </c>
      <c r="AO306" s="378" t="str">
        <f>_xll.BLUEMATRIX2("/servlet/excelData",I306,$B$1,$B306&amp;":"&amp;I$115&amp;":"&amp;$AI$114)</f>
        <v>#</v>
      </c>
      <c r="AP306" s="378" t="str">
        <f>_xll.BLUEMATRIX2("/servlet/excelData",J306,$B$1,$B306&amp;":"&amp;J$115&amp;":"&amp;$AI$114)</f>
        <v>#</v>
      </c>
      <c r="AQ306" s="378" t="str">
        <f>_xll.BLUEMATRIX2("/servlet/excelData",K306,$B$1,$B306&amp;":"&amp;K$115&amp;":"&amp;$AI$114)</f>
        <v>#</v>
      </c>
      <c r="AR306" s="378" t="str">
        <f>_xll.BLUEMATRIX2("/servlet/excelData",L306,$B$1,$B306&amp;":"&amp;L$115&amp;":"&amp;$AI$114)</f>
        <v>#</v>
      </c>
      <c r="AS306" s="378" t="str">
        <f>_xll.BLUEMATRIX2("/servlet/excelData",M306,$B$1,$B306&amp;":"&amp;M$115&amp;":"&amp;$AI$114)</f>
        <v>#</v>
      </c>
      <c r="AT306" s="378" t="str">
        <f>_xll.BLUEMATRIX2("/servlet/excelData",N306,$B$1,$B306&amp;":"&amp;N$115&amp;":"&amp;$AI$114)</f>
        <v>#</v>
      </c>
      <c r="AU306" s="378" t="str">
        <f>_xll.BLUEMATRIX2("/servlet/excelData",O306,$B$1,$B306&amp;":"&amp;O$115&amp;":"&amp;$AI$114)</f>
        <v>#</v>
      </c>
      <c r="AV306" s="378" t="str">
        <f>_xll.BLUEMATRIX2("/servlet/excelData",P306,$B$1,$B306&amp;":"&amp;P$115&amp;":"&amp;$AI$114)</f>
        <v>#</v>
      </c>
      <c r="AW306" s="378" t="str">
        <f>_xll.BLUEMATRIX2("/servlet/excelData",Q306,$B$1,$B306&amp;":"&amp;Q$115&amp;":"&amp;$AI$114)</f>
        <v>#</v>
      </c>
    </row>
    <row r="307" spans="1:49" ht="12.95" customHeight="1">
      <c r="A307" s="348" t="s">
        <v>982</v>
      </c>
      <c r="B307" s="350" t="s">
        <v>983</v>
      </c>
      <c r="C307" s="438" t="s">
        <v>984</v>
      </c>
      <c r="D307" s="446"/>
      <c r="E307" s="446"/>
      <c r="F307" s="446"/>
      <c r="G307" s="446"/>
      <c r="H307" s="446"/>
      <c r="I307" s="446">
        <f t="shared" ref="I307:Q307" si="90">IF(ISERROR(-I163/I162),"nm",-I163/I162)</f>
        <v>-0.18292682926829143</v>
      </c>
      <c r="J307" s="446">
        <f t="shared" si="90"/>
        <v>0.27487131288182642</v>
      </c>
      <c r="K307" s="446">
        <f t="shared" si="90"/>
        <v>0.27435077365280752</v>
      </c>
      <c r="L307" s="446">
        <f t="shared" si="90"/>
        <v>0.36774341878376815</v>
      </c>
      <c r="M307" s="446">
        <f t="shared" si="90"/>
        <v>0.26275148904797913</v>
      </c>
      <c r="N307" s="446">
        <f t="shared" si="90"/>
        <v>0.3000000000000001</v>
      </c>
      <c r="O307" s="446">
        <f t="shared" si="90"/>
        <v>0.3</v>
      </c>
      <c r="P307" s="446">
        <f t="shared" si="90"/>
        <v>0.3</v>
      </c>
      <c r="Q307" s="446">
        <f t="shared" si="90"/>
        <v>0.30000000000000004</v>
      </c>
      <c r="R307" s="448"/>
      <c r="S307" s="448"/>
      <c r="T307" s="448" t="str">
        <f t="shared" ref="T307:AH307" si="91">IF(ISERROR(-T163/T162),"nm",-T163/T162)</f>
        <v>nm</v>
      </c>
      <c r="U307" s="448" t="str">
        <f t="shared" si="91"/>
        <v>nm</v>
      </c>
      <c r="V307" s="448" t="str">
        <f t="shared" si="91"/>
        <v>nm</v>
      </c>
      <c r="W307" s="448" t="str">
        <f t="shared" si="91"/>
        <v>nm</v>
      </c>
      <c r="X307" s="448" t="str">
        <f t="shared" si="91"/>
        <v>nm</v>
      </c>
      <c r="Y307" s="448" t="str">
        <f t="shared" si="91"/>
        <v>nm</v>
      </c>
      <c r="Z307" s="448" t="str">
        <f t="shared" si="91"/>
        <v>nm</v>
      </c>
      <c r="AA307" s="448" t="str">
        <f t="shared" si="91"/>
        <v>nm</v>
      </c>
      <c r="AB307" s="448" t="str">
        <f t="shared" si="91"/>
        <v>nm</v>
      </c>
      <c r="AC307" s="448" t="str">
        <f t="shared" si="91"/>
        <v>nm</v>
      </c>
      <c r="AD307" s="448" t="str">
        <f t="shared" si="91"/>
        <v>nm</v>
      </c>
      <c r="AE307" s="448" t="str">
        <f t="shared" si="91"/>
        <v>nm</v>
      </c>
      <c r="AF307" s="448" t="str">
        <f t="shared" si="91"/>
        <v>nm</v>
      </c>
      <c r="AG307" s="448" t="str">
        <f t="shared" si="91"/>
        <v>nm</v>
      </c>
      <c r="AH307" s="448" t="str">
        <f t="shared" si="91"/>
        <v>nm</v>
      </c>
      <c r="AI307" s="443"/>
      <c r="AJ307" s="479"/>
      <c r="AK307" s="378" t="str">
        <f>_xll.BLUEMATRIX2("/servlet/excelData",E307,$B$1,$B307&amp;":"&amp;E$115&amp;":"&amp;$AI$114)</f>
        <v>#</v>
      </c>
      <c r="AL307" s="378" t="str">
        <f>_xll.BLUEMATRIX2("/servlet/excelData",F307,$B$1,$B307&amp;":"&amp;F$115&amp;":"&amp;$AI$114)</f>
        <v>#</v>
      </c>
      <c r="AM307" s="378" t="str">
        <f>_xll.BLUEMATRIX2("/servlet/excelData",G307,$B$1,$B307&amp;":"&amp;G$115&amp;":"&amp;$AI$114)</f>
        <v>#</v>
      </c>
      <c r="AN307" s="378" t="str">
        <f>_xll.BLUEMATRIX2("/servlet/excelData",H307,$B$1,$B307&amp;":"&amp;H$115&amp;":"&amp;$AI$114)</f>
        <v>#</v>
      </c>
      <c r="AO307" s="378" t="str">
        <f>_xll.BLUEMATRIX2("/servlet/excelData",I307,$B$1,$B307&amp;":"&amp;I$115&amp;":"&amp;$AI$114)</f>
        <v>#</v>
      </c>
      <c r="AP307" s="378" t="str">
        <f>_xll.BLUEMATRIX2("/servlet/excelData",J307,$B$1,$B307&amp;":"&amp;J$115&amp;":"&amp;$AI$114)</f>
        <v>#</v>
      </c>
      <c r="AQ307" s="378" t="str">
        <f>_xll.BLUEMATRIX2("/servlet/excelData",K307,$B$1,$B307&amp;":"&amp;K$115&amp;":"&amp;$AI$114)</f>
        <v>#</v>
      </c>
      <c r="AR307" s="378" t="str">
        <f>_xll.BLUEMATRIX2("/servlet/excelData",L307,$B$1,$B307&amp;":"&amp;L$115&amp;":"&amp;$AI$114)</f>
        <v>#</v>
      </c>
      <c r="AS307" s="378" t="str">
        <f>_xll.BLUEMATRIX2("/servlet/excelData",M307,$B$1,$B307&amp;":"&amp;M$115&amp;":"&amp;$AI$114)</f>
        <v>#</v>
      </c>
      <c r="AT307" s="378" t="str">
        <f>_xll.BLUEMATRIX2("/servlet/excelData",N307,$B$1,$B307&amp;":"&amp;N$115&amp;":"&amp;$AI$114)</f>
        <v>#</v>
      </c>
      <c r="AU307" s="378" t="str">
        <f>_xll.BLUEMATRIX2("/servlet/excelData",O307,$B$1,$B307&amp;":"&amp;O$115&amp;":"&amp;$AI$114)</f>
        <v>#</v>
      </c>
      <c r="AV307" s="378" t="str">
        <f>_xll.BLUEMATRIX2("/servlet/excelData",P307,$B$1,$B307&amp;":"&amp;P$115&amp;":"&amp;$AI$114)</f>
        <v>#</v>
      </c>
      <c r="AW307" s="378" t="str">
        <f>_xll.BLUEMATRIX2("/servlet/excelData",Q307,$B$1,$B307&amp;":"&amp;Q$115&amp;":"&amp;$AI$114)</f>
        <v>#</v>
      </c>
    </row>
    <row r="308" spans="1:49" ht="12.95" customHeight="1">
      <c r="A308" s="348" t="s">
        <v>985</v>
      </c>
      <c r="B308" s="350" t="s">
        <v>986</v>
      </c>
      <c r="C308" s="438" t="s">
        <v>987</v>
      </c>
      <c r="D308" s="444"/>
      <c r="E308" s="444"/>
      <c r="F308" s="444"/>
      <c r="G308" s="444"/>
      <c r="H308" s="444"/>
      <c r="I308" s="444">
        <f t="shared" ref="I308:Q308" si="92">+I279/I288*100</f>
        <v>-0.92646037104436707</v>
      </c>
      <c r="J308" s="444">
        <f t="shared" si="92"/>
        <v>4.1457227110370996</v>
      </c>
      <c r="K308" s="444">
        <f t="shared" si="92"/>
        <v>-12.347192427617266</v>
      </c>
      <c r="L308" s="444">
        <f t="shared" si="92"/>
        <v>-15.315206818057991</v>
      </c>
      <c r="M308" s="444">
        <f t="shared" si="92"/>
        <v>1.6961075560900856</v>
      </c>
      <c r="N308" s="444">
        <f t="shared" si="92"/>
        <v>4.0620471859123848</v>
      </c>
      <c r="O308" s="444">
        <f t="shared" si="92"/>
        <v>8.4731718794705237</v>
      </c>
      <c r="P308" s="444">
        <f t="shared" si="92"/>
        <v>10.981420036525172</v>
      </c>
      <c r="Q308" s="444">
        <f t="shared" si="92"/>
        <v>12.009487897871114</v>
      </c>
      <c r="R308" s="444"/>
      <c r="S308" s="444"/>
      <c r="T308" s="444" t="e">
        <f t="shared" ref="T308:AH308" si="93">+T279/T288*100</f>
        <v>#DIV/0!</v>
      </c>
      <c r="U308" s="444" t="e">
        <f t="shared" si="93"/>
        <v>#DIV/0!</v>
      </c>
      <c r="V308" s="444" t="e">
        <f t="shared" si="93"/>
        <v>#DIV/0!</v>
      </c>
      <c r="W308" s="444" t="e">
        <f t="shared" si="93"/>
        <v>#DIV/0!</v>
      </c>
      <c r="X308" s="444" t="e">
        <f t="shared" si="93"/>
        <v>#DIV/0!</v>
      </c>
      <c r="Y308" s="444" t="e">
        <f t="shared" si="93"/>
        <v>#DIV/0!</v>
      </c>
      <c r="Z308" s="444" t="e">
        <f t="shared" si="93"/>
        <v>#DIV/0!</v>
      </c>
      <c r="AA308" s="444" t="e">
        <f t="shared" si="93"/>
        <v>#DIV/0!</v>
      </c>
      <c r="AB308" s="444" t="e">
        <f t="shared" si="93"/>
        <v>#DIV/0!</v>
      </c>
      <c r="AC308" s="444" t="e">
        <f t="shared" si="93"/>
        <v>#DIV/0!</v>
      </c>
      <c r="AD308" s="444" t="e">
        <f t="shared" si="93"/>
        <v>#DIV/0!</v>
      </c>
      <c r="AE308" s="444" t="e">
        <f t="shared" si="93"/>
        <v>#DIV/0!</v>
      </c>
      <c r="AF308" s="444" t="e">
        <f t="shared" si="93"/>
        <v>#DIV/0!</v>
      </c>
      <c r="AG308" s="444" t="e">
        <f t="shared" si="93"/>
        <v>#DIV/0!</v>
      </c>
      <c r="AH308" s="444" t="e">
        <f t="shared" si="93"/>
        <v>#DIV/0!</v>
      </c>
      <c r="AI308" s="443"/>
      <c r="AJ308" s="479"/>
      <c r="AK308" s="378" t="str">
        <f>_xll.BLUEMATRIX2("/servlet/excelData",E308,$B$1,$B308&amp;":"&amp;E$115&amp;":"&amp;$AI$114)</f>
        <v>#</v>
      </c>
      <c r="AL308" s="378" t="str">
        <f>_xll.BLUEMATRIX2("/servlet/excelData",F308,$B$1,$B308&amp;":"&amp;F$115&amp;":"&amp;$AI$114)</f>
        <v>#</v>
      </c>
      <c r="AM308" s="378" t="str">
        <f>_xll.BLUEMATRIX2("/servlet/excelData",G308,$B$1,$B308&amp;":"&amp;G$115&amp;":"&amp;$AI$114)</f>
        <v>#</v>
      </c>
      <c r="AN308" s="378" t="str">
        <f>_xll.BLUEMATRIX2("/servlet/excelData",H308,$B$1,$B308&amp;":"&amp;H$115&amp;":"&amp;$AI$114)</f>
        <v>#</v>
      </c>
      <c r="AO308" s="378" t="str">
        <f>_xll.BLUEMATRIX2("/servlet/excelData",I308,$B$1,$B308&amp;":"&amp;I$115&amp;":"&amp;$AI$114)</f>
        <v>#</v>
      </c>
      <c r="AP308" s="378" t="str">
        <f>_xll.BLUEMATRIX2("/servlet/excelData",J308,$B$1,$B308&amp;":"&amp;J$115&amp;":"&amp;$AI$114)</f>
        <v>#</v>
      </c>
      <c r="AQ308" s="378" t="str">
        <f>_xll.BLUEMATRIX2("/servlet/excelData",K308,$B$1,$B308&amp;":"&amp;K$115&amp;":"&amp;$AI$114)</f>
        <v>#</v>
      </c>
      <c r="AR308" s="378" t="str">
        <f>_xll.BLUEMATRIX2("/servlet/excelData",L308,$B$1,$B308&amp;":"&amp;L$115&amp;":"&amp;$AI$114)</f>
        <v>#</v>
      </c>
      <c r="AS308" s="378" t="str">
        <f>_xll.BLUEMATRIX2("/servlet/excelData",M308,$B$1,$B308&amp;":"&amp;M$115&amp;":"&amp;$AI$114)</f>
        <v>#</v>
      </c>
      <c r="AT308" s="378" t="str">
        <f>_xll.BLUEMATRIX2("/servlet/excelData",N308,$B$1,$B308&amp;":"&amp;N$115&amp;":"&amp;$AI$114)</f>
        <v>#</v>
      </c>
      <c r="AU308" s="378" t="str">
        <f>_xll.BLUEMATRIX2("/servlet/excelData",O308,$B$1,$B308&amp;":"&amp;O$115&amp;":"&amp;$AI$114)</f>
        <v>#</v>
      </c>
      <c r="AV308" s="378" t="str">
        <f>_xll.BLUEMATRIX2("/servlet/excelData",P308,$B$1,$B308&amp;":"&amp;P$115&amp;":"&amp;$AI$114)</f>
        <v>#</v>
      </c>
      <c r="AW308" s="378" t="str">
        <f>_xll.BLUEMATRIX2("/servlet/excelData",Q308,$B$1,$B308&amp;":"&amp;Q$115&amp;":"&amp;$AI$114)</f>
        <v>#</v>
      </c>
    </row>
    <row r="309" spans="1:49" ht="12.95" customHeight="1">
      <c r="A309" s="348" t="s">
        <v>988</v>
      </c>
      <c r="B309" s="350" t="s">
        <v>989</v>
      </c>
      <c r="C309" s="438" t="s">
        <v>990</v>
      </c>
      <c r="D309" s="490"/>
      <c r="E309" s="490"/>
      <c r="F309" s="490"/>
      <c r="G309" s="490"/>
      <c r="H309" s="490"/>
      <c r="I309" s="490">
        <f>IF(ISERROR(I229/I286),"nm",I229/I286)/HY!$D$653</f>
        <v>1.6919676652899214</v>
      </c>
      <c r="J309" s="490">
        <f>IF(ISERROR(J229/J286),"nm",J229/J286)/HY!$D$653</f>
        <v>1.647735433491321</v>
      </c>
      <c r="K309" s="490">
        <f>IF(ISERROR(K229/K286),"nm",K229/K286)/HY!$D$653</f>
        <v>1.4040139733952079</v>
      </c>
      <c r="L309" s="490">
        <f>IF(ISERROR(L229/L286),"nm",L229/L286)/HY!$D$653</f>
        <v>1.4326173468953716</v>
      </c>
      <c r="M309" s="490">
        <f>IF(ISERROR(M229/M286),"nm",M229/M286)/HY!$D$653</f>
        <v>1.1465997185340948</v>
      </c>
      <c r="N309" s="490">
        <f>IF(ISERROR(N229/N286),"nm",N229/N286)/HY!$D$653</f>
        <v>1.1343178819144484</v>
      </c>
      <c r="O309" s="490">
        <f>IF(ISERROR(O229/O286),"nm",O229/O286)/HY!$D$653</f>
        <v>1.162343584332902</v>
      </c>
      <c r="P309" s="490">
        <f>IF(ISERROR(P229/P286),"nm",P229/P286)/HY!$D$653</f>
        <v>1.2124940514735381</v>
      </c>
      <c r="Q309" s="490">
        <f>IF(ISERROR(Q229/Q286),"nm",Q229/Q286)/HY!$D$653</f>
        <v>1.2748550633198681</v>
      </c>
      <c r="R309" s="442"/>
      <c r="S309" s="442"/>
      <c r="T309" s="442" t="str">
        <f t="shared" ref="T309:AH309" si="94">IF(ISERROR(T229/T286),"nm",T229/T286)</f>
        <v>nm</v>
      </c>
      <c r="U309" s="442" t="str">
        <f t="shared" si="94"/>
        <v>nm</v>
      </c>
      <c r="V309" s="442" t="str">
        <f t="shared" si="94"/>
        <v>nm</v>
      </c>
      <c r="W309" s="442" t="str">
        <f t="shared" si="94"/>
        <v>nm</v>
      </c>
      <c r="X309" s="442" t="str">
        <f t="shared" si="94"/>
        <v>nm</v>
      </c>
      <c r="Y309" s="442" t="str">
        <f t="shared" si="94"/>
        <v>nm</v>
      </c>
      <c r="Z309" s="442" t="str">
        <f t="shared" si="94"/>
        <v>nm</v>
      </c>
      <c r="AA309" s="442" t="str">
        <f t="shared" si="94"/>
        <v>nm</v>
      </c>
      <c r="AB309" s="442" t="str">
        <f t="shared" si="94"/>
        <v>nm</v>
      </c>
      <c r="AC309" s="442" t="str">
        <f t="shared" si="94"/>
        <v>nm</v>
      </c>
      <c r="AD309" s="442" t="str">
        <f t="shared" si="94"/>
        <v>nm</v>
      </c>
      <c r="AE309" s="442" t="str">
        <f t="shared" si="94"/>
        <v>nm</v>
      </c>
      <c r="AF309" s="442" t="str">
        <f t="shared" si="94"/>
        <v>nm</v>
      </c>
      <c r="AG309" s="442" t="str">
        <f t="shared" si="94"/>
        <v>nm</v>
      </c>
      <c r="AH309" s="442" t="str">
        <f t="shared" si="94"/>
        <v>nm</v>
      </c>
      <c r="AI309" s="443"/>
      <c r="AJ309" s="479"/>
      <c r="AK309" s="378" t="str">
        <f>_xll.BLUEMATRIX2("/servlet/excelData",E309,$B$1,$B309&amp;":"&amp;E$115&amp;":"&amp;$AI$114)</f>
        <v>#</v>
      </c>
      <c r="AL309" s="378" t="str">
        <f>_xll.BLUEMATRIX2("/servlet/excelData",F309,$B$1,$B309&amp;":"&amp;F$115&amp;":"&amp;$AI$114)</f>
        <v>#</v>
      </c>
      <c r="AM309" s="378" t="str">
        <f>_xll.BLUEMATRIX2("/servlet/excelData",G309,$B$1,$B309&amp;":"&amp;G$115&amp;":"&amp;$AI$114)</f>
        <v>#</v>
      </c>
      <c r="AN309" s="378" t="str">
        <f>_xll.BLUEMATRIX2("/servlet/excelData",H309,$B$1,$B309&amp;":"&amp;H$115&amp;":"&amp;$AI$114)</f>
        <v>#</v>
      </c>
      <c r="AO309" s="378" t="str">
        <f>_xll.BLUEMATRIX2("/servlet/excelData",I309,$B$1,$B309&amp;":"&amp;I$115&amp;":"&amp;$AI$114)</f>
        <v>#</v>
      </c>
      <c r="AP309" s="378" t="str">
        <f>_xll.BLUEMATRIX2("/servlet/excelData",J309,$B$1,$B309&amp;":"&amp;J$115&amp;":"&amp;$AI$114)</f>
        <v>#</v>
      </c>
      <c r="AQ309" s="378" t="str">
        <f>_xll.BLUEMATRIX2("/servlet/excelData",K309,$B$1,$B309&amp;":"&amp;K$115&amp;":"&amp;$AI$114)</f>
        <v>#</v>
      </c>
      <c r="AR309" s="378" t="str">
        <f>_xll.BLUEMATRIX2("/servlet/excelData",L309,$B$1,$B309&amp;":"&amp;L$115&amp;":"&amp;$AI$114)</f>
        <v>#</v>
      </c>
      <c r="AS309" s="378" t="str">
        <f>_xll.BLUEMATRIX2("/servlet/excelData",M309,$B$1,$B309&amp;":"&amp;M$115&amp;":"&amp;$AI$114)</f>
        <v>#</v>
      </c>
      <c r="AT309" s="378" t="str">
        <f>_xll.BLUEMATRIX2("/servlet/excelData",N309,$B$1,$B309&amp;":"&amp;N$115&amp;":"&amp;$AI$114)</f>
        <v>#</v>
      </c>
      <c r="AU309" s="378" t="str">
        <f>_xll.BLUEMATRIX2("/servlet/excelData",O309,$B$1,$B309&amp;":"&amp;O$115&amp;":"&amp;$AI$114)</f>
        <v>#</v>
      </c>
      <c r="AV309" s="378" t="str">
        <f>_xll.BLUEMATRIX2("/servlet/excelData",P309,$B$1,$B309&amp;":"&amp;P$115&amp;":"&amp;$AI$114)</f>
        <v>#</v>
      </c>
      <c r="AW309" s="378" t="str">
        <f>_xll.BLUEMATRIX2("/servlet/excelData",Q309,$B$1,$B309&amp;":"&amp;Q$115&amp;":"&amp;$AI$114)</f>
        <v>#</v>
      </c>
    </row>
    <row r="310" spans="1:49" ht="12.95" customHeight="1">
      <c r="A310" s="348" t="s">
        <v>991</v>
      </c>
      <c r="B310" s="350" t="s">
        <v>992</v>
      </c>
      <c r="C310" s="438" t="s">
        <v>993</v>
      </c>
      <c r="D310" s="490"/>
      <c r="E310" s="490"/>
      <c r="F310" s="490"/>
      <c r="G310" s="490"/>
      <c r="H310" s="490"/>
      <c r="I310" s="490">
        <f>IF(ISERROR(I234/I286),"nm",I234/I286)/HY!$D$653</f>
        <v>1.0201475050432769</v>
      </c>
      <c r="J310" s="490">
        <f>IF(ISERROR(J234/J286),"nm",J234/J286)/HY!$D$653</f>
        <v>1.0376640158563313</v>
      </c>
      <c r="K310" s="490">
        <f>IF(ISERROR(K234/K286),"nm",K234/K286)/HY!$D$653</f>
        <v>0.81757428541555044</v>
      </c>
      <c r="L310" s="490">
        <f>IF(ISERROR(L234/L286),"nm",L234/L286)/HY!$D$653</f>
        <v>0.83411089674868366</v>
      </c>
      <c r="M310" s="490">
        <f>IF(ISERROR(M234/M286),"nm",M234/M286)/HY!$D$653</f>
        <v>0.73453420624462495</v>
      </c>
      <c r="N310" s="490">
        <f>IF(ISERROR(N234/N286),"nm",N234/N286)/HY!$D$653</f>
        <v>0.72655320551988112</v>
      </c>
      <c r="O310" s="490">
        <f>IF(ISERROR(O234/O286),"nm",O234/O286)/HY!$D$653</f>
        <v>0.75863239476885913</v>
      </c>
      <c r="P310" s="490">
        <f>IF(ISERROR(P234/P286),"nm",P234/P286)/HY!$D$653</f>
        <v>0.81244057112374879</v>
      </c>
      <c r="Q310" s="490">
        <f>IF(ISERROR(Q234/Q286),"nm",Q234/Q286)/HY!$D$653</f>
        <v>0.87809685463232123</v>
      </c>
      <c r="R310" s="442"/>
      <c r="S310" s="442"/>
      <c r="T310" s="442" t="str">
        <f t="shared" ref="T310:AH310" si="95">IF(ISERROR(T234/T286),"nm",T234/T286)</f>
        <v>nm</v>
      </c>
      <c r="U310" s="442" t="str">
        <f t="shared" si="95"/>
        <v>nm</v>
      </c>
      <c r="V310" s="442" t="str">
        <f t="shared" si="95"/>
        <v>nm</v>
      </c>
      <c r="W310" s="442" t="str">
        <f t="shared" si="95"/>
        <v>nm</v>
      </c>
      <c r="X310" s="442" t="str">
        <f t="shared" si="95"/>
        <v>nm</v>
      </c>
      <c r="Y310" s="442" t="str">
        <f t="shared" si="95"/>
        <v>nm</v>
      </c>
      <c r="Z310" s="442" t="str">
        <f t="shared" si="95"/>
        <v>nm</v>
      </c>
      <c r="AA310" s="442" t="str">
        <f t="shared" si="95"/>
        <v>nm</v>
      </c>
      <c r="AB310" s="442" t="str">
        <f t="shared" si="95"/>
        <v>nm</v>
      </c>
      <c r="AC310" s="442" t="str">
        <f t="shared" si="95"/>
        <v>nm</v>
      </c>
      <c r="AD310" s="442" t="str">
        <f t="shared" si="95"/>
        <v>nm</v>
      </c>
      <c r="AE310" s="442" t="str">
        <f t="shared" si="95"/>
        <v>nm</v>
      </c>
      <c r="AF310" s="442" t="str">
        <f t="shared" si="95"/>
        <v>nm</v>
      </c>
      <c r="AG310" s="442" t="str">
        <f t="shared" si="95"/>
        <v>nm</v>
      </c>
      <c r="AH310" s="442" t="str">
        <f t="shared" si="95"/>
        <v>nm</v>
      </c>
      <c r="AI310" s="443"/>
      <c r="AJ310" s="479"/>
      <c r="AK310" s="378" t="str">
        <f>_xll.BLUEMATRIX2("/servlet/excelData",E310,$B$1,$B310&amp;":"&amp;E$115&amp;":"&amp;$AI$114)</f>
        <v>#</v>
      </c>
      <c r="AL310" s="378" t="str">
        <f>_xll.BLUEMATRIX2("/servlet/excelData",F310,$B$1,$B310&amp;":"&amp;F$115&amp;":"&amp;$AI$114)</f>
        <v>#</v>
      </c>
      <c r="AM310" s="378" t="str">
        <f>_xll.BLUEMATRIX2("/servlet/excelData",G310,$B$1,$B310&amp;":"&amp;G$115&amp;":"&amp;$AI$114)</f>
        <v>#</v>
      </c>
      <c r="AN310" s="378" t="str">
        <f>_xll.BLUEMATRIX2("/servlet/excelData",H310,$B$1,$B310&amp;":"&amp;H$115&amp;":"&amp;$AI$114)</f>
        <v>#</v>
      </c>
      <c r="AO310" s="378" t="str">
        <f>_xll.BLUEMATRIX2("/servlet/excelData",I310,$B$1,$B310&amp;":"&amp;I$115&amp;":"&amp;$AI$114)</f>
        <v>#</v>
      </c>
      <c r="AP310" s="378" t="str">
        <f>_xll.BLUEMATRIX2("/servlet/excelData",J310,$B$1,$B310&amp;":"&amp;J$115&amp;":"&amp;$AI$114)</f>
        <v>#</v>
      </c>
      <c r="AQ310" s="378" t="str">
        <f>_xll.BLUEMATRIX2("/servlet/excelData",K310,$B$1,$B310&amp;":"&amp;K$115&amp;":"&amp;$AI$114)</f>
        <v>#</v>
      </c>
      <c r="AR310" s="378" t="str">
        <f>_xll.BLUEMATRIX2("/servlet/excelData",L310,$B$1,$B310&amp;":"&amp;L$115&amp;":"&amp;$AI$114)</f>
        <v>#</v>
      </c>
      <c r="AS310" s="378" t="str">
        <f>_xll.BLUEMATRIX2("/servlet/excelData",M310,$B$1,$B310&amp;":"&amp;M$115&amp;":"&amp;$AI$114)</f>
        <v>#</v>
      </c>
      <c r="AT310" s="378" t="str">
        <f>_xll.BLUEMATRIX2("/servlet/excelData",N310,$B$1,$B310&amp;":"&amp;N$115&amp;":"&amp;$AI$114)</f>
        <v>#</v>
      </c>
      <c r="AU310" s="378" t="str">
        <f>_xll.BLUEMATRIX2("/servlet/excelData",O310,$B$1,$B310&amp;":"&amp;O$115&amp;":"&amp;$AI$114)</f>
        <v>#</v>
      </c>
      <c r="AV310" s="378" t="str">
        <f>_xll.BLUEMATRIX2("/servlet/excelData",P310,$B$1,$B310&amp;":"&amp;P$115&amp;":"&amp;$AI$114)</f>
        <v>#</v>
      </c>
      <c r="AW310" s="378" t="str">
        <f>_xll.BLUEMATRIX2("/servlet/excelData",Q310,$B$1,$B310&amp;":"&amp;Q$115&amp;":"&amp;$AI$114)</f>
        <v>#</v>
      </c>
    </row>
    <row r="311" spans="1:49" ht="12.95" customHeight="1">
      <c r="A311" s="348"/>
      <c r="B311" s="350"/>
      <c r="C311" s="447"/>
      <c r="D311" s="443"/>
      <c r="E311" s="443"/>
      <c r="F311" s="443"/>
      <c r="G311" s="443"/>
      <c r="H311" s="443"/>
      <c r="I311" s="443"/>
      <c r="J311" s="443"/>
      <c r="K311" s="443"/>
      <c r="L311" s="443"/>
      <c r="M311" s="443"/>
      <c r="N311" s="443"/>
      <c r="O311" s="443"/>
      <c r="P311" s="443"/>
      <c r="Q311" s="443"/>
      <c r="R311" s="443"/>
      <c r="S311" s="443"/>
      <c r="T311" s="443"/>
      <c r="U311" s="443"/>
      <c r="V311" s="443"/>
      <c r="W311" s="443"/>
      <c r="X311" s="443"/>
      <c r="Y311" s="443"/>
      <c r="Z311" s="443"/>
      <c r="AA311" s="443"/>
      <c r="AB311" s="443"/>
      <c r="AC311" s="443"/>
      <c r="AD311" s="443"/>
      <c r="AE311" s="443"/>
      <c r="AF311" s="443"/>
      <c r="AG311" s="443"/>
      <c r="AH311" s="443"/>
      <c r="AI311" s="443"/>
      <c r="AJ311" s="477"/>
      <c r="AK311" s="351"/>
      <c r="AL311" s="351"/>
      <c r="AM311" s="351"/>
      <c r="AN311" s="351"/>
      <c r="AO311" s="351"/>
      <c r="AP311" s="351"/>
      <c r="AQ311" s="351"/>
      <c r="AR311" s="351"/>
      <c r="AS311" s="351"/>
      <c r="AT311" s="351"/>
      <c r="AU311" s="351"/>
      <c r="AV311" s="351"/>
      <c r="AW311" s="351"/>
    </row>
    <row r="312" spans="1:49" ht="12.95" customHeight="1">
      <c r="A312" s="348"/>
      <c r="B312" s="350"/>
      <c r="C312" s="447"/>
      <c r="D312" s="443"/>
      <c r="E312" s="443"/>
      <c r="F312" s="449"/>
      <c r="G312" s="449"/>
      <c r="H312" s="449"/>
      <c r="I312" s="449"/>
      <c r="J312" s="443"/>
      <c r="K312" s="449"/>
      <c r="L312" s="443"/>
      <c r="M312" s="443"/>
      <c r="N312" s="443"/>
      <c r="O312" s="443"/>
      <c r="P312" s="443"/>
      <c r="Q312" s="443"/>
      <c r="R312" s="449"/>
      <c r="S312" s="443"/>
      <c r="T312" s="443"/>
      <c r="U312" s="443"/>
      <c r="V312" s="443"/>
      <c r="W312" s="443"/>
      <c r="X312" s="443"/>
      <c r="Y312" s="443"/>
      <c r="Z312" s="443"/>
      <c r="AA312" s="443"/>
      <c r="AB312" s="443"/>
      <c r="AC312" s="443"/>
      <c r="AD312" s="443"/>
      <c r="AE312" s="443"/>
      <c r="AF312" s="443"/>
      <c r="AG312" s="443"/>
      <c r="AH312" s="443"/>
      <c r="AI312" s="443"/>
      <c r="AJ312" s="477"/>
      <c r="AK312" s="351"/>
      <c r="AL312" s="351"/>
      <c r="AM312" s="351"/>
      <c r="AN312" s="351"/>
      <c r="AO312" s="351"/>
      <c r="AP312" s="351"/>
      <c r="AQ312" s="351"/>
      <c r="AR312" s="351"/>
      <c r="AS312" s="351"/>
      <c r="AT312" s="351"/>
      <c r="AU312" s="351"/>
      <c r="AV312" s="351"/>
      <c r="AW312" s="351"/>
    </row>
    <row r="313" spans="1:49" ht="15" customHeight="1">
      <c r="A313" s="368"/>
      <c r="B313" s="350"/>
      <c r="C313" s="369" t="s">
        <v>994</v>
      </c>
      <c r="D313" s="370"/>
      <c r="E313" s="370"/>
      <c r="F313" s="370"/>
      <c r="G313" s="370"/>
      <c r="H313" s="370"/>
      <c r="I313" s="370"/>
      <c r="J313" s="370"/>
      <c r="K313" s="370"/>
      <c r="L313" s="370"/>
      <c r="M313" s="370"/>
      <c r="N313" s="370"/>
      <c r="O313" s="370"/>
      <c r="P313" s="370"/>
      <c r="Q313" s="370"/>
      <c r="R313" s="370"/>
      <c r="S313" s="370"/>
      <c r="T313" s="370"/>
      <c r="U313" s="370"/>
      <c r="V313" s="370"/>
      <c r="W313" s="370"/>
      <c r="X313" s="370"/>
      <c r="Y313" s="370"/>
      <c r="Z313" s="370"/>
      <c r="AA313" s="370"/>
      <c r="AB313" s="370"/>
      <c r="AC313" s="370"/>
      <c r="AD313" s="370"/>
      <c r="AE313" s="370"/>
      <c r="AF313" s="370"/>
      <c r="AG313" s="370"/>
      <c r="AH313" s="370"/>
      <c r="AI313" s="328"/>
      <c r="AJ313" s="477"/>
      <c r="AK313" s="351"/>
      <c r="AL313" s="351"/>
      <c r="AM313" s="351"/>
      <c r="AN313" s="351"/>
      <c r="AO313" s="351"/>
      <c r="AP313" s="351"/>
      <c r="AQ313" s="351"/>
      <c r="AR313" s="351"/>
      <c r="AS313" s="351"/>
      <c r="AT313" s="351"/>
      <c r="AU313" s="351"/>
      <c r="AV313" s="351"/>
      <c r="AW313" s="351"/>
    </row>
    <row r="314" spans="1:49" ht="15" customHeight="1">
      <c r="A314" s="368"/>
      <c r="B314" s="350"/>
      <c r="C314" s="450" t="s">
        <v>995</v>
      </c>
      <c r="D314" s="327"/>
      <c r="E314" s="327"/>
      <c r="F314" s="327"/>
      <c r="G314" s="327"/>
      <c r="H314" s="327"/>
      <c r="I314" s="327"/>
      <c r="J314" s="327"/>
      <c r="K314" s="327"/>
      <c r="L314" s="327"/>
      <c r="M314" s="327"/>
      <c r="N314" s="327"/>
      <c r="O314" s="327"/>
      <c r="P314" s="327"/>
      <c r="Q314" s="327"/>
      <c r="R314" s="327"/>
      <c r="S314" s="327"/>
      <c r="T314" s="327"/>
      <c r="U314" s="327"/>
      <c r="V314" s="327"/>
      <c r="W314" s="327"/>
      <c r="X314" s="327"/>
      <c r="Y314" s="327"/>
      <c r="Z314" s="327"/>
      <c r="AA314" s="327"/>
      <c r="AB314" s="327"/>
      <c r="AC314" s="327"/>
      <c r="AD314" s="327"/>
      <c r="AE314" s="327"/>
      <c r="AF314" s="327"/>
      <c r="AG314" s="327"/>
      <c r="AH314" s="327"/>
      <c r="AI314" s="328"/>
      <c r="AJ314" s="477"/>
      <c r="AK314" s="351"/>
      <c r="AL314" s="351"/>
      <c r="AM314" s="351"/>
      <c r="AN314" s="351"/>
      <c r="AO314" s="351"/>
      <c r="AP314" s="351"/>
      <c r="AQ314" s="351"/>
      <c r="AR314" s="351"/>
      <c r="AS314" s="351"/>
      <c r="AT314" s="351"/>
      <c r="AU314" s="351"/>
      <c r="AV314" s="351"/>
      <c r="AW314" s="351"/>
    </row>
    <row r="315" spans="1:49" ht="12.95" customHeight="1">
      <c r="A315" s="348" t="s">
        <v>996</v>
      </c>
      <c r="B315" s="350" t="s">
        <v>997</v>
      </c>
      <c r="C315" s="436" t="s">
        <v>998</v>
      </c>
      <c r="D315" s="446"/>
      <c r="E315" s="446"/>
      <c r="F315" s="446"/>
      <c r="G315" s="446"/>
      <c r="H315" s="446"/>
      <c r="I315" s="446">
        <f t="shared" ref="I315:Q315" si="96">IF(ISERROR(I149/I142),"nm",I149/I142)</f>
        <v>0.23965101905299596</v>
      </c>
      <c r="J315" s="446">
        <f t="shared" si="96"/>
        <v>0.34987247855321124</v>
      </c>
      <c r="K315" s="446">
        <f t="shared" si="96"/>
        <v>0.31912693854106838</v>
      </c>
      <c r="L315" s="446">
        <f t="shared" si="96"/>
        <v>0.28320407174018419</v>
      </c>
      <c r="M315" s="446">
        <f t="shared" si="96"/>
        <v>0.22073659900328185</v>
      </c>
      <c r="N315" s="446">
        <f t="shared" si="96"/>
        <v>0.2178365189182504</v>
      </c>
      <c r="O315" s="446">
        <f t="shared" si="96"/>
        <v>0.23828435566115663</v>
      </c>
      <c r="P315" s="446">
        <f t="shared" si="96"/>
        <v>0.25502220057554842</v>
      </c>
      <c r="Q315" s="446">
        <f t="shared" si="96"/>
        <v>0.2550676461405883</v>
      </c>
      <c r="R315" s="448"/>
      <c r="S315" s="448"/>
      <c r="T315" s="448" t="str">
        <f t="shared" ref="T315:AH315" si="97">IF(ISERROR(T149/T142),"nm",T149/T142)</f>
        <v>nm</v>
      </c>
      <c r="U315" s="448" t="str">
        <f t="shared" si="97"/>
        <v>nm</v>
      </c>
      <c r="V315" s="448" t="str">
        <f t="shared" si="97"/>
        <v>nm</v>
      </c>
      <c r="W315" s="448" t="str">
        <f t="shared" si="97"/>
        <v>nm</v>
      </c>
      <c r="X315" s="448" t="str">
        <f t="shared" si="97"/>
        <v>nm</v>
      </c>
      <c r="Y315" s="448" t="str">
        <f t="shared" si="97"/>
        <v>nm</v>
      </c>
      <c r="Z315" s="448" t="str">
        <f t="shared" si="97"/>
        <v>nm</v>
      </c>
      <c r="AA315" s="448" t="str">
        <f t="shared" si="97"/>
        <v>nm</v>
      </c>
      <c r="AB315" s="448" t="str">
        <f t="shared" si="97"/>
        <v>nm</v>
      </c>
      <c r="AC315" s="448" t="str">
        <f t="shared" si="97"/>
        <v>nm</v>
      </c>
      <c r="AD315" s="448" t="str">
        <f t="shared" si="97"/>
        <v>nm</v>
      </c>
      <c r="AE315" s="448" t="str">
        <f t="shared" si="97"/>
        <v>nm</v>
      </c>
      <c r="AF315" s="448" t="str">
        <f t="shared" si="97"/>
        <v>nm</v>
      </c>
      <c r="AG315" s="448" t="str">
        <f t="shared" si="97"/>
        <v>nm</v>
      </c>
      <c r="AH315" s="448" t="str">
        <f t="shared" si="97"/>
        <v>nm</v>
      </c>
      <c r="AI315" s="443"/>
      <c r="AJ315" s="479"/>
      <c r="AK315" s="378" t="str">
        <f>_xll.BLUEMATRIX2("/servlet/excelData",E315,$B$1,$B315&amp;":"&amp;E$115&amp;":"&amp;$AI$114)</f>
        <v>#</v>
      </c>
      <c r="AL315" s="378" t="str">
        <f>_xll.BLUEMATRIX2("/servlet/excelData",F315,$B$1,$B315&amp;":"&amp;F$115&amp;":"&amp;$AI$114)</f>
        <v>#</v>
      </c>
      <c r="AM315" s="378" t="str">
        <f>_xll.BLUEMATRIX2("/servlet/excelData",G315,$B$1,$B315&amp;":"&amp;G$115&amp;":"&amp;$AI$114)</f>
        <v>#</v>
      </c>
      <c r="AN315" s="378" t="str">
        <f>_xll.BLUEMATRIX2("/servlet/excelData",H315,$B$1,$B315&amp;":"&amp;H$115&amp;":"&amp;$AI$114)</f>
        <v>#</v>
      </c>
      <c r="AO315" s="378" t="str">
        <f>_xll.BLUEMATRIX2("/servlet/excelData",I315,$B$1,$B315&amp;":"&amp;I$115&amp;":"&amp;$AI$114)</f>
        <v>#</v>
      </c>
      <c r="AP315" s="378" t="str">
        <f>_xll.BLUEMATRIX2("/servlet/excelData",J315,$B$1,$B315&amp;":"&amp;J$115&amp;":"&amp;$AI$114)</f>
        <v>#</v>
      </c>
      <c r="AQ315" s="378" t="str">
        <f>_xll.BLUEMATRIX2("/servlet/excelData",K315,$B$1,$B315&amp;":"&amp;K$115&amp;":"&amp;$AI$114)</f>
        <v>#</v>
      </c>
      <c r="AR315" s="378" t="str">
        <f>_xll.BLUEMATRIX2("/servlet/excelData",L315,$B$1,$B315&amp;":"&amp;L$115&amp;":"&amp;$AI$114)</f>
        <v>#</v>
      </c>
      <c r="AS315" s="378" t="str">
        <f>_xll.BLUEMATRIX2("/servlet/excelData",M315,$B$1,$B315&amp;":"&amp;M$115&amp;":"&amp;$AI$114)</f>
        <v>#</v>
      </c>
      <c r="AT315" s="378" t="str">
        <f>_xll.BLUEMATRIX2("/servlet/excelData",N315,$B$1,$B315&amp;":"&amp;N$115&amp;":"&amp;$AI$114)</f>
        <v>#</v>
      </c>
      <c r="AU315" s="378" t="str">
        <f>_xll.BLUEMATRIX2("/servlet/excelData",O315,$B$1,$B315&amp;":"&amp;O$115&amp;":"&amp;$AI$114)</f>
        <v>#</v>
      </c>
      <c r="AV315" s="378" t="str">
        <f>_xll.BLUEMATRIX2("/servlet/excelData",P315,$B$1,$B315&amp;":"&amp;P$115&amp;":"&amp;$AI$114)</f>
        <v>#</v>
      </c>
      <c r="AW315" s="378" t="str">
        <f>_xll.BLUEMATRIX2("/servlet/excelData",Q315,$B$1,$B315&amp;":"&amp;Q$115&amp;":"&amp;$AI$114)</f>
        <v>#</v>
      </c>
    </row>
    <row r="316" spans="1:49" ht="12.95" customHeight="1">
      <c r="A316" s="348" t="s">
        <v>999</v>
      </c>
      <c r="B316" s="350" t="s">
        <v>1000</v>
      </c>
      <c r="C316" s="436" t="s">
        <v>1001</v>
      </c>
      <c r="D316" s="446"/>
      <c r="E316" s="446"/>
      <c r="F316" s="446"/>
      <c r="G316" s="446"/>
      <c r="H316" s="446"/>
      <c r="I316" s="446">
        <f t="shared" ref="I316:Q316" si="98">IF(ISERROR(I156/I142),"nm",I156/I142)</f>
        <v>7.5075591175412834E-2</v>
      </c>
      <c r="J316" s="446">
        <f t="shared" si="98"/>
        <v>0.24475770925110132</v>
      </c>
      <c r="K316" s="446">
        <f t="shared" si="98"/>
        <v>0.21341642734060884</v>
      </c>
      <c r="L316" s="446">
        <f t="shared" si="98"/>
        <v>0.16903417353368874</v>
      </c>
      <c r="M316" s="446">
        <f t="shared" si="98"/>
        <v>9.4983590616263519E-2</v>
      </c>
      <c r="N316" s="446">
        <f t="shared" si="98"/>
        <v>8.3507832083379377E-2</v>
      </c>
      <c r="O316" s="446">
        <f t="shared" si="98"/>
        <v>0.11652935623748854</v>
      </c>
      <c r="P316" s="446">
        <f t="shared" si="98"/>
        <v>0.14031839493853637</v>
      </c>
      <c r="Q316" s="446">
        <f t="shared" si="98"/>
        <v>0.14612964235476827</v>
      </c>
      <c r="R316" s="448"/>
      <c r="S316" s="448"/>
      <c r="T316" s="448" t="str">
        <f t="shared" ref="T316:AH316" si="99">IF(ISERROR(T156/T142),"nm",T156/T142)</f>
        <v>nm</v>
      </c>
      <c r="U316" s="448" t="str">
        <f t="shared" si="99"/>
        <v>nm</v>
      </c>
      <c r="V316" s="448" t="str">
        <f t="shared" si="99"/>
        <v>nm</v>
      </c>
      <c r="W316" s="448" t="str">
        <f t="shared" si="99"/>
        <v>nm</v>
      </c>
      <c r="X316" s="448" t="str">
        <f t="shared" si="99"/>
        <v>nm</v>
      </c>
      <c r="Y316" s="448" t="str">
        <f t="shared" si="99"/>
        <v>nm</v>
      </c>
      <c r="Z316" s="448" t="str">
        <f t="shared" si="99"/>
        <v>nm</v>
      </c>
      <c r="AA316" s="448" t="str">
        <f t="shared" si="99"/>
        <v>nm</v>
      </c>
      <c r="AB316" s="448" t="str">
        <f t="shared" si="99"/>
        <v>nm</v>
      </c>
      <c r="AC316" s="448" t="str">
        <f t="shared" si="99"/>
        <v>nm</v>
      </c>
      <c r="AD316" s="448" t="str">
        <f t="shared" si="99"/>
        <v>nm</v>
      </c>
      <c r="AE316" s="448" t="str">
        <f t="shared" si="99"/>
        <v>nm</v>
      </c>
      <c r="AF316" s="448" t="str">
        <f t="shared" si="99"/>
        <v>nm</v>
      </c>
      <c r="AG316" s="448" t="str">
        <f t="shared" si="99"/>
        <v>nm</v>
      </c>
      <c r="AH316" s="448" t="str">
        <f t="shared" si="99"/>
        <v>nm</v>
      </c>
      <c r="AI316" s="443"/>
      <c r="AJ316" s="479"/>
      <c r="AK316" s="378" t="str">
        <f>_xll.BLUEMATRIX2("/servlet/excelData",E316,$B$1,$B316&amp;":"&amp;E$115&amp;":"&amp;$AI$114)</f>
        <v>#</v>
      </c>
      <c r="AL316" s="378" t="str">
        <f>_xll.BLUEMATRIX2("/servlet/excelData",F316,$B$1,$B316&amp;":"&amp;F$115&amp;":"&amp;$AI$114)</f>
        <v>#</v>
      </c>
      <c r="AM316" s="378" t="str">
        <f>_xll.BLUEMATRIX2("/servlet/excelData",G316,$B$1,$B316&amp;":"&amp;G$115&amp;":"&amp;$AI$114)</f>
        <v>#</v>
      </c>
      <c r="AN316" s="378" t="str">
        <f>_xll.BLUEMATRIX2("/servlet/excelData",H316,$B$1,$B316&amp;":"&amp;H$115&amp;":"&amp;$AI$114)</f>
        <v>#</v>
      </c>
      <c r="AO316" s="378" t="str">
        <f>_xll.BLUEMATRIX2("/servlet/excelData",I316,$B$1,$B316&amp;":"&amp;I$115&amp;":"&amp;$AI$114)</f>
        <v>#</v>
      </c>
      <c r="AP316" s="378" t="str">
        <f>_xll.BLUEMATRIX2("/servlet/excelData",J316,$B$1,$B316&amp;":"&amp;J$115&amp;":"&amp;$AI$114)</f>
        <v>#</v>
      </c>
      <c r="AQ316" s="378" t="str">
        <f>_xll.BLUEMATRIX2("/servlet/excelData",K316,$B$1,$B316&amp;":"&amp;K$115&amp;":"&amp;$AI$114)</f>
        <v>#</v>
      </c>
      <c r="AR316" s="378" t="str">
        <f>_xll.BLUEMATRIX2("/servlet/excelData",L316,$B$1,$B316&amp;":"&amp;L$115&amp;":"&amp;$AI$114)</f>
        <v>#</v>
      </c>
      <c r="AS316" s="378" t="str">
        <f>_xll.BLUEMATRIX2("/servlet/excelData",M316,$B$1,$B316&amp;":"&amp;M$115&amp;":"&amp;$AI$114)</f>
        <v>#</v>
      </c>
      <c r="AT316" s="378" t="str">
        <f>_xll.BLUEMATRIX2("/servlet/excelData",N316,$B$1,$B316&amp;":"&amp;N$115&amp;":"&amp;$AI$114)</f>
        <v>#</v>
      </c>
      <c r="AU316" s="378" t="str">
        <f>_xll.BLUEMATRIX2("/servlet/excelData",O316,$B$1,$B316&amp;":"&amp;O$115&amp;":"&amp;$AI$114)</f>
        <v>#</v>
      </c>
      <c r="AV316" s="378" t="str">
        <f>_xll.BLUEMATRIX2("/servlet/excelData",P316,$B$1,$B316&amp;":"&amp;P$115&amp;":"&amp;$AI$114)</f>
        <v>#</v>
      </c>
      <c r="AW316" s="378" t="str">
        <f>_xll.BLUEMATRIX2("/servlet/excelData",Q316,$B$1,$B316&amp;":"&amp;Q$115&amp;":"&amp;$AI$114)</f>
        <v>#</v>
      </c>
    </row>
    <row r="317" spans="1:49" ht="12.95" customHeight="1">
      <c r="A317" s="348" t="s">
        <v>1002</v>
      </c>
      <c r="B317" s="350" t="s">
        <v>1003</v>
      </c>
      <c r="C317" s="436" t="s">
        <v>1004</v>
      </c>
      <c r="D317" s="446"/>
      <c r="E317" s="446"/>
      <c r="F317" s="446"/>
      <c r="G317" s="446"/>
      <c r="H317" s="446"/>
      <c r="I317" s="446">
        <f t="shared" ref="I317:Q317" si="100">IF(ISERROR(I169/I142),"nm",I169/I142)</f>
        <v>1.685725079633113E-2</v>
      </c>
      <c r="J317" s="446">
        <f t="shared" si="100"/>
        <v>0.15383723626246232</v>
      </c>
      <c r="K317" s="446">
        <f t="shared" si="100"/>
        <v>0.14152785755313038</v>
      </c>
      <c r="L317" s="446">
        <f t="shared" si="100"/>
        <v>8.6645661657779913E-2</v>
      </c>
      <c r="M317" s="446">
        <f t="shared" si="100"/>
        <v>4.6189376443418029E-2</v>
      </c>
      <c r="N317" s="446">
        <f t="shared" si="100"/>
        <v>3.6210122140307464E-2</v>
      </c>
      <c r="O317" s="446">
        <f t="shared" si="100"/>
        <v>6.3708273527052883E-2</v>
      </c>
      <c r="P317" s="446">
        <f t="shared" si="100"/>
        <v>8.2927131935485746E-2</v>
      </c>
      <c r="Q317" s="446">
        <f t="shared" si="100"/>
        <v>8.979355457427797E-2</v>
      </c>
      <c r="R317" s="448"/>
      <c r="S317" s="448"/>
      <c r="T317" s="448" t="str">
        <f t="shared" ref="T317:AH317" si="101">IF(ISERROR(T169/T142),"nm",T169/T142)</f>
        <v>nm</v>
      </c>
      <c r="U317" s="448" t="str">
        <f t="shared" si="101"/>
        <v>nm</v>
      </c>
      <c r="V317" s="448" t="str">
        <f t="shared" si="101"/>
        <v>nm</v>
      </c>
      <c r="W317" s="448" t="str">
        <f t="shared" si="101"/>
        <v>nm</v>
      </c>
      <c r="X317" s="448" t="str">
        <f t="shared" si="101"/>
        <v>nm</v>
      </c>
      <c r="Y317" s="448" t="str">
        <f t="shared" si="101"/>
        <v>nm</v>
      </c>
      <c r="Z317" s="448" t="str">
        <f t="shared" si="101"/>
        <v>nm</v>
      </c>
      <c r="AA317" s="448" t="str">
        <f t="shared" si="101"/>
        <v>nm</v>
      </c>
      <c r="AB317" s="448" t="str">
        <f t="shared" si="101"/>
        <v>nm</v>
      </c>
      <c r="AC317" s="448" t="str">
        <f t="shared" si="101"/>
        <v>nm</v>
      </c>
      <c r="AD317" s="448" t="str">
        <f t="shared" si="101"/>
        <v>nm</v>
      </c>
      <c r="AE317" s="448" t="str">
        <f t="shared" si="101"/>
        <v>nm</v>
      </c>
      <c r="AF317" s="448" t="str">
        <f t="shared" si="101"/>
        <v>nm</v>
      </c>
      <c r="AG317" s="448" t="str">
        <f t="shared" si="101"/>
        <v>nm</v>
      </c>
      <c r="AH317" s="448" t="str">
        <f t="shared" si="101"/>
        <v>nm</v>
      </c>
      <c r="AI317" s="443"/>
      <c r="AJ317" s="479"/>
      <c r="AK317" s="378" t="str">
        <f>_xll.BLUEMATRIX2("/servlet/excelData",E317,$B$1,$B317&amp;":"&amp;E$115&amp;":"&amp;$AI$114)</f>
        <v>#</v>
      </c>
      <c r="AL317" s="378" t="str">
        <f>_xll.BLUEMATRIX2("/servlet/excelData",F317,$B$1,$B317&amp;":"&amp;F$115&amp;":"&amp;$AI$114)</f>
        <v>#</v>
      </c>
      <c r="AM317" s="378" t="str">
        <f>_xll.BLUEMATRIX2("/servlet/excelData",G317,$B$1,$B317&amp;":"&amp;G$115&amp;":"&amp;$AI$114)</f>
        <v>#</v>
      </c>
      <c r="AN317" s="378" t="str">
        <f>_xll.BLUEMATRIX2("/servlet/excelData",H317,$B$1,$B317&amp;":"&amp;H$115&amp;":"&amp;$AI$114)</f>
        <v>#</v>
      </c>
      <c r="AO317" s="378" t="str">
        <f>_xll.BLUEMATRIX2("/servlet/excelData",I317,$B$1,$B317&amp;":"&amp;I$115&amp;":"&amp;$AI$114)</f>
        <v>#</v>
      </c>
      <c r="AP317" s="378" t="str">
        <f>_xll.BLUEMATRIX2("/servlet/excelData",J317,$B$1,$B317&amp;":"&amp;J$115&amp;":"&amp;$AI$114)</f>
        <v>#</v>
      </c>
      <c r="AQ317" s="378" t="str">
        <f>_xll.BLUEMATRIX2("/servlet/excelData",K317,$B$1,$B317&amp;":"&amp;K$115&amp;":"&amp;$AI$114)</f>
        <v>#</v>
      </c>
      <c r="AR317" s="378" t="str">
        <f>_xll.BLUEMATRIX2("/servlet/excelData",L317,$B$1,$B317&amp;":"&amp;L$115&amp;":"&amp;$AI$114)</f>
        <v>#</v>
      </c>
      <c r="AS317" s="378" t="str">
        <f>_xll.BLUEMATRIX2("/servlet/excelData",M317,$B$1,$B317&amp;":"&amp;M$115&amp;":"&amp;$AI$114)</f>
        <v>#</v>
      </c>
      <c r="AT317" s="378" t="str">
        <f>_xll.BLUEMATRIX2("/servlet/excelData",N317,$B$1,$B317&amp;":"&amp;N$115&amp;":"&amp;$AI$114)</f>
        <v>#</v>
      </c>
      <c r="AU317" s="378" t="str">
        <f>_xll.BLUEMATRIX2("/servlet/excelData",O317,$B$1,$B317&amp;":"&amp;O$115&amp;":"&amp;$AI$114)</f>
        <v>#</v>
      </c>
      <c r="AV317" s="378" t="str">
        <f>_xll.BLUEMATRIX2("/servlet/excelData",P317,$B$1,$B317&amp;":"&amp;P$115&amp;":"&amp;$AI$114)</f>
        <v>#</v>
      </c>
      <c r="AW317" s="378" t="str">
        <f>_xll.BLUEMATRIX2("/servlet/excelData",Q317,$B$1,$B317&amp;":"&amp;Q$115&amp;":"&amp;$AI$114)</f>
        <v>#</v>
      </c>
    </row>
    <row r="318" spans="1:49" ht="12.95" customHeight="1">
      <c r="A318" s="348"/>
      <c r="B318" s="350"/>
      <c r="C318" s="440"/>
      <c r="D318" s="443"/>
      <c r="E318" s="443"/>
      <c r="F318" s="443"/>
      <c r="G318" s="443"/>
      <c r="H318" s="443"/>
      <c r="I318" s="443"/>
      <c r="J318" s="443"/>
      <c r="K318" s="443"/>
      <c r="L318" s="443"/>
      <c r="M318" s="443"/>
      <c r="N318" s="443"/>
      <c r="O318" s="443"/>
      <c r="P318" s="443"/>
      <c r="Q318" s="443"/>
      <c r="R318" s="443"/>
      <c r="S318" s="443"/>
      <c r="T318" s="443"/>
      <c r="U318" s="443"/>
      <c r="V318" s="443"/>
      <c r="W318" s="443"/>
      <c r="X318" s="443"/>
      <c r="Y318" s="443"/>
      <c r="Z318" s="443"/>
      <c r="AA318" s="443"/>
      <c r="AB318" s="443"/>
      <c r="AC318" s="443"/>
      <c r="AD318" s="443"/>
      <c r="AE318" s="443"/>
      <c r="AF318" s="443"/>
      <c r="AG318" s="443"/>
      <c r="AH318" s="443"/>
      <c r="AI318" s="443"/>
      <c r="AJ318" s="479"/>
      <c r="AK318" s="378"/>
      <c r="AL318" s="378"/>
      <c r="AM318" s="378"/>
      <c r="AN318" s="378"/>
      <c r="AO318" s="378"/>
      <c r="AP318" s="378"/>
      <c r="AQ318" s="378"/>
      <c r="AR318" s="378"/>
      <c r="AS318" s="378"/>
      <c r="AT318" s="378"/>
      <c r="AU318" s="378"/>
      <c r="AV318" s="378"/>
      <c r="AW318" s="378"/>
    </row>
    <row r="319" spans="1:49" ht="12.95" customHeight="1">
      <c r="A319" s="348"/>
      <c r="B319" s="350"/>
      <c r="C319" s="451" t="s">
        <v>1005</v>
      </c>
      <c r="D319" s="443"/>
      <c r="E319" s="443"/>
      <c r="F319" s="443"/>
      <c r="G319" s="443"/>
      <c r="H319" s="443"/>
      <c r="I319" s="443"/>
      <c r="J319" s="443"/>
      <c r="K319" s="443"/>
      <c r="L319" s="443"/>
      <c r="M319" s="443"/>
      <c r="N319" s="443"/>
      <c r="O319" s="443"/>
      <c r="P319" s="443"/>
      <c r="Q319" s="443"/>
      <c r="R319" s="443"/>
      <c r="S319" s="443"/>
      <c r="T319" s="443"/>
      <c r="U319" s="443"/>
      <c r="V319" s="443"/>
      <c r="W319" s="443"/>
      <c r="X319" s="443"/>
      <c r="Y319" s="443"/>
      <c r="Z319" s="443"/>
      <c r="AA319" s="443"/>
      <c r="AB319" s="443"/>
      <c r="AC319" s="443"/>
      <c r="AD319" s="443"/>
      <c r="AE319" s="443"/>
      <c r="AF319" s="443"/>
      <c r="AG319" s="443"/>
      <c r="AH319" s="443"/>
      <c r="AI319" s="443"/>
      <c r="AJ319" s="479"/>
      <c r="AK319" s="378"/>
      <c r="AL319" s="378"/>
      <c r="AM319" s="378"/>
      <c r="AN319" s="378"/>
      <c r="AO319" s="378"/>
      <c r="AP319" s="378"/>
      <c r="AQ319" s="378"/>
      <c r="AR319" s="378"/>
      <c r="AS319" s="378"/>
      <c r="AT319" s="378"/>
      <c r="AU319" s="378"/>
      <c r="AV319" s="378"/>
      <c r="AW319" s="378"/>
    </row>
    <row r="320" spans="1:49" ht="12.95" customHeight="1">
      <c r="A320" s="348" t="s">
        <v>1006</v>
      </c>
      <c r="B320" s="350" t="s">
        <v>1007</v>
      </c>
      <c r="C320" s="489" t="s">
        <v>1008</v>
      </c>
      <c r="D320" s="452"/>
      <c r="E320" s="452"/>
      <c r="F320" s="452"/>
      <c r="G320" s="452"/>
      <c r="H320" s="452"/>
      <c r="I320" s="452">
        <f t="shared" ref="I320:Q320" si="102">I232+I210+I205-I182</f>
        <v>2051.9480000000003</v>
      </c>
      <c r="J320" s="452">
        <f t="shared" si="102"/>
        <v>1856.6639999999993</v>
      </c>
      <c r="K320" s="452">
        <f t="shared" si="102"/>
        <v>1852.8219999999997</v>
      </c>
      <c r="L320" s="452">
        <f t="shared" si="102"/>
        <v>1945.4089999999999</v>
      </c>
      <c r="M320" s="452">
        <f t="shared" si="102"/>
        <v>2025.7269999999999</v>
      </c>
      <c r="N320" s="452">
        <f t="shared" si="102"/>
        <v>1715.448160404361</v>
      </c>
      <c r="O320" s="452">
        <f t="shared" si="102"/>
        <v>1690.2801305329167</v>
      </c>
      <c r="P320" s="452">
        <f t="shared" si="102"/>
        <v>1665.3704182605322</v>
      </c>
      <c r="Q320" s="452">
        <f t="shared" si="102"/>
        <v>1642.9957575048684</v>
      </c>
      <c r="R320" s="443"/>
      <c r="S320" s="443"/>
      <c r="T320" s="443">
        <f t="shared" ref="T320:AH320" si="103">T232+T210+T205-T182</f>
        <v>0</v>
      </c>
      <c r="U320" s="443">
        <f t="shared" si="103"/>
        <v>0</v>
      </c>
      <c r="V320" s="443">
        <f t="shared" si="103"/>
        <v>0</v>
      </c>
      <c r="W320" s="443">
        <f t="shared" si="103"/>
        <v>0</v>
      </c>
      <c r="X320" s="443">
        <f t="shared" si="103"/>
        <v>0</v>
      </c>
      <c r="Y320" s="443">
        <f t="shared" si="103"/>
        <v>0</v>
      </c>
      <c r="Z320" s="443">
        <f t="shared" si="103"/>
        <v>0</v>
      </c>
      <c r="AA320" s="443">
        <f t="shared" si="103"/>
        <v>0</v>
      </c>
      <c r="AB320" s="443">
        <f t="shared" si="103"/>
        <v>0</v>
      </c>
      <c r="AC320" s="443">
        <f t="shared" si="103"/>
        <v>0</v>
      </c>
      <c r="AD320" s="443">
        <f t="shared" si="103"/>
        <v>0</v>
      </c>
      <c r="AE320" s="443">
        <f t="shared" si="103"/>
        <v>0</v>
      </c>
      <c r="AF320" s="443">
        <f t="shared" si="103"/>
        <v>0</v>
      </c>
      <c r="AG320" s="443">
        <f t="shared" si="103"/>
        <v>0</v>
      </c>
      <c r="AH320" s="443">
        <f t="shared" si="103"/>
        <v>0</v>
      </c>
      <c r="AI320" s="443"/>
      <c r="AJ320" s="479"/>
      <c r="AK320" s="378" t="str">
        <f>_xll.BLUEMATRIX2("/servlet/excelData",E320,$B$1,$B320&amp;":"&amp;E$115&amp;":"&amp;$AI$114)</f>
        <v>#</v>
      </c>
      <c r="AL320" s="378" t="str">
        <f>_xll.BLUEMATRIX2("/servlet/excelData",F320,$B$1,$B320&amp;":"&amp;F$115&amp;":"&amp;$AI$114)</f>
        <v>#</v>
      </c>
      <c r="AM320" s="378" t="str">
        <f>_xll.BLUEMATRIX2("/servlet/excelData",G320,$B$1,$B320&amp;":"&amp;G$115&amp;":"&amp;$AI$114)</f>
        <v>#</v>
      </c>
      <c r="AN320" s="378" t="str">
        <f>_xll.BLUEMATRIX2("/servlet/excelData",H320,$B$1,$B320&amp;":"&amp;H$115&amp;":"&amp;$AI$114)</f>
        <v>#</v>
      </c>
      <c r="AO320" s="378" t="str">
        <f>_xll.BLUEMATRIX2("/servlet/excelData",I320,$B$1,$B320&amp;":"&amp;I$115&amp;":"&amp;$AI$114)</f>
        <v>#</v>
      </c>
      <c r="AP320" s="378" t="str">
        <f>_xll.BLUEMATRIX2("/servlet/excelData",J320,$B$1,$B320&amp;":"&amp;J$115&amp;":"&amp;$AI$114)</f>
        <v>#</v>
      </c>
      <c r="AQ320" s="378" t="str">
        <f>_xll.BLUEMATRIX2("/servlet/excelData",K320,$B$1,$B320&amp;":"&amp;K$115&amp;":"&amp;$AI$114)</f>
        <v>#</v>
      </c>
      <c r="AR320" s="378" t="str">
        <f>_xll.BLUEMATRIX2("/servlet/excelData",L320,$B$1,$B320&amp;":"&amp;L$115&amp;":"&amp;$AI$114)</f>
        <v>#</v>
      </c>
      <c r="AS320" s="378" t="str">
        <f>_xll.BLUEMATRIX2("/servlet/excelData",M320,$B$1,$B320&amp;":"&amp;M$115&amp;":"&amp;$AI$114)</f>
        <v>#</v>
      </c>
      <c r="AT320" s="378" t="str">
        <f>_xll.BLUEMATRIX2("/servlet/excelData",N320,$B$1,$B320&amp;":"&amp;N$115&amp;":"&amp;$AI$114)</f>
        <v>#</v>
      </c>
      <c r="AU320" s="378" t="str">
        <f>_xll.BLUEMATRIX2("/servlet/excelData",O320,$B$1,$B320&amp;":"&amp;O$115&amp;":"&amp;$AI$114)</f>
        <v>#</v>
      </c>
      <c r="AV320" s="378" t="str">
        <f>_xll.BLUEMATRIX2("/servlet/excelData",P320,$B$1,$B320&amp;":"&amp;P$115&amp;":"&amp;$AI$114)</f>
        <v>#</v>
      </c>
      <c r="AW320" s="378" t="str">
        <f>_xll.BLUEMATRIX2("/servlet/excelData",Q320,$B$1,$B320&amp;":"&amp;Q$115&amp;":"&amp;$AI$114)</f>
        <v>#</v>
      </c>
    </row>
    <row r="321" spans="1:49" ht="12.95" customHeight="1">
      <c r="A321" s="348" t="s">
        <v>1009</v>
      </c>
      <c r="B321" s="350" t="s">
        <v>1010</v>
      </c>
      <c r="C321" s="500" t="s">
        <v>1011</v>
      </c>
      <c r="D321" s="446"/>
      <c r="E321" s="446"/>
      <c r="F321" s="446"/>
      <c r="G321" s="446"/>
      <c r="H321" s="446"/>
      <c r="I321" s="446">
        <f t="shared" ref="I321:Q321" si="104">IF(ISERROR(I156/AVERAGE(H320:I320)),"nm",I156/AVERAGE(H320:I320))</f>
        <v>2.105316508995355E-2</v>
      </c>
      <c r="J321" s="446">
        <f t="shared" si="104"/>
        <v>0.108032211946338</v>
      </c>
      <c r="K321" s="446">
        <f t="shared" si="104"/>
        <v>0.10016428152040474</v>
      </c>
      <c r="L321" s="446">
        <f t="shared" si="104"/>
        <v>7.3448402690620959E-2</v>
      </c>
      <c r="M321" s="446">
        <f t="shared" si="104"/>
        <v>3.9355489210140378E-2</v>
      </c>
      <c r="N321" s="446">
        <f t="shared" si="104"/>
        <v>3.7541452754441144E-2</v>
      </c>
      <c r="O321" s="446">
        <f t="shared" si="104"/>
        <v>5.8824457630590667E-2</v>
      </c>
      <c r="P321" s="446">
        <f t="shared" si="104"/>
        <v>7.5210453989923487E-2</v>
      </c>
      <c r="Q321" s="446">
        <f t="shared" si="104"/>
        <v>8.2670191663650985E-2</v>
      </c>
      <c r="R321" s="448"/>
      <c r="S321" s="448"/>
      <c r="T321" s="448" t="str">
        <f t="shared" ref="T321:AH321" si="105">IF(ISERROR(T156/AVERAGE(S320:T320)),"nm",T156/AVERAGE(S320:T320))</f>
        <v>nm</v>
      </c>
      <c r="U321" s="448" t="str">
        <f t="shared" si="105"/>
        <v>nm</v>
      </c>
      <c r="V321" s="448" t="str">
        <f t="shared" si="105"/>
        <v>nm</v>
      </c>
      <c r="W321" s="448" t="str">
        <f t="shared" si="105"/>
        <v>nm</v>
      </c>
      <c r="X321" s="448" t="str">
        <f t="shared" si="105"/>
        <v>nm</v>
      </c>
      <c r="Y321" s="448" t="str">
        <f t="shared" si="105"/>
        <v>nm</v>
      </c>
      <c r="Z321" s="448" t="str">
        <f t="shared" si="105"/>
        <v>nm</v>
      </c>
      <c r="AA321" s="448" t="str">
        <f t="shared" si="105"/>
        <v>nm</v>
      </c>
      <c r="AB321" s="448" t="str">
        <f t="shared" si="105"/>
        <v>nm</v>
      </c>
      <c r="AC321" s="448" t="str">
        <f t="shared" si="105"/>
        <v>nm</v>
      </c>
      <c r="AD321" s="448" t="str">
        <f t="shared" si="105"/>
        <v>nm</v>
      </c>
      <c r="AE321" s="448" t="str">
        <f t="shared" si="105"/>
        <v>nm</v>
      </c>
      <c r="AF321" s="448" t="str">
        <f t="shared" si="105"/>
        <v>nm</v>
      </c>
      <c r="AG321" s="448" t="str">
        <f t="shared" si="105"/>
        <v>nm</v>
      </c>
      <c r="AH321" s="448" t="str">
        <f t="shared" si="105"/>
        <v>nm</v>
      </c>
      <c r="AI321" s="443"/>
      <c r="AJ321" s="479"/>
      <c r="AK321" s="378" t="str">
        <f>_xll.BLUEMATRIX2("/servlet/excelData",E321,$B$1,$B321&amp;":"&amp;E$115&amp;":"&amp;$AI$114)</f>
        <v>#</v>
      </c>
      <c r="AL321" s="378" t="str">
        <f>_xll.BLUEMATRIX2("/servlet/excelData",F321,$B$1,$B321&amp;":"&amp;F$115&amp;":"&amp;$AI$114)</f>
        <v>#</v>
      </c>
      <c r="AM321" s="378" t="str">
        <f>_xll.BLUEMATRIX2("/servlet/excelData",G321,$B$1,$B321&amp;":"&amp;G$115&amp;":"&amp;$AI$114)</f>
        <v>#</v>
      </c>
      <c r="AN321" s="378" t="str">
        <f>_xll.BLUEMATRIX2("/servlet/excelData",H321,$B$1,$B321&amp;":"&amp;H$115&amp;":"&amp;$AI$114)</f>
        <v>#</v>
      </c>
      <c r="AO321" s="378" t="str">
        <f>_xll.BLUEMATRIX2("/servlet/excelData",I321,$B$1,$B321&amp;":"&amp;I$115&amp;":"&amp;$AI$114)</f>
        <v>#</v>
      </c>
      <c r="AP321" s="378" t="str">
        <f>_xll.BLUEMATRIX2("/servlet/excelData",J321,$B$1,$B321&amp;":"&amp;J$115&amp;":"&amp;$AI$114)</f>
        <v>#</v>
      </c>
      <c r="AQ321" s="378" t="str">
        <f>_xll.BLUEMATRIX2("/servlet/excelData",K321,$B$1,$B321&amp;":"&amp;K$115&amp;":"&amp;$AI$114)</f>
        <v>#</v>
      </c>
      <c r="AR321" s="378" t="str">
        <f>_xll.BLUEMATRIX2("/servlet/excelData",L321,$B$1,$B321&amp;":"&amp;L$115&amp;":"&amp;$AI$114)</f>
        <v>#</v>
      </c>
      <c r="AS321" s="378" t="str">
        <f>_xll.BLUEMATRIX2("/servlet/excelData",M321,$B$1,$B321&amp;":"&amp;M$115&amp;":"&amp;$AI$114)</f>
        <v>#</v>
      </c>
      <c r="AT321" s="378" t="str">
        <f>_xll.BLUEMATRIX2("/servlet/excelData",N321,$B$1,$B321&amp;":"&amp;N$115&amp;":"&amp;$AI$114)</f>
        <v>#</v>
      </c>
      <c r="AU321" s="378" t="str">
        <f>_xll.BLUEMATRIX2("/servlet/excelData",O321,$B$1,$B321&amp;":"&amp;O$115&amp;":"&amp;$AI$114)</f>
        <v>#</v>
      </c>
      <c r="AV321" s="378" t="str">
        <f>_xll.BLUEMATRIX2("/servlet/excelData",P321,$B$1,$B321&amp;":"&amp;P$115&amp;":"&amp;$AI$114)</f>
        <v>#</v>
      </c>
      <c r="AW321" s="378" t="str">
        <f>_xll.BLUEMATRIX2("/servlet/excelData",Q321,$B$1,$B321&amp;":"&amp;Q$115&amp;":"&amp;$AI$114)</f>
        <v>#</v>
      </c>
    </row>
    <row r="322" spans="1:49" ht="12.95" customHeight="1">
      <c r="A322" s="348" t="s">
        <v>1012</v>
      </c>
      <c r="B322" s="350" t="s">
        <v>1013</v>
      </c>
      <c r="C322" s="500" t="s">
        <v>1014</v>
      </c>
      <c r="D322" s="446"/>
      <c r="E322" s="446"/>
      <c r="F322" s="446"/>
      <c r="G322" s="446"/>
      <c r="H322" s="446"/>
      <c r="I322" s="446">
        <f t="shared" ref="I322:Q322" si="106">IF(ISERROR(I149/AVERAGE(H320:I320)),"nm",I149/AVERAGE(H320:I320))</f>
        <v>6.7204432081124851E-2</v>
      </c>
      <c r="J322" s="446">
        <f t="shared" si="106"/>
        <v>0.15442822157840178</v>
      </c>
      <c r="K322" s="446">
        <f t="shared" si="106"/>
        <v>0.14977816333583688</v>
      </c>
      <c r="L322" s="446">
        <f t="shared" si="106"/>
        <v>0.12305728640517125</v>
      </c>
      <c r="M322" s="446">
        <f t="shared" si="106"/>
        <v>9.1459975180905428E-2</v>
      </c>
      <c r="N322" s="446">
        <f t="shared" si="106"/>
        <v>9.792972921385508E-2</v>
      </c>
      <c r="O322" s="446">
        <f t="shared" si="106"/>
        <v>0.12028683961023143</v>
      </c>
      <c r="P322" s="446">
        <f t="shared" si="106"/>
        <v>0.13669152566345902</v>
      </c>
      <c r="Q322" s="446">
        <f t="shared" si="106"/>
        <v>0.14429988915216613</v>
      </c>
      <c r="R322" s="448"/>
      <c r="S322" s="448"/>
      <c r="T322" s="448" t="str">
        <f t="shared" ref="T322:AH322" si="107">IF(ISERROR(T149/AVERAGE(S320:T320)),"nm",T149/AVERAGE(S320:T320))</f>
        <v>nm</v>
      </c>
      <c r="U322" s="448" t="str">
        <f t="shared" si="107"/>
        <v>nm</v>
      </c>
      <c r="V322" s="448" t="str">
        <f t="shared" si="107"/>
        <v>nm</v>
      </c>
      <c r="W322" s="448" t="str">
        <f t="shared" si="107"/>
        <v>nm</v>
      </c>
      <c r="X322" s="448" t="str">
        <f t="shared" si="107"/>
        <v>nm</v>
      </c>
      <c r="Y322" s="448" t="str">
        <f t="shared" si="107"/>
        <v>nm</v>
      </c>
      <c r="Z322" s="448" t="str">
        <f t="shared" si="107"/>
        <v>nm</v>
      </c>
      <c r="AA322" s="448" t="str">
        <f t="shared" si="107"/>
        <v>nm</v>
      </c>
      <c r="AB322" s="448" t="str">
        <f t="shared" si="107"/>
        <v>nm</v>
      </c>
      <c r="AC322" s="448" t="str">
        <f t="shared" si="107"/>
        <v>nm</v>
      </c>
      <c r="AD322" s="448" t="str">
        <f t="shared" si="107"/>
        <v>nm</v>
      </c>
      <c r="AE322" s="448" t="str">
        <f t="shared" si="107"/>
        <v>nm</v>
      </c>
      <c r="AF322" s="448" t="str">
        <f t="shared" si="107"/>
        <v>nm</v>
      </c>
      <c r="AG322" s="448" t="str">
        <f t="shared" si="107"/>
        <v>nm</v>
      </c>
      <c r="AH322" s="448" t="str">
        <f t="shared" si="107"/>
        <v>nm</v>
      </c>
      <c r="AI322" s="443"/>
      <c r="AJ322" s="479"/>
      <c r="AK322" s="378" t="str">
        <f>_xll.BLUEMATRIX2("/servlet/excelData",E322,$B$1,$B322&amp;":"&amp;E$115&amp;":"&amp;$AI$114)</f>
        <v>#</v>
      </c>
      <c r="AL322" s="378" t="str">
        <f>_xll.BLUEMATRIX2("/servlet/excelData",F322,$B$1,$B322&amp;":"&amp;F$115&amp;":"&amp;$AI$114)</f>
        <v>#</v>
      </c>
      <c r="AM322" s="378" t="str">
        <f>_xll.BLUEMATRIX2("/servlet/excelData",G322,$B$1,$B322&amp;":"&amp;G$115&amp;":"&amp;$AI$114)</f>
        <v>#</v>
      </c>
      <c r="AN322" s="378" t="str">
        <f>_xll.BLUEMATRIX2("/servlet/excelData",H322,$B$1,$B322&amp;":"&amp;H$115&amp;":"&amp;$AI$114)</f>
        <v>#</v>
      </c>
      <c r="AO322" s="378" t="str">
        <f>_xll.BLUEMATRIX2("/servlet/excelData",I322,$B$1,$B322&amp;":"&amp;I$115&amp;":"&amp;$AI$114)</f>
        <v>#</v>
      </c>
      <c r="AP322" s="378" t="str">
        <f>_xll.BLUEMATRIX2("/servlet/excelData",J322,$B$1,$B322&amp;":"&amp;J$115&amp;":"&amp;$AI$114)</f>
        <v>#</v>
      </c>
      <c r="AQ322" s="378" t="str">
        <f>_xll.BLUEMATRIX2("/servlet/excelData",K322,$B$1,$B322&amp;":"&amp;K$115&amp;":"&amp;$AI$114)</f>
        <v>#</v>
      </c>
      <c r="AR322" s="378" t="str">
        <f>_xll.BLUEMATRIX2("/servlet/excelData",L322,$B$1,$B322&amp;":"&amp;L$115&amp;":"&amp;$AI$114)</f>
        <v>#</v>
      </c>
      <c r="AS322" s="378" t="str">
        <f>_xll.BLUEMATRIX2("/servlet/excelData",M322,$B$1,$B322&amp;":"&amp;M$115&amp;":"&amp;$AI$114)</f>
        <v>#</v>
      </c>
      <c r="AT322" s="378" t="str">
        <f>_xll.BLUEMATRIX2("/servlet/excelData",N322,$B$1,$B322&amp;":"&amp;N$115&amp;":"&amp;$AI$114)</f>
        <v>#</v>
      </c>
      <c r="AU322" s="378" t="str">
        <f>_xll.BLUEMATRIX2("/servlet/excelData",O322,$B$1,$B322&amp;":"&amp;O$115&amp;":"&amp;$AI$114)</f>
        <v>#</v>
      </c>
      <c r="AV322" s="378" t="str">
        <f>_xll.BLUEMATRIX2("/servlet/excelData",P322,$B$1,$B322&amp;":"&amp;P$115&amp;":"&amp;$AI$114)</f>
        <v>#</v>
      </c>
      <c r="AW322" s="378" t="str">
        <f>_xll.BLUEMATRIX2("/servlet/excelData",Q322,$B$1,$B322&amp;":"&amp;Q$115&amp;":"&amp;$AI$114)</f>
        <v>#</v>
      </c>
    </row>
    <row r="323" spans="1:49" ht="12.95" customHeight="1">
      <c r="A323" s="348" t="s">
        <v>1015</v>
      </c>
      <c r="B323" s="350" t="s">
        <v>1016</v>
      </c>
      <c r="C323" s="436" t="s">
        <v>1017</v>
      </c>
      <c r="D323" s="446"/>
      <c r="E323" s="446"/>
      <c r="F323" s="446"/>
      <c r="G323" s="446"/>
      <c r="H323" s="446"/>
      <c r="I323" s="446">
        <f t="shared" ref="I323:Q323" si="108">IF(ISERROR(I169/AVERAGE(H229:I229)),"nm",I169/AVERAGE(H229:I229))</f>
        <v>6.1733345043576164E-3</v>
      </c>
      <c r="J323" s="446">
        <f t="shared" si="108"/>
        <v>8.5572297790306576E-2</v>
      </c>
      <c r="K323" s="446">
        <f t="shared" si="108"/>
        <v>8.6942469067323239E-2</v>
      </c>
      <c r="L323" s="446">
        <f t="shared" si="108"/>
        <v>5.4284179578139788E-2</v>
      </c>
      <c r="M323" s="446">
        <f t="shared" si="108"/>
        <v>2.643057210364402E-2</v>
      </c>
      <c r="N323" s="446">
        <f t="shared" si="108"/>
        <v>1.9814635641203705E-2</v>
      </c>
      <c r="O323" s="446">
        <f t="shared" si="108"/>
        <v>3.5392009631371915E-2</v>
      </c>
      <c r="P323" s="446">
        <f t="shared" si="108"/>
        <v>4.6609757372225606E-2</v>
      </c>
      <c r="Q323" s="446">
        <f t="shared" si="108"/>
        <v>5.0142548527217848E-2</v>
      </c>
      <c r="R323" s="448"/>
      <c r="S323" s="448"/>
      <c r="T323" s="448" t="str">
        <f t="shared" ref="T323:AH323" si="109">IF(ISERROR(T169/AVERAGE(S229:T229)),"nm",T169/AVERAGE(S229:T229))</f>
        <v>nm</v>
      </c>
      <c r="U323" s="448" t="str">
        <f t="shared" si="109"/>
        <v>nm</v>
      </c>
      <c r="V323" s="448" t="str">
        <f t="shared" si="109"/>
        <v>nm</v>
      </c>
      <c r="W323" s="448" t="str">
        <f t="shared" si="109"/>
        <v>nm</v>
      </c>
      <c r="X323" s="448" t="str">
        <f t="shared" si="109"/>
        <v>nm</v>
      </c>
      <c r="Y323" s="448" t="str">
        <f t="shared" si="109"/>
        <v>nm</v>
      </c>
      <c r="Z323" s="448" t="str">
        <f t="shared" si="109"/>
        <v>nm</v>
      </c>
      <c r="AA323" s="448" t="str">
        <f t="shared" si="109"/>
        <v>nm</v>
      </c>
      <c r="AB323" s="448" t="str">
        <f t="shared" si="109"/>
        <v>nm</v>
      </c>
      <c r="AC323" s="448" t="str">
        <f t="shared" si="109"/>
        <v>nm</v>
      </c>
      <c r="AD323" s="448" t="str">
        <f t="shared" si="109"/>
        <v>nm</v>
      </c>
      <c r="AE323" s="448" t="str">
        <f t="shared" si="109"/>
        <v>nm</v>
      </c>
      <c r="AF323" s="448" t="str">
        <f t="shared" si="109"/>
        <v>nm</v>
      </c>
      <c r="AG323" s="448" t="str">
        <f t="shared" si="109"/>
        <v>nm</v>
      </c>
      <c r="AH323" s="448" t="str">
        <f t="shared" si="109"/>
        <v>nm</v>
      </c>
      <c r="AI323" s="443"/>
      <c r="AJ323" s="479"/>
      <c r="AK323" s="378" t="str">
        <f>_xll.BLUEMATRIX2("/servlet/excelData",E323,$B$1,$B323&amp;":"&amp;E$115&amp;":"&amp;$AI$114)</f>
        <v>#</v>
      </c>
      <c r="AL323" s="378" t="str">
        <f>_xll.BLUEMATRIX2("/servlet/excelData",F323,$B$1,$B323&amp;":"&amp;F$115&amp;":"&amp;$AI$114)</f>
        <v>#</v>
      </c>
      <c r="AM323" s="378" t="str">
        <f>_xll.BLUEMATRIX2("/servlet/excelData",G323,$B$1,$B323&amp;":"&amp;G$115&amp;":"&amp;$AI$114)</f>
        <v>#</v>
      </c>
      <c r="AN323" s="378" t="str">
        <f>_xll.BLUEMATRIX2("/servlet/excelData",H323,$B$1,$B323&amp;":"&amp;H$115&amp;":"&amp;$AI$114)</f>
        <v>#</v>
      </c>
      <c r="AO323" s="378" t="str">
        <f>_xll.BLUEMATRIX2("/servlet/excelData",I323,$B$1,$B323&amp;":"&amp;I$115&amp;":"&amp;$AI$114)</f>
        <v>#</v>
      </c>
      <c r="AP323" s="378" t="str">
        <f>_xll.BLUEMATRIX2("/servlet/excelData",J323,$B$1,$B323&amp;":"&amp;J$115&amp;":"&amp;$AI$114)</f>
        <v>#</v>
      </c>
      <c r="AQ323" s="378" t="str">
        <f>_xll.BLUEMATRIX2("/servlet/excelData",K323,$B$1,$B323&amp;":"&amp;K$115&amp;":"&amp;$AI$114)</f>
        <v>#</v>
      </c>
      <c r="AR323" s="378" t="str">
        <f>_xll.BLUEMATRIX2("/servlet/excelData",L323,$B$1,$B323&amp;":"&amp;L$115&amp;":"&amp;$AI$114)</f>
        <v>#</v>
      </c>
      <c r="AS323" s="378" t="str">
        <f>_xll.BLUEMATRIX2("/servlet/excelData",M323,$B$1,$B323&amp;":"&amp;M$115&amp;":"&amp;$AI$114)</f>
        <v>#</v>
      </c>
      <c r="AT323" s="378" t="str">
        <f>_xll.BLUEMATRIX2("/servlet/excelData",N323,$B$1,$B323&amp;":"&amp;N$115&amp;":"&amp;$AI$114)</f>
        <v>#</v>
      </c>
      <c r="AU323" s="378" t="str">
        <f>_xll.BLUEMATRIX2("/servlet/excelData",O323,$B$1,$B323&amp;":"&amp;O$115&amp;":"&amp;$AI$114)</f>
        <v>#</v>
      </c>
      <c r="AV323" s="378" t="str">
        <f>_xll.BLUEMATRIX2("/servlet/excelData",P323,$B$1,$B323&amp;":"&amp;P$115&amp;":"&amp;$AI$114)</f>
        <v>#</v>
      </c>
      <c r="AW323" s="378" t="str">
        <f>_xll.BLUEMATRIX2("/servlet/excelData",Q323,$B$1,$B323&amp;":"&amp;Q$115&amp;":"&amp;$AI$114)</f>
        <v>#</v>
      </c>
    </row>
    <row r="324" spans="1:49" ht="12.95" customHeight="1">
      <c r="A324" s="348" t="s">
        <v>1018</v>
      </c>
      <c r="B324" s="350" t="s">
        <v>1019</v>
      </c>
      <c r="C324" s="436" t="s">
        <v>1020</v>
      </c>
      <c r="D324" s="446"/>
      <c r="E324" s="446"/>
      <c r="F324" s="446"/>
      <c r="G324" s="446"/>
      <c r="H324" s="446"/>
      <c r="I324" s="446">
        <f t="shared" ref="I324:Q324" si="110">IF(ISERROR(I156/AVERAGE(H197:I197)),"nm",I156/AVERAGE(H197:I197))</f>
        <v>1.5745150165724999E-2</v>
      </c>
      <c r="J324" s="446">
        <f t="shared" si="110"/>
        <v>7.5306035097731497E-2</v>
      </c>
      <c r="K324" s="446">
        <f t="shared" si="110"/>
        <v>6.5826160317220161E-2</v>
      </c>
      <c r="L324" s="446">
        <f t="shared" si="110"/>
        <v>5.0349774036587296E-2</v>
      </c>
      <c r="M324" s="446">
        <f t="shared" si="110"/>
        <v>2.9132388462167935E-2</v>
      </c>
      <c r="N324" s="446">
        <f t="shared" si="110"/>
        <v>2.859776979999238E-2</v>
      </c>
      <c r="O324" s="446">
        <f t="shared" si="110"/>
        <v>4.3098291489974787E-2</v>
      </c>
      <c r="P324" s="446">
        <f t="shared" si="110"/>
        <v>5.3060769984464365E-2</v>
      </c>
      <c r="Q324" s="446">
        <f t="shared" si="110"/>
        <v>5.5604629368470063E-2</v>
      </c>
      <c r="R324" s="448"/>
      <c r="S324" s="448"/>
      <c r="T324" s="448" t="str">
        <f t="shared" ref="T324:AH324" si="111">IF(ISERROR(T156/AVERAGE(S197:T197)),"nm",T156/AVERAGE(S197:T197))</f>
        <v>nm</v>
      </c>
      <c r="U324" s="448" t="str">
        <f t="shared" si="111"/>
        <v>nm</v>
      </c>
      <c r="V324" s="448" t="str">
        <f t="shared" si="111"/>
        <v>nm</v>
      </c>
      <c r="W324" s="448" t="str">
        <f t="shared" si="111"/>
        <v>nm</v>
      </c>
      <c r="X324" s="448" t="str">
        <f t="shared" si="111"/>
        <v>nm</v>
      </c>
      <c r="Y324" s="448" t="str">
        <f t="shared" si="111"/>
        <v>nm</v>
      </c>
      <c r="Z324" s="448" t="str">
        <f t="shared" si="111"/>
        <v>nm</v>
      </c>
      <c r="AA324" s="448" t="str">
        <f t="shared" si="111"/>
        <v>nm</v>
      </c>
      <c r="AB324" s="448" t="str">
        <f t="shared" si="111"/>
        <v>nm</v>
      </c>
      <c r="AC324" s="448" t="str">
        <f t="shared" si="111"/>
        <v>nm</v>
      </c>
      <c r="AD324" s="448" t="str">
        <f t="shared" si="111"/>
        <v>nm</v>
      </c>
      <c r="AE324" s="448" t="str">
        <f t="shared" si="111"/>
        <v>nm</v>
      </c>
      <c r="AF324" s="448" t="str">
        <f t="shared" si="111"/>
        <v>nm</v>
      </c>
      <c r="AG324" s="448" t="str">
        <f t="shared" si="111"/>
        <v>nm</v>
      </c>
      <c r="AH324" s="448" t="str">
        <f t="shared" si="111"/>
        <v>nm</v>
      </c>
      <c r="AI324" s="443"/>
      <c r="AJ324" s="479"/>
      <c r="AK324" s="378" t="str">
        <f>_xll.BLUEMATRIX2("/servlet/excelData",E324,$B$1,$B324&amp;":"&amp;E$115&amp;":"&amp;$AI$114)</f>
        <v>#</v>
      </c>
      <c r="AL324" s="378" t="str">
        <f>_xll.BLUEMATRIX2("/servlet/excelData",F324,$B$1,$B324&amp;":"&amp;F$115&amp;":"&amp;$AI$114)</f>
        <v>#</v>
      </c>
      <c r="AM324" s="378" t="str">
        <f>_xll.BLUEMATRIX2("/servlet/excelData",G324,$B$1,$B324&amp;":"&amp;G$115&amp;":"&amp;$AI$114)</f>
        <v>#</v>
      </c>
      <c r="AN324" s="378" t="str">
        <f>_xll.BLUEMATRIX2("/servlet/excelData",H324,$B$1,$B324&amp;":"&amp;H$115&amp;":"&amp;$AI$114)</f>
        <v>#</v>
      </c>
      <c r="AO324" s="378" t="str">
        <f>_xll.BLUEMATRIX2("/servlet/excelData",I324,$B$1,$B324&amp;":"&amp;I$115&amp;":"&amp;$AI$114)</f>
        <v>#</v>
      </c>
      <c r="AP324" s="378" t="str">
        <f>_xll.BLUEMATRIX2("/servlet/excelData",J324,$B$1,$B324&amp;":"&amp;J$115&amp;":"&amp;$AI$114)</f>
        <v>#</v>
      </c>
      <c r="AQ324" s="378" t="str">
        <f>_xll.BLUEMATRIX2("/servlet/excelData",K324,$B$1,$B324&amp;":"&amp;K$115&amp;":"&amp;$AI$114)</f>
        <v>#</v>
      </c>
      <c r="AR324" s="378" t="str">
        <f>_xll.BLUEMATRIX2("/servlet/excelData",L324,$B$1,$B324&amp;":"&amp;L$115&amp;":"&amp;$AI$114)</f>
        <v>#</v>
      </c>
      <c r="AS324" s="378" t="str">
        <f>_xll.BLUEMATRIX2("/servlet/excelData",M324,$B$1,$B324&amp;":"&amp;M$115&amp;":"&amp;$AI$114)</f>
        <v>#</v>
      </c>
      <c r="AT324" s="378" t="str">
        <f>_xll.BLUEMATRIX2("/servlet/excelData",N324,$B$1,$B324&amp;":"&amp;N$115&amp;":"&amp;$AI$114)</f>
        <v>#</v>
      </c>
      <c r="AU324" s="378" t="str">
        <f>_xll.BLUEMATRIX2("/servlet/excelData",O324,$B$1,$B324&amp;":"&amp;O$115&amp;":"&amp;$AI$114)</f>
        <v>#</v>
      </c>
      <c r="AV324" s="378" t="str">
        <f>_xll.BLUEMATRIX2("/servlet/excelData",P324,$B$1,$B324&amp;":"&amp;P$115&amp;":"&amp;$AI$114)</f>
        <v>#</v>
      </c>
      <c r="AW324" s="378" t="str">
        <f>_xll.BLUEMATRIX2("/servlet/excelData",Q324,$B$1,$B324&amp;":"&amp;Q$115&amp;":"&amp;$AI$114)</f>
        <v>#</v>
      </c>
    </row>
    <row r="325" spans="1:49" ht="12.95" customHeight="1">
      <c r="A325" s="348"/>
      <c r="B325" s="350"/>
      <c r="C325" s="440"/>
      <c r="D325" s="443"/>
      <c r="E325" s="443"/>
      <c r="F325" s="443"/>
      <c r="G325" s="443"/>
      <c r="H325" s="443"/>
      <c r="I325" s="443"/>
      <c r="J325" s="443"/>
      <c r="K325" s="443"/>
      <c r="L325" s="443"/>
      <c r="M325" s="443"/>
      <c r="N325" s="443"/>
      <c r="O325" s="443"/>
      <c r="P325" s="443"/>
      <c r="Q325" s="443"/>
      <c r="R325" s="443"/>
      <c r="S325" s="443"/>
      <c r="T325" s="443"/>
      <c r="U325" s="443"/>
      <c r="V325" s="443"/>
      <c r="W325" s="443"/>
      <c r="X325" s="443"/>
      <c r="Y325" s="443"/>
      <c r="Z325" s="443"/>
      <c r="AA325" s="443"/>
      <c r="AB325" s="443"/>
      <c r="AC325" s="443"/>
      <c r="AD325" s="443"/>
      <c r="AE325" s="443"/>
      <c r="AF325" s="443"/>
      <c r="AG325" s="443"/>
      <c r="AH325" s="443"/>
      <c r="AI325" s="443"/>
      <c r="AJ325" s="479"/>
      <c r="AK325" s="378"/>
      <c r="AL325" s="378"/>
      <c r="AM325" s="378"/>
      <c r="AN325" s="378"/>
      <c r="AO325" s="378"/>
      <c r="AP325" s="378"/>
      <c r="AQ325" s="378"/>
      <c r="AR325" s="378"/>
      <c r="AS325" s="378"/>
      <c r="AT325" s="378"/>
      <c r="AU325" s="378"/>
      <c r="AV325" s="378"/>
      <c r="AW325" s="378"/>
    </row>
    <row r="326" spans="1:49" ht="12.95" customHeight="1">
      <c r="A326" s="348" t="s">
        <v>1021</v>
      </c>
      <c r="B326" s="350" t="s">
        <v>1022</v>
      </c>
      <c r="C326" s="436" t="s">
        <v>1023</v>
      </c>
      <c r="D326" s="446"/>
      <c r="E326" s="446"/>
      <c r="F326" s="446"/>
      <c r="G326" s="446"/>
      <c r="H326" s="446"/>
      <c r="I326" s="446">
        <f t="shared" ref="I326:Q326" si="112">IF(ISERROR(I233/I229),"nm",I233/I229)</f>
        <v>0.30591354531418458</v>
      </c>
      <c r="J326" s="446">
        <f t="shared" si="112"/>
        <v>0.2133496536720435</v>
      </c>
      <c r="K326" s="446">
        <f t="shared" si="112"/>
        <v>0.42102724140073217</v>
      </c>
      <c r="L326" s="446">
        <f t="shared" si="112"/>
        <v>0.46224737376956521</v>
      </c>
      <c r="M326" s="446">
        <f t="shared" si="112"/>
        <v>0.31112130865728516</v>
      </c>
      <c r="N326" s="446">
        <f t="shared" si="112"/>
        <v>0.12231976131987729</v>
      </c>
      <c r="O326" s="446">
        <f t="shared" si="112"/>
        <v>7.9190101749600519E-2</v>
      </c>
      <c r="P326" s="446">
        <f t="shared" si="112"/>
        <v>1.9307029670979459E-2</v>
      </c>
      <c r="Q326" s="446">
        <f t="shared" si="112"/>
        <v>-4.3578305352061482E-2</v>
      </c>
      <c r="R326" s="448"/>
      <c r="S326" s="448"/>
      <c r="T326" s="448" t="str">
        <f t="shared" ref="T326:AH326" si="113">IF(ISERROR(T233/T229),"nm",T233/T229)</f>
        <v>nm</v>
      </c>
      <c r="U326" s="448" t="str">
        <f t="shared" si="113"/>
        <v>nm</v>
      </c>
      <c r="V326" s="448" t="str">
        <f t="shared" si="113"/>
        <v>nm</v>
      </c>
      <c r="W326" s="448" t="str">
        <f t="shared" si="113"/>
        <v>nm</v>
      </c>
      <c r="X326" s="448" t="str">
        <f t="shared" si="113"/>
        <v>nm</v>
      </c>
      <c r="Y326" s="448" t="str">
        <f t="shared" si="113"/>
        <v>nm</v>
      </c>
      <c r="Z326" s="448" t="str">
        <f t="shared" si="113"/>
        <v>nm</v>
      </c>
      <c r="AA326" s="448" t="str">
        <f t="shared" si="113"/>
        <v>nm</v>
      </c>
      <c r="AB326" s="448" t="str">
        <f t="shared" si="113"/>
        <v>nm</v>
      </c>
      <c r="AC326" s="448" t="str">
        <f t="shared" si="113"/>
        <v>nm</v>
      </c>
      <c r="AD326" s="448" t="str">
        <f t="shared" si="113"/>
        <v>nm</v>
      </c>
      <c r="AE326" s="448" t="str">
        <f t="shared" si="113"/>
        <v>nm</v>
      </c>
      <c r="AF326" s="448" t="str">
        <f t="shared" si="113"/>
        <v>nm</v>
      </c>
      <c r="AG326" s="448" t="str">
        <f t="shared" si="113"/>
        <v>nm</v>
      </c>
      <c r="AH326" s="448" t="str">
        <f t="shared" si="113"/>
        <v>nm</v>
      </c>
      <c r="AI326" s="443"/>
      <c r="AJ326" s="479"/>
      <c r="AK326" s="378" t="str">
        <f>_xll.BLUEMATRIX2("/servlet/excelData",E326,$B$1,$B326&amp;":"&amp;E$115&amp;":"&amp;$AI$114)</f>
        <v>#</v>
      </c>
      <c r="AL326" s="378" t="str">
        <f>_xll.BLUEMATRIX2("/servlet/excelData",F326,$B$1,$B326&amp;":"&amp;F$115&amp;":"&amp;$AI$114)</f>
        <v>#</v>
      </c>
      <c r="AM326" s="378" t="str">
        <f>_xll.BLUEMATRIX2("/servlet/excelData",G326,$B$1,$B326&amp;":"&amp;G$115&amp;":"&amp;$AI$114)</f>
        <v>#</v>
      </c>
      <c r="AN326" s="378" t="str">
        <f>_xll.BLUEMATRIX2("/servlet/excelData",H326,$B$1,$B326&amp;":"&amp;H$115&amp;":"&amp;$AI$114)</f>
        <v>#</v>
      </c>
      <c r="AO326" s="378" t="str">
        <f>_xll.BLUEMATRIX2("/servlet/excelData",I326,$B$1,$B326&amp;":"&amp;I$115&amp;":"&amp;$AI$114)</f>
        <v>#</v>
      </c>
      <c r="AP326" s="378" t="str">
        <f>_xll.BLUEMATRIX2("/servlet/excelData",J326,$B$1,$B326&amp;":"&amp;J$115&amp;":"&amp;$AI$114)</f>
        <v>#</v>
      </c>
      <c r="AQ326" s="378" t="str">
        <f>_xll.BLUEMATRIX2("/servlet/excelData",K326,$B$1,$B326&amp;":"&amp;K$115&amp;":"&amp;$AI$114)</f>
        <v>#</v>
      </c>
      <c r="AR326" s="378" t="str">
        <f>_xll.BLUEMATRIX2("/servlet/excelData",L326,$B$1,$B326&amp;":"&amp;L$115&amp;":"&amp;$AI$114)</f>
        <v>#</v>
      </c>
      <c r="AS326" s="378" t="str">
        <f>_xll.BLUEMATRIX2("/servlet/excelData",M326,$B$1,$B326&amp;":"&amp;M$115&amp;":"&amp;$AI$114)</f>
        <v>#</v>
      </c>
      <c r="AT326" s="378" t="str">
        <f>_xll.BLUEMATRIX2("/servlet/excelData",N326,$B$1,$B326&amp;":"&amp;N$115&amp;":"&amp;$AI$114)</f>
        <v>#</v>
      </c>
      <c r="AU326" s="378" t="str">
        <f>_xll.BLUEMATRIX2("/servlet/excelData",O326,$B$1,$B326&amp;":"&amp;O$115&amp;":"&amp;$AI$114)</f>
        <v>#</v>
      </c>
      <c r="AV326" s="378" t="str">
        <f>_xll.BLUEMATRIX2("/servlet/excelData",P326,$B$1,$B326&amp;":"&amp;P$115&amp;":"&amp;$AI$114)</f>
        <v>#</v>
      </c>
      <c r="AW326" s="378" t="str">
        <f>_xll.BLUEMATRIX2("/servlet/excelData",Q326,$B$1,$B326&amp;":"&amp;Q$115&amp;":"&amp;$AI$114)</f>
        <v>#</v>
      </c>
    </row>
    <row r="327" spans="1:49" ht="12.95" customHeight="1">
      <c r="A327" s="348" t="s">
        <v>1024</v>
      </c>
      <c r="B327" s="350" t="s">
        <v>1025</v>
      </c>
      <c r="C327" s="436" t="s">
        <v>1026</v>
      </c>
      <c r="D327" s="446"/>
      <c r="E327" s="446"/>
      <c r="F327" s="446"/>
      <c r="G327" s="446"/>
      <c r="H327" s="446"/>
      <c r="I327" s="446">
        <f t="shared" ref="I327:Q327" si="114">IF(ISERROR(I233/(I229+I233)),"nm",I233/(I229+I233))</f>
        <v>0.23425252491778545</v>
      </c>
      <c r="J327" s="446">
        <f t="shared" si="114"/>
        <v>0.17583526152281723</v>
      </c>
      <c r="K327" s="446">
        <f t="shared" si="114"/>
        <v>0.29628372288325594</v>
      </c>
      <c r="L327" s="446">
        <f t="shared" si="114"/>
        <v>0.31612118582776166</v>
      </c>
      <c r="M327" s="446">
        <f t="shared" si="114"/>
        <v>0.2372940677593772</v>
      </c>
      <c r="N327" s="446">
        <f t="shared" si="114"/>
        <v>0.10898833428365019</v>
      </c>
      <c r="O327" s="446">
        <f t="shared" si="114"/>
        <v>7.3379195770250524E-2</v>
      </c>
      <c r="P327" s="446">
        <f t="shared" si="114"/>
        <v>1.8941328872431641E-2</v>
      </c>
      <c r="Q327" s="446">
        <f t="shared" si="114"/>
        <v>-4.5563903031395347E-2</v>
      </c>
      <c r="R327" s="448"/>
      <c r="S327" s="448"/>
      <c r="T327" s="448" t="str">
        <f t="shared" ref="T327:AH327" si="115">IF(ISERROR(T233/(T229+T233)),"nm",T233/(T229+T233))</f>
        <v>nm</v>
      </c>
      <c r="U327" s="448" t="str">
        <f t="shared" si="115"/>
        <v>nm</v>
      </c>
      <c r="V327" s="448" t="str">
        <f t="shared" si="115"/>
        <v>nm</v>
      </c>
      <c r="W327" s="448" t="str">
        <f t="shared" si="115"/>
        <v>nm</v>
      </c>
      <c r="X327" s="448" t="str">
        <f t="shared" si="115"/>
        <v>nm</v>
      </c>
      <c r="Y327" s="448" t="str">
        <f t="shared" si="115"/>
        <v>nm</v>
      </c>
      <c r="Z327" s="448" t="str">
        <f t="shared" si="115"/>
        <v>nm</v>
      </c>
      <c r="AA327" s="448" t="str">
        <f t="shared" si="115"/>
        <v>nm</v>
      </c>
      <c r="AB327" s="448" t="str">
        <f t="shared" si="115"/>
        <v>nm</v>
      </c>
      <c r="AC327" s="448" t="str">
        <f t="shared" si="115"/>
        <v>nm</v>
      </c>
      <c r="AD327" s="448" t="str">
        <f t="shared" si="115"/>
        <v>nm</v>
      </c>
      <c r="AE327" s="448" t="str">
        <f t="shared" si="115"/>
        <v>nm</v>
      </c>
      <c r="AF327" s="448" t="str">
        <f t="shared" si="115"/>
        <v>nm</v>
      </c>
      <c r="AG327" s="448" t="str">
        <f t="shared" si="115"/>
        <v>nm</v>
      </c>
      <c r="AH327" s="448" t="str">
        <f t="shared" si="115"/>
        <v>nm</v>
      </c>
      <c r="AI327" s="443"/>
      <c r="AJ327" s="479"/>
      <c r="AK327" s="378" t="str">
        <f>_xll.BLUEMATRIX2("/servlet/excelData",E327,$B$1,$B327&amp;":"&amp;E$115&amp;":"&amp;$AI$114)</f>
        <v>#</v>
      </c>
      <c r="AL327" s="378" t="str">
        <f>_xll.BLUEMATRIX2("/servlet/excelData",F327,$B$1,$B327&amp;":"&amp;F$115&amp;":"&amp;$AI$114)</f>
        <v>#</v>
      </c>
      <c r="AM327" s="378" t="str">
        <f>_xll.BLUEMATRIX2("/servlet/excelData",G327,$B$1,$B327&amp;":"&amp;G$115&amp;":"&amp;$AI$114)</f>
        <v>#</v>
      </c>
      <c r="AN327" s="378" t="str">
        <f>_xll.BLUEMATRIX2("/servlet/excelData",H327,$B$1,$B327&amp;":"&amp;H$115&amp;":"&amp;$AI$114)</f>
        <v>#</v>
      </c>
      <c r="AO327" s="378" t="str">
        <f>_xll.BLUEMATRIX2("/servlet/excelData",I327,$B$1,$B327&amp;":"&amp;I$115&amp;":"&amp;$AI$114)</f>
        <v>#</v>
      </c>
      <c r="AP327" s="378" t="str">
        <f>_xll.BLUEMATRIX2("/servlet/excelData",J327,$B$1,$B327&amp;":"&amp;J$115&amp;":"&amp;$AI$114)</f>
        <v>#</v>
      </c>
      <c r="AQ327" s="378" t="str">
        <f>_xll.BLUEMATRIX2("/servlet/excelData",K327,$B$1,$B327&amp;":"&amp;K$115&amp;":"&amp;$AI$114)</f>
        <v>#</v>
      </c>
      <c r="AR327" s="378" t="str">
        <f>_xll.BLUEMATRIX2("/servlet/excelData",L327,$B$1,$B327&amp;":"&amp;L$115&amp;":"&amp;$AI$114)</f>
        <v>#</v>
      </c>
      <c r="AS327" s="378" t="str">
        <f>_xll.BLUEMATRIX2("/servlet/excelData",M327,$B$1,$B327&amp;":"&amp;M$115&amp;":"&amp;$AI$114)</f>
        <v>#</v>
      </c>
      <c r="AT327" s="378" t="str">
        <f>_xll.BLUEMATRIX2("/servlet/excelData",N327,$B$1,$B327&amp;":"&amp;N$115&amp;":"&amp;$AI$114)</f>
        <v>#</v>
      </c>
      <c r="AU327" s="378" t="str">
        <f>_xll.BLUEMATRIX2("/servlet/excelData",O327,$B$1,$B327&amp;":"&amp;O$115&amp;":"&amp;$AI$114)</f>
        <v>#</v>
      </c>
      <c r="AV327" s="378" t="str">
        <f>_xll.BLUEMATRIX2("/servlet/excelData",P327,$B$1,$B327&amp;":"&amp;P$115&amp;":"&amp;$AI$114)</f>
        <v>#</v>
      </c>
      <c r="AW327" s="378" t="str">
        <f>_xll.BLUEMATRIX2("/servlet/excelData",Q327,$B$1,$B327&amp;":"&amp;Q$115&amp;":"&amp;$AI$114)</f>
        <v>#</v>
      </c>
    </row>
    <row r="328" spans="1:49" ht="12.95" customHeight="1">
      <c r="A328" s="348" t="s">
        <v>1027</v>
      </c>
      <c r="B328" s="350" t="s">
        <v>1028</v>
      </c>
      <c r="C328" s="436" t="s">
        <v>1029</v>
      </c>
      <c r="D328" s="490"/>
      <c r="E328" s="490"/>
      <c r="F328" s="501"/>
      <c r="G328" s="501"/>
      <c r="H328" s="501"/>
      <c r="I328" s="501">
        <f t="shared" ref="I328:Q328" si="116">IF(ISERROR(I233/I149),"nm",I233/I149)</f>
        <v>3.4856707759245835</v>
      </c>
      <c r="J328" s="501">
        <f t="shared" si="116"/>
        <v>1.0817329357190191</v>
      </c>
      <c r="K328" s="501">
        <f t="shared" si="116"/>
        <v>1.9761015118790497</v>
      </c>
      <c r="L328" s="501">
        <f t="shared" si="116"/>
        <v>2.6315147625160464</v>
      </c>
      <c r="M328" s="501">
        <f t="shared" si="116"/>
        <v>2.6469878854625546</v>
      </c>
      <c r="N328" s="501">
        <f t="shared" si="116"/>
        <v>1.0206222067423325</v>
      </c>
      <c r="O328" s="501">
        <f t="shared" si="116"/>
        <v>0.60552700744851962</v>
      </c>
      <c r="P328" s="501">
        <f t="shared" si="116"/>
        <v>0.13754125021816055</v>
      </c>
      <c r="Q328" s="501">
        <f t="shared" si="116"/>
        <v>-0.31362291501275585</v>
      </c>
      <c r="R328" s="442"/>
      <c r="S328" s="442"/>
      <c r="T328" s="442" t="str">
        <f t="shared" ref="T328:AH328" si="117">IF(ISERROR(T233/T149),"nm",T233/T149)</f>
        <v>nm</v>
      </c>
      <c r="U328" s="442" t="str">
        <f t="shared" si="117"/>
        <v>nm</v>
      </c>
      <c r="V328" s="442" t="str">
        <f t="shared" si="117"/>
        <v>nm</v>
      </c>
      <c r="W328" s="442" t="str">
        <f t="shared" si="117"/>
        <v>nm</v>
      </c>
      <c r="X328" s="442" t="str">
        <f t="shared" si="117"/>
        <v>nm</v>
      </c>
      <c r="Y328" s="442" t="str">
        <f t="shared" si="117"/>
        <v>nm</v>
      </c>
      <c r="Z328" s="442" t="str">
        <f t="shared" si="117"/>
        <v>nm</v>
      </c>
      <c r="AA328" s="442" t="str">
        <f t="shared" si="117"/>
        <v>nm</v>
      </c>
      <c r="AB328" s="442" t="str">
        <f t="shared" si="117"/>
        <v>nm</v>
      </c>
      <c r="AC328" s="442" t="str">
        <f t="shared" si="117"/>
        <v>nm</v>
      </c>
      <c r="AD328" s="442" t="str">
        <f t="shared" si="117"/>
        <v>nm</v>
      </c>
      <c r="AE328" s="442" t="str">
        <f t="shared" si="117"/>
        <v>nm</v>
      </c>
      <c r="AF328" s="442" t="str">
        <f t="shared" si="117"/>
        <v>nm</v>
      </c>
      <c r="AG328" s="442" t="str">
        <f t="shared" si="117"/>
        <v>nm</v>
      </c>
      <c r="AH328" s="442" t="str">
        <f t="shared" si="117"/>
        <v>nm</v>
      </c>
      <c r="AI328" s="443"/>
      <c r="AJ328" s="479"/>
      <c r="AK328" s="378" t="str">
        <f>_xll.BLUEMATRIX2("/servlet/excelData",E328,$B$1,$B328&amp;":"&amp;E$115&amp;":"&amp;$AI$114)</f>
        <v>#</v>
      </c>
      <c r="AL328" s="378" t="str">
        <f>_xll.BLUEMATRIX2("/servlet/excelData",F328,$B$1,$B328&amp;":"&amp;F$115&amp;":"&amp;$AI$114)</f>
        <v>#</v>
      </c>
      <c r="AM328" s="378" t="str">
        <f>_xll.BLUEMATRIX2("/servlet/excelData",G328,$B$1,$B328&amp;":"&amp;G$115&amp;":"&amp;$AI$114)</f>
        <v>#</v>
      </c>
      <c r="AN328" s="378" t="str">
        <f>_xll.BLUEMATRIX2("/servlet/excelData",H328,$B$1,$B328&amp;":"&amp;H$115&amp;":"&amp;$AI$114)</f>
        <v>#</v>
      </c>
      <c r="AO328" s="378" t="str">
        <f>_xll.BLUEMATRIX2("/servlet/excelData",I328,$B$1,$B328&amp;":"&amp;I$115&amp;":"&amp;$AI$114)</f>
        <v>#</v>
      </c>
      <c r="AP328" s="378" t="str">
        <f>_xll.BLUEMATRIX2("/servlet/excelData",J328,$B$1,$B328&amp;":"&amp;J$115&amp;":"&amp;$AI$114)</f>
        <v>#</v>
      </c>
      <c r="AQ328" s="378" t="str">
        <f>_xll.BLUEMATRIX2("/servlet/excelData",K328,$B$1,$B328&amp;":"&amp;K$115&amp;":"&amp;$AI$114)</f>
        <v>#</v>
      </c>
      <c r="AR328" s="378" t="str">
        <f>_xll.BLUEMATRIX2("/servlet/excelData",L328,$B$1,$B328&amp;":"&amp;L$115&amp;":"&amp;$AI$114)</f>
        <v>#</v>
      </c>
      <c r="AS328" s="378" t="str">
        <f>_xll.BLUEMATRIX2("/servlet/excelData",M328,$B$1,$B328&amp;":"&amp;M$115&amp;":"&amp;$AI$114)</f>
        <v>#</v>
      </c>
      <c r="AT328" s="378" t="str">
        <f>_xll.BLUEMATRIX2("/servlet/excelData",N328,$B$1,$B328&amp;":"&amp;N$115&amp;":"&amp;$AI$114)</f>
        <v>#</v>
      </c>
      <c r="AU328" s="378" t="str">
        <f>_xll.BLUEMATRIX2("/servlet/excelData",O328,$B$1,$B328&amp;":"&amp;O$115&amp;":"&amp;$AI$114)</f>
        <v>#</v>
      </c>
      <c r="AV328" s="378" t="str">
        <f>_xll.BLUEMATRIX2("/servlet/excelData",P328,$B$1,$B328&amp;":"&amp;P$115&amp;":"&amp;$AI$114)</f>
        <v>#</v>
      </c>
      <c r="AW328" s="378" t="str">
        <f>_xll.BLUEMATRIX2("/servlet/excelData",Q328,$B$1,$B328&amp;":"&amp;Q$115&amp;":"&amp;$AI$114)</f>
        <v>#</v>
      </c>
    </row>
    <row r="329" spans="1:49" ht="12.95" customHeight="1">
      <c r="A329" s="348" t="s">
        <v>1030</v>
      </c>
      <c r="B329" s="350" t="s">
        <v>1031</v>
      </c>
      <c r="C329" s="436" t="s">
        <v>1032</v>
      </c>
      <c r="D329" s="490"/>
      <c r="E329" s="490"/>
      <c r="F329" s="501"/>
      <c r="G329" s="501"/>
      <c r="H329" s="501"/>
      <c r="I329" s="501" t="str">
        <f t="shared" ref="I329:Q329" si="118">IF(ISERROR(I156/-I158),"nm",I156/-I158)</f>
        <v>nm</v>
      </c>
      <c r="J329" s="501" t="str">
        <f t="shared" si="118"/>
        <v>nm</v>
      </c>
      <c r="K329" s="501" t="str">
        <f t="shared" si="118"/>
        <v>nm</v>
      </c>
      <c r="L329" s="501" t="str">
        <f t="shared" si="118"/>
        <v>nm</v>
      </c>
      <c r="M329" s="501" t="str">
        <f t="shared" si="118"/>
        <v>nm</v>
      </c>
      <c r="N329" s="501" t="str">
        <f t="shared" si="118"/>
        <v>nm</v>
      </c>
      <c r="O329" s="501" t="str">
        <f t="shared" si="118"/>
        <v>nm</v>
      </c>
      <c r="P329" s="501" t="str">
        <f t="shared" si="118"/>
        <v>nm</v>
      </c>
      <c r="Q329" s="501" t="str">
        <f t="shared" si="118"/>
        <v>nm</v>
      </c>
      <c r="R329" s="442"/>
      <c r="S329" s="442"/>
      <c r="T329" s="442" t="str">
        <f t="shared" ref="T329:AH329" si="119">IF(ISERROR(T156/-T158),"nm",T156/-T158)</f>
        <v>nm</v>
      </c>
      <c r="U329" s="442" t="str">
        <f t="shared" si="119"/>
        <v>nm</v>
      </c>
      <c r="V329" s="442" t="str">
        <f t="shared" si="119"/>
        <v>nm</v>
      </c>
      <c r="W329" s="442" t="str">
        <f t="shared" si="119"/>
        <v>nm</v>
      </c>
      <c r="X329" s="442" t="str">
        <f t="shared" si="119"/>
        <v>nm</v>
      </c>
      <c r="Y329" s="442" t="str">
        <f t="shared" si="119"/>
        <v>nm</v>
      </c>
      <c r="Z329" s="442" t="str">
        <f t="shared" si="119"/>
        <v>nm</v>
      </c>
      <c r="AA329" s="442" t="str">
        <f t="shared" si="119"/>
        <v>nm</v>
      </c>
      <c r="AB329" s="442" t="str">
        <f t="shared" si="119"/>
        <v>nm</v>
      </c>
      <c r="AC329" s="442" t="str">
        <f t="shared" si="119"/>
        <v>nm</v>
      </c>
      <c r="AD329" s="442" t="str">
        <f t="shared" si="119"/>
        <v>nm</v>
      </c>
      <c r="AE329" s="442" t="str">
        <f t="shared" si="119"/>
        <v>nm</v>
      </c>
      <c r="AF329" s="442" t="str">
        <f t="shared" si="119"/>
        <v>nm</v>
      </c>
      <c r="AG329" s="442" t="str">
        <f t="shared" si="119"/>
        <v>nm</v>
      </c>
      <c r="AH329" s="442" t="str">
        <f t="shared" si="119"/>
        <v>nm</v>
      </c>
      <c r="AI329" s="443"/>
      <c r="AJ329" s="479"/>
      <c r="AK329" s="378" t="str">
        <f>_xll.BLUEMATRIX2("/servlet/excelData",E329,$B$1,$B329&amp;":"&amp;E$115&amp;":"&amp;$AI$114)</f>
        <v>#</v>
      </c>
      <c r="AL329" s="378" t="str">
        <f>_xll.BLUEMATRIX2("/servlet/excelData",F329,$B$1,$B329&amp;":"&amp;F$115&amp;":"&amp;$AI$114)</f>
        <v>#</v>
      </c>
      <c r="AM329" s="378" t="str">
        <f>_xll.BLUEMATRIX2("/servlet/excelData",G329,$B$1,$B329&amp;":"&amp;G$115&amp;":"&amp;$AI$114)</f>
        <v>#</v>
      </c>
      <c r="AN329" s="378" t="str">
        <f>_xll.BLUEMATRIX2("/servlet/excelData",H329,$B$1,$B329&amp;":"&amp;H$115&amp;":"&amp;$AI$114)</f>
        <v>#</v>
      </c>
      <c r="AO329" s="378" t="str">
        <f>_xll.BLUEMATRIX2("/servlet/excelData",I329,$B$1,$B329&amp;":"&amp;I$115&amp;":"&amp;$AI$114)</f>
        <v>#</v>
      </c>
      <c r="AP329" s="378" t="str">
        <f>_xll.BLUEMATRIX2("/servlet/excelData",J329,$B$1,$B329&amp;":"&amp;J$115&amp;":"&amp;$AI$114)</f>
        <v>#</v>
      </c>
      <c r="AQ329" s="378" t="str">
        <f>_xll.BLUEMATRIX2("/servlet/excelData",K329,$B$1,$B329&amp;":"&amp;K$115&amp;":"&amp;$AI$114)</f>
        <v>#</v>
      </c>
      <c r="AR329" s="378" t="str">
        <f>_xll.BLUEMATRIX2("/servlet/excelData",L329,$B$1,$B329&amp;":"&amp;L$115&amp;":"&amp;$AI$114)</f>
        <v>#</v>
      </c>
      <c r="AS329" s="378" t="str">
        <f>_xll.BLUEMATRIX2("/servlet/excelData",M329,$B$1,$B329&amp;":"&amp;M$115&amp;":"&amp;$AI$114)</f>
        <v>#</v>
      </c>
      <c r="AT329" s="378" t="str">
        <f>_xll.BLUEMATRIX2("/servlet/excelData",N329,$B$1,$B329&amp;":"&amp;N$115&amp;":"&amp;$AI$114)</f>
        <v>#</v>
      </c>
      <c r="AU329" s="378" t="str">
        <f>_xll.BLUEMATRIX2("/servlet/excelData",O329,$B$1,$B329&amp;":"&amp;O$115&amp;":"&amp;$AI$114)</f>
        <v>#</v>
      </c>
      <c r="AV329" s="378" t="str">
        <f>_xll.BLUEMATRIX2("/servlet/excelData",P329,$B$1,$B329&amp;":"&amp;P$115&amp;":"&amp;$AI$114)</f>
        <v>#</v>
      </c>
      <c r="AW329" s="378" t="str">
        <f>_xll.BLUEMATRIX2("/servlet/excelData",Q329,$B$1,$B329&amp;":"&amp;Q$115&amp;":"&amp;$AI$114)</f>
        <v>#</v>
      </c>
    </row>
    <row r="330" spans="1:49" ht="12.95" customHeight="1">
      <c r="A330" s="348" t="s">
        <v>1033</v>
      </c>
      <c r="B330" s="350" t="s">
        <v>1034</v>
      </c>
      <c r="C330" s="438" t="s">
        <v>1035</v>
      </c>
      <c r="D330" s="452"/>
      <c r="E330" s="452"/>
      <c r="F330" s="452"/>
      <c r="G330" s="452"/>
      <c r="H330" s="452"/>
      <c r="I330" s="452"/>
      <c r="J330" s="452"/>
      <c r="K330" s="452"/>
      <c r="L330" s="452"/>
      <c r="M330" s="452"/>
      <c r="N330" s="452"/>
      <c r="O330" s="452"/>
      <c r="P330" s="452"/>
      <c r="Q330" s="452"/>
      <c r="R330" s="452"/>
      <c r="S330" s="452"/>
      <c r="T330" s="452"/>
      <c r="U330" s="452"/>
      <c r="V330" s="452"/>
      <c r="W330" s="452"/>
      <c r="X330" s="452"/>
      <c r="Y330" s="452"/>
      <c r="Z330" s="452"/>
      <c r="AA330" s="452"/>
      <c r="AB330" s="452"/>
      <c r="AC330" s="452"/>
      <c r="AD330" s="452"/>
      <c r="AE330" s="452"/>
      <c r="AF330" s="452"/>
      <c r="AG330" s="452"/>
      <c r="AH330" s="452"/>
      <c r="AI330" s="443"/>
      <c r="AJ330" s="479"/>
      <c r="AK330" s="378" t="str">
        <f>_xll.BLUEMATRIX2("/servlet/excelData",E330,$B$1,$B330&amp;":"&amp;E$115&amp;":"&amp;$AI$114)</f>
        <v>#</v>
      </c>
      <c r="AL330" s="378" t="str">
        <f>_xll.BLUEMATRIX2("/servlet/excelData",F330,$B$1,$B330&amp;":"&amp;F$115&amp;":"&amp;$AI$114)</f>
        <v>#</v>
      </c>
      <c r="AM330" s="378" t="str">
        <f>_xll.BLUEMATRIX2("/servlet/excelData",G330,$B$1,$B330&amp;":"&amp;G$115&amp;":"&amp;$AI$114)</f>
        <v>#</v>
      </c>
      <c r="AN330" s="378" t="str">
        <f>_xll.BLUEMATRIX2("/servlet/excelData",H330,$B$1,$B330&amp;":"&amp;H$115&amp;":"&amp;$AI$114)</f>
        <v>#</v>
      </c>
      <c r="AO330" s="378" t="str">
        <f>_xll.BLUEMATRIX2("/servlet/excelData",I330,$B$1,$B330&amp;":"&amp;I$115&amp;":"&amp;$AI$114)</f>
        <v>#</v>
      </c>
      <c r="AP330" s="378" t="str">
        <f>_xll.BLUEMATRIX2("/servlet/excelData",J330,$B$1,$B330&amp;":"&amp;J$115&amp;":"&amp;$AI$114)</f>
        <v>#</v>
      </c>
      <c r="AQ330" s="378" t="str">
        <f>_xll.BLUEMATRIX2("/servlet/excelData",K330,$B$1,$B330&amp;":"&amp;K$115&amp;":"&amp;$AI$114)</f>
        <v>#</v>
      </c>
      <c r="AR330" s="378" t="str">
        <f>_xll.BLUEMATRIX2("/servlet/excelData",L330,$B$1,$B330&amp;":"&amp;L$115&amp;":"&amp;$AI$114)</f>
        <v>#</v>
      </c>
      <c r="AS330" s="378" t="str">
        <f>_xll.BLUEMATRIX2("/servlet/excelData",M330,$B$1,$B330&amp;":"&amp;M$115&amp;":"&amp;$AI$114)</f>
        <v>#</v>
      </c>
      <c r="AT330" s="378" t="str">
        <f>_xll.BLUEMATRIX2("/servlet/excelData",N330,$B$1,$B330&amp;":"&amp;N$115&amp;":"&amp;$AI$114)</f>
        <v>#</v>
      </c>
      <c r="AU330" s="378" t="str">
        <f>_xll.BLUEMATRIX2("/servlet/excelData",O330,$B$1,$B330&amp;":"&amp;O$115&amp;":"&amp;$AI$114)</f>
        <v>#</v>
      </c>
      <c r="AV330" s="378" t="str">
        <f>_xll.BLUEMATRIX2("/servlet/excelData",P330,$B$1,$B330&amp;":"&amp;P$115&amp;":"&amp;$AI$114)</f>
        <v>#</v>
      </c>
      <c r="AW330" s="378" t="str">
        <f>_xll.BLUEMATRIX2("/servlet/excelData",Q330,$B$1,$B330&amp;":"&amp;Q$115&amp;":"&amp;$AI$114)</f>
        <v>#</v>
      </c>
    </row>
    <row r="331" spans="1:49" ht="12.95" customHeight="1">
      <c r="A331" s="348" t="s">
        <v>1036</v>
      </c>
      <c r="B331" s="350" t="s">
        <v>1037</v>
      </c>
      <c r="C331" s="438" t="s">
        <v>1038</v>
      </c>
      <c r="D331" s="452"/>
      <c r="E331" s="452"/>
      <c r="F331" s="452"/>
      <c r="G331" s="452"/>
      <c r="H331" s="452"/>
      <c r="I331" s="452"/>
      <c r="J331" s="452"/>
      <c r="K331" s="452"/>
      <c r="L331" s="452"/>
      <c r="M331" s="452"/>
      <c r="N331" s="452"/>
      <c r="O331" s="452"/>
      <c r="P331" s="452"/>
      <c r="Q331" s="452"/>
      <c r="R331" s="444"/>
      <c r="S331" s="444"/>
      <c r="T331" s="444"/>
      <c r="U331" s="444"/>
      <c r="V331" s="444"/>
      <c r="W331" s="444"/>
      <c r="X331" s="444"/>
      <c r="Y331" s="444"/>
      <c r="Z331" s="444"/>
      <c r="AA331" s="444"/>
      <c r="AB331" s="444"/>
      <c r="AC331" s="444"/>
      <c r="AD331" s="444"/>
      <c r="AE331" s="444"/>
      <c r="AF331" s="444"/>
      <c r="AG331" s="444"/>
      <c r="AH331" s="444"/>
      <c r="AI331" s="443"/>
      <c r="AJ331" s="479"/>
      <c r="AK331" s="378" t="str">
        <f>_xll.BLUEMATRIX2("/servlet/excelData",E331,$B$1,$B331&amp;":"&amp;E$115&amp;":"&amp;$AI$114)</f>
        <v>#</v>
      </c>
      <c r="AL331" s="378" t="str">
        <f>_xll.BLUEMATRIX2("/servlet/excelData",F331,$B$1,$B331&amp;":"&amp;F$115&amp;":"&amp;$AI$114)</f>
        <v>#</v>
      </c>
      <c r="AM331" s="378" t="str">
        <f>_xll.BLUEMATRIX2("/servlet/excelData",G331,$B$1,$B331&amp;":"&amp;G$115&amp;":"&amp;$AI$114)</f>
        <v>#</v>
      </c>
      <c r="AN331" s="378" t="str">
        <f>_xll.BLUEMATRIX2("/servlet/excelData",H331,$B$1,$B331&amp;":"&amp;H$115&amp;":"&amp;$AI$114)</f>
        <v>#</v>
      </c>
      <c r="AO331" s="378" t="str">
        <f>_xll.BLUEMATRIX2("/servlet/excelData",I331,$B$1,$B331&amp;":"&amp;I$115&amp;":"&amp;$AI$114)</f>
        <v>#</v>
      </c>
      <c r="AP331" s="378" t="str">
        <f>_xll.BLUEMATRIX2("/servlet/excelData",J331,$B$1,$B331&amp;":"&amp;J$115&amp;":"&amp;$AI$114)</f>
        <v>#</v>
      </c>
      <c r="AQ331" s="378" t="str">
        <f>_xll.BLUEMATRIX2("/servlet/excelData",K331,$B$1,$B331&amp;":"&amp;K$115&amp;":"&amp;$AI$114)</f>
        <v>#</v>
      </c>
      <c r="AR331" s="378" t="str">
        <f>_xll.BLUEMATRIX2("/servlet/excelData",L331,$B$1,$B331&amp;":"&amp;L$115&amp;":"&amp;$AI$114)</f>
        <v>#</v>
      </c>
      <c r="AS331" s="378" t="str">
        <f>_xll.BLUEMATRIX2("/servlet/excelData",M331,$B$1,$B331&amp;":"&amp;M$115&amp;":"&amp;$AI$114)</f>
        <v>#</v>
      </c>
      <c r="AT331" s="378" t="str">
        <f>_xll.BLUEMATRIX2("/servlet/excelData",N331,$B$1,$B331&amp;":"&amp;N$115&amp;":"&amp;$AI$114)</f>
        <v>#</v>
      </c>
      <c r="AU331" s="378" t="str">
        <f>_xll.BLUEMATRIX2("/servlet/excelData",O331,$B$1,$B331&amp;":"&amp;O$115&amp;":"&amp;$AI$114)</f>
        <v>#</v>
      </c>
      <c r="AV331" s="378" t="str">
        <f>_xll.BLUEMATRIX2("/servlet/excelData",P331,$B$1,$B331&amp;":"&amp;P$115&amp;":"&amp;$AI$114)</f>
        <v>#</v>
      </c>
      <c r="AW331" s="378" t="str">
        <f>_xll.BLUEMATRIX2("/servlet/excelData",Q331,$B$1,$B331&amp;":"&amp;Q$115&amp;":"&amp;$AI$114)</f>
        <v>#</v>
      </c>
    </row>
    <row r="332" spans="1:49" ht="12.95" customHeight="1">
      <c r="A332" s="348" t="s">
        <v>1039</v>
      </c>
      <c r="B332" s="350" t="s">
        <v>1040</v>
      </c>
      <c r="C332" s="436" t="s">
        <v>1041</v>
      </c>
      <c r="D332" s="446"/>
      <c r="E332" s="446"/>
      <c r="F332" s="446"/>
      <c r="G332" s="446"/>
      <c r="H332" s="446"/>
      <c r="I332" s="446">
        <f t="shared" ref="I332:Q332" si="120">IF(ISERROR(I247/I243),"nm",I247/I243)</f>
        <v>0.86077592458303132</v>
      </c>
      <c r="J332" s="446">
        <f t="shared" si="120"/>
        <v>0.97182239893969524</v>
      </c>
      <c r="K332" s="446">
        <f t="shared" si="120"/>
        <v>0.95211303095752342</v>
      </c>
      <c r="L332" s="446">
        <f t="shared" si="120"/>
        <v>0.45070175438596499</v>
      </c>
      <c r="M332" s="446">
        <f t="shared" si="120"/>
        <v>0.88447687224669636</v>
      </c>
      <c r="N332" s="446">
        <f t="shared" si="120"/>
        <v>0.75255015730494024</v>
      </c>
      <c r="O332" s="446">
        <f t="shared" si="120"/>
        <v>0.90661155322437237</v>
      </c>
      <c r="P332" s="446">
        <f t="shared" si="120"/>
        <v>0.98122163876534985</v>
      </c>
      <c r="Q332" s="446">
        <f t="shared" si="120"/>
        <v>1.0194891157761929</v>
      </c>
      <c r="R332" s="448"/>
      <c r="S332" s="448"/>
      <c r="T332" s="448" t="str">
        <f t="shared" ref="T332:AH332" si="121">IF(ISERROR(T247/T243),"nm",T247/T243)</f>
        <v>nm</v>
      </c>
      <c r="U332" s="448" t="str">
        <f t="shared" si="121"/>
        <v>nm</v>
      </c>
      <c r="V332" s="448" t="str">
        <f t="shared" si="121"/>
        <v>nm</v>
      </c>
      <c r="W332" s="448" t="str">
        <f t="shared" si="121"/>
        <v>nm</v>
      </c>
      <c r="X332" s="448" t="str">
        <f t="shared" si="121"/>
        <v>nm</v>
      </c>
      <c r="Y332" s="448" t="str">
        <f t="shared" si="121"/>
        <v>nm</v>
      </c>
      <c r="Z332" s="448" t="str">
        <f t="shared" si="121"/>
        <v>nm</v>
      </c>
      <c r="AA332" s="448" t="str">
        <f t="shared" si="121"/>
        <v>nm</v>
      </c>
      <c r="AB332" s="448" t="str">
        <f t="shared" si="121"/>
        <v>nm</v>
      </c>
      <c r="AC332" s="448" t="str">
        <f t="shared" si="121"/>
        <v>nm</v>
      </c>
      <c r="AD332" s="448" t="str">
        <f t="shared" si="121"/>
        <v>nm</v>
      </c>
      <c r="AE332" s="448" t="str">
        <f t="shared" si="121"/>
        <v>nm</v>
      </c>
      <c r="AF332" s="448" t="str">
        <f t="shared" si="121"/>
        <v>nm</v>
      </c>
      <c r="AG332" s="448" t="str">
        <f t="shared" si="121"/>
        <v>nm</v>
      </c>
      <c r="AH332" s="448" t="str">
        <f t="shared" si="121"/>
        <v>nm</v>
      </c>
      <c r="AI332" s="443"/>
      <c r="AJ332" s="479"/>
      <c r="AK332" s="378" t="str">
        <f>_xll.BLUEMATRIX2("/servlet/excelData",E332,$B$1,$B332&amp;":"&amp;E$115&amp;":"&amp;$AI$114)</f>
        <v>#</v>
      </c>
      <c r="AL332" s="378" t="str">
        <f>_xll.BLUEMATRIX2("/servlet/excelData",F332,$B$1,$B332&amp;":"&amp;F$115&amp;":"&amp;$AI$114)</f>
        <v>#</v>
      </c>
      <c r="AM332" s="378" t="str">
        <f>_xll.BLUEMATRIX2("/servlet/excelData",G332,$B$1,$B332&amp;":"&amp;G$115&amp;":"&amp;$AI$114)</f>
        <v>#</v>
      </c>
      <c r="AN332" s="378" t="str">
        <f>_xll.BLUEMATRIX2("/servlet/excelData",H332,$B$1,$B332&amp;":"&amp;H$115&amp;":"&amp;$AI$114)</f>
        <v>#</v>
      </c>
      <c r="AO332" s="378" t="str">
        <f>_xll.BLUEMATRIX2("/servlet/excelData",I332,$B$1,$B332&amp;":"&amp;I$115&amp;":"&amp;$AI$114)</f>
        <v>#</v>
      </c>
      <c r="AP332" s="378" t="str">
        <f>_xll.BLUEMATRIX2("/servlet/excelData",J332,$B$1,$B332&amp;":"&amp;J$115&amp;":"&amp;$AI$114)</f>
        <v>#</v>
      </c>
      <c r="AQ332" s="378" t="str">
        <f>_xll.BLUEMATRIX2("/servlet/excelData",K332,$B$1,$B332&amp;":"&amp;K$115&amp;":"&amp;$AI$114)</f>
        <v>#</v>
      </c>
      <c r="AR332" s="378" t="str">
        <f>_xll.BLUEMATRIX2("/servlet/excelData",L332,$B$1,$B332&amp;":"&amp;L$115&amp;":"&amp;$AI$114)</f>
        <v>#</v>
      </c>
      <c r="AS332" s="378" t="str">
        <f>_xll.BLUEMATRIX2("/servlet/excelData",M332,$B$1,$B332&amp;":"&amp;M$115&amp;":"&amp;$AI$114)</f>
        <v>#</v>
      </c>
      <c r="AT332" s="378" t="str">
        <f>_xll.BLUEMATRIX2("/servlet/excelData",N332,$B$1,$B332&amp;":"&amp;N$115&amp;":"&amp;$AI$114)</f>
        <v>#</v>
      </c>
      <c r="AU332" s="378" t="str">
        <f>_xll.BLUEMATRIX2("/servlet/excelData",O332,$B$1,$B332&amp;":"&amp;O$115&amp;":"&amp;$AI$114)</f>
        <v>#</v>
      </c>
      <c r="AV332" s="378" t="str">
        <f>_xll.BLUEMATRIX2("/servlet/excelData",P332,$B$1,$B332&amp;":"&amp;P$115&amp;":"&amp;$AI$114)</f>
        <v>#</v>
      </c>
      <c r="AW332" s="378" t="str">
        <f>_xll.BLUEMATRIX2("/servlet/excelData",Q332,$B$1,$B332&amp;":"&amp;Q$115&amp;":"&amp;$AI$114)</f>
        <v>#</v>
      </c>
    </row>
    <row r="333" spans="1:49" ht="12.95" customHeight="1">
      <c r="A333" s="348" t="s">
        <v>1042</v>
      </c>
      <c r="B333" s="350" t="s">
        <v>1043</v>
      </c>
      <c r="C333" s="436" t="s">
        <v>1044</v>
      </c>
      <c r="D333" s="446"/>
      <c r="E333" s="446"/>
      <c r="F333" s="446"/>
      <c r="G333" s="446"/>
      <c r="H333" s="446"/>
      <c r="I333" s="446">
        <f t="shared" ref="I333:Q333" si="122">IF(ISERROR(-(I257+I258+I259)/I142),"nm",-(I257+I258+I259)/I142)</f>
        <v>0.1937297824507018</v>
      </c>
      <c r="J333" s="446">
        <f t="shared" si="122"/>
        <v>0.30472872710410392</v>
      </c>
      <c r="K333" s="446">
        <f t="shared" si="122"/>
        <v>0.35696266513497993</v>
      </c>
      <c r="L333" s="446">
        <f t="shared" si="122"/>
        <v>0.19855186621425108</v>
      </c>
      <c r="M333" s="446">
        <f t="shared" si="122"/>
        <v>0.1381147441351647</v>
      </c>
      <c r="N333" s="446">
        <f t="shared" si="122"/>
        <v>0.10513231716163218</v>
      </c>
      <c r="O333" s="446">
        <f t="shared" si="122"/>
        <v>9.0000000000000011E-2</v>
      </c>
      <c r="P333" s="446">
        <f t="shared" si="122"/>
        <v>0.09</v>
      </c>
      <c r="Q333" s="446">
        <f t="shared" si="122"/>
        <v>0.09</v>
      </c>
      <c r="R333" s="448"/>
      <c r="S333" s="448"/>
      <c r="T333" s="448" t="str">
        <f t="shared" ref="T333:AH333" si="123">IF(ISERROR(-(T257+T258+T259)/T142),"nm",-(T257+T258+T259)/T142)</f>
        <v>nm</v>
      </c>
      <c r="U333" s="448" t="str">
        <f t="shared" si="123"/>
        <v>nm</v>
      </c>
      <c r="V333" s="448" t="str">
        <f t="shared" si="123"/>
        <v>nm</v>
      </c>
      <c r="W333" s="448" t="str">
        <f t="shared" si="123"/>
        <v>nm</v>
      </c>
      <c r="X333" s="448" t="str">
        <f t="shared" si="123"/>
        <v>nm</v>
      </c>
      <c r="Y333" s="448" t="str">
        <f t="shared" si="123"/>
        <v>nm</v>
      </c>
      <c r="Z333" s="448" t="str">
        <f t="shared" si="123"/>
        <v>nm</v>
      </c>
      <c r="AA333" s="448" t="str">
        <f t="shared" si="123"/>
        <v>nm</v>
      </c>
      <c r="AB333" s="448" t="str">
        <f t="shared" si="123"/>
        <v>nm</v>
      </c>
      <c r="AC333" s="448" t="str">
        <f t="shared" si="123"/>
        <v>nm</v>
      </c>
      <c r="AD333" s="448" t="str">
        <f t="shared" si="123"/>
        <v>nm</v>
      </c>
      <c r="AE333" s="448" t="str">
        <f t="shared" si="123"/>
        <v>nm</v>
      </c>
      <c r="AF333" s="448" t="str">
        <f t="shared" si="123"/>
        <v>nm</v>
      </c>
      <c r="AG333" s="448" t="str">
        <f t="shared" si="123"/>
        <v>nm</v>
      </c>
      <c r="AH333" s="448" t="str">
        <f t="shared" si="123"/>
        <v>nm</v>
      </c>
      <c r="AI333" s="443"/>
      <c r="AJ333" s="479"/>
      <c r="AK333" s="378" t="str">
        <f>_xll.BLUEMATRIX2("/servlet/excelData",E333,$B$1,$B333&amp;":"&amp;E$115&amp;":"&amp;$AI$114)</f>
        <v>#</v>
      </c>
      <c r="AL333" s="378" t="str">
        <f>_xll.BLUEMATRIX2("/servlet/excelData",F333,$B$1,$B333&amp;":"&amp;F$115&amp;":"&amp;$AI$114)</f>
        <v>#</v>
      </c>
      <c r="AM333" s="378" t="str">
        <f>_xll.BLUEMATRIX2("/servlet/excelData",G333,$B$1,$B333&amp;":"&amp;G$115&amp;":"&amp;$AI$114)</f>
        <v>#</v>
      </c>
      <c r="AN333" s="378" t="str">
        <f>_xll.BLUEMATRIX2("/servlet/excelData",H333,$B$1,$B333&amp;":"&amp;H$115&amp;":"&amp;$AI$114)</f>
        <v>#</v>
      </c>
      <c r="AO333" s="378" t="str">
        <f>_xll.BLUEMATRIX2("/servlet/excelData",I333,$B$1,$B333&amp;":"&amp;I$115&amp;":"&amp;$AI$114)</f>
        <v>#</v>
      </c>
      <c r="AP333" s="378" t="str">
        <f>_xll.BLUEMATRIX2("/servlet/excelData",J333,$B$1,$B333&amp;":"&amp;J$115&amp;":"&amp;$AI$114)</f>
        <v>#</v>
      </c>
      <c r="AQ333" s="378" t="str">
        <f>_xll.BLUEMATRIX2("/servlet/excelData",K333,$B$1,$B333&amp;":"&amp;K$115&amp;":"&amp;$AI$114)</f>
        <v>#</v>
      </c>
      <c r="AR333" s="378" t="str">
        <f>_xll.BLUEMATRIX2("/servlet/excelData",L333,$B$1,$B333&amp;":"&amp;L$115&amp;":"&amp;$AI$114)</f>
        <v>#</v>
      </c>
      <c r="AS333" s="378" t="str">
        <f>_xll.BLUEMATRIX2("/servlet/excelData",M333,$B$1,$B333&amp;":"&amp;M$115&amp;":"&amp;$AI$114)</f>
        <v>#</v>
      </c>
      <c r="AT333" s="378" t="str">
        <f>_xll.BLUEMATRIX2("/servlet/excelData",N333,$B$1,$B333&amp;":"&amp;N$115&amp;":"&amp;$AI$114)</f>
        <v>#</v>
      </c>
      <c r="AU333" s="378" t="str">
        <f>_xll.BLUEMATRIX2("/servlet/excelData",O333,$B$1,$B333&amp;":"&amp;O$115&amp;":"&amp;$AI$114)</f>
        <v>#</v>
      </c>
      <c r="AV333" s="378" t="str">
        <f>_xll.BLUEMATRIX2("/servlet/excelData",P333,$B$1,$B333&amp;":"&amp;P$115&amp;":"&amp;$AI$114)</f>
        <v>#</v>
      </c>
      <c r="AW333" s="378" t="str">
        <f>_xll.BLUEMATRIX2("/servlet/excelData",Q333,$B$1,$B333&amp;":"&amp;Q$115&amp;":"&amp;$AI$114)</f>
        <v>#</v>
      </c>
    </row>
    <row r="334" spans="1:49" ht="12.95" customHeight="1">
      <c r="A334" s="348" t="s">
        <v>1045</v>
      </c>
      <c r="B334" s="350" t="s">
        <v>1046</v>
      </c>
      <c r="C334" s="436" t="s">
        <v>1047</v>
      </c>
      <c r="D334" s="490"/>
      <c r="E334" s="490"/>
      <c r="F334" s="501"/>
      <c r="G334" s="501"/>
      <c r="H334" s="501"/>
      <c r="I334" s="501">
        <f t="shared" ref="I334:Q334" si="124">IF(ISERROR((I257+I258+I259)/I154),"nm",(I257+I258+I259)/I154)</f>
        <v>1.1771488912354806</v>
      </c>
      <c r="J334" s="501">
        <f t="shared" si="124"/>
        <v>2.8990096170813486</v>
      </c>
      <c r="K334" s="501">
        <f t="shared" si="124"/>
        <v>3.3767944273589729</v>
      </c>
      <c r="L334" s="501">
        <f t="shared" si="124"/>
        <v>1.7390912082196723</v>
      </c>
      <c r="M334" s="501">
        <f t="shared" si="124"/>
        <v>1.0983017098891328</v>
      </c>
      <c r="N334" s="501">
        <f t="shared" si="124"/>
        <v>0.78264977972181293</v>
      </c>
      <c r="O334" s="501">
        <f t="shared" si="124"/>
        <v>0.73918935917225925</v>
      </c>
      <c r="P334" s="501">
        <f t="shared" si="124"/>
        <v>0.78462959010105637</v>
      </c>
      <c r="Q334" s="501">
        <f t="shared" si="124"/>
        <v>0.82615796941668296</v>
      </c>
      <c r="R334" s="442"/>
      <c r="S334" s="442"/>
      <c r="T334" s="442" t="str">
        <f t="shared" ref="T334:AH334" si="125">IF(ISERROR((T257+T258+T259)/T154),"nm",(T257+T258+T259)/T154)</f>
        <v>nm</v>
      </c>
      <c r="U334" s="442" t="str">
        <f t="shared" si="125"/>
        <v>nm</v>
      </c>
      <c r="V334" s="442" t="str">
        <f t="shared" si="125"/>
        <v>nm</v>
      </c>
      <c r="W334" s="442" t="str">
        <f t="shared" si="125"/>
        <v>nm</v>
      </c>
      <c r="X334" s="442" t="str">
        <f t="shared" si="125"/>
        <v>nm</v>
      </c>
      <c r="Y334" s="442" t="str">
        <f t="shared" si="125"/>
        <v>nm</v>
      </c>
      <c r="Z334" s="442" t="str">
        <f t="shared" si="125"/>
        <v>nm</v>
      </c>
      <c r="AA334" s="442" t="str">
        <f t="shared" si="125"/>
        <v>nm</v>
      </c>
      <c r="AB334" s="442" t="str">
        <f t="shared" si="125"/>
        <v>nm</v>
      </c>
      <c r="AC334" s="442" t="str">
        <f t="shared" si="125"/>
        <v>nm</v>
      </c>
      <c r="AD334" s="442" t="str">
        <f t="shared" si="125"/>
        <v>nm</v>
      </c>
      <c r="AE334" s="442" t="str">
        <f t="shared" si="125"/>
        <v>nm</v>
      </c>
      <c r="AF334" s="442" t="str">
        <f t="shared" si="125"/>
        <v>nm</v>
      </c>
      <c r="AG334" s="442" t="str">
        <f t="shared" si="125"/>
        <v>nm</v>
      </c>
      <c r="AH334" s="442" t="str">
        <f t="shared" si="125"/>
        <v>nm</v>
      </c>
      <c r="AI334" s="443"/>
      <c r="AJ334" s="479"/>
      <c r="AK334" s="378" t="str">
        <f>_xll.BLUEMATRIX2("/servlet/excelData",E334,$B$1,$B334&amp;":"&amp;E$115&amp;":"&amp;$AI$114)</f>
        <v>#</v>
      </c>
      <c r="AL334" s="378" t="str">
        <f>_xll.BLUEMATRIX2("/servlet/excelData",F334,$B$1,$B334&amp;":"&amp;F$115&amp;":"&amp;$AI$114)</f>
        <v>#</v>
      </c>
      <c r="AM334" s="378" t="str">
        <f>_xll.BLUEMATRIX2("/servlet/excelData",G334,$B$1,$B334&amp;":"&amp;G$115&amp;":"&amp;$AI$114)</f>
        <v>#</v>
      </c>
      <c r="AN334" s="378" t="str">
        <f>_xll.BLUEMATRIX2("/servlet/excelData",H334,$B$1,$B334&amp;":"&amp;H$115&amp;":"&amp;$AI$114)</f>
        <v>#</v>
      </c>
      <c r="AO334" s="378" t="str">
        <f>_xll.BLUEMATRIX2("/servlet/excelData",I334,$B$1,$B334&amp;":"&amp;I$115&amp;":"&amp;$AI$114)</f>
        <v>#</v>
      </c>
      <c r="AP334" s="378" t="str">
        <f>_xll.BLUEMATRIX2("/servlet/excelData",J334,$B$1,$B334&amp;":"&amp;J$115&amp;":"&amp;$AI$114)</f>
        <v>#</v>
      </c>
      <c r="AQ334" s="378" t="str">
        <f>_xll.BLUEMATRIX2("/servlet/excelData",K334,$B$1,$B334&amp;":"&amp;K$115&amp;":"&amp;$AI$114)</f>
        <v>#</v>
      </c>
      <c r="AR334" s="378" t="str">
        <f>_xll.BLUEMATRIX2("/servlet/excelData",L334,$B$1,$B334&amp;":"&amp;L$115&amp;":"&amp;$AI$114)</f>
        <v>#</v>
      </c>
      <c r="AS334" s="378" t="str">
        <f>_xll.BLUEMATRIX2("/servlet/excelData",M334,$B$1,$B334&amp;":"&amp;M$115&amp;":"&amp;$AI$114)</f>
        <v>#</v>
      </c>
      <c r="AT334" s="378" t="str">
        <f>_xll.BLUEMATRIX2("/servlet/excelData",N334,$B$1,$B334&amp;":"&amp;N$115&amp;":"&amp;$AI$114)</f>
        <v>#</v>
      </c>
      <c r="AU334" s="378" t="str">
        <f>_xll.BLUEMATRIX2("/servlet/excelData",O334,$B$1,$B334&amp;":"&amp;O$115&amp;":"&amp;$AI$114)</f>
        <v>#</v>
      </c>
      <c r="AV334" s="378" t="str">
        <f>_xll.BLUEMATRIX2("/servlet/excelData",P334,$B$1,$B334&amp;":"&amp;P$115&amp;":"&amp;$AI$114)</f>
        <v>#</v>
      </c>
      <c r="AW334" s="378" t="str">
        <f>_xll.BLUEMATRIX2("/servlet/excelData",Q334,$B$1,$B334&amp;":"&amp;Q$115&amp;":"&amp;$AI$114)</f>
        <v>#</v>
      </c>
    </row>
    <row r="335" spans="1:49" ht="12.95" customHeight="1">
      <c r="A335" s="348" t="s">
        <v>1048</v>
      </c>
      <c r="B335" s="350" t="s">
        <v>1049</v>
      </c>
      <c r="C335" s="436" t="s">
        <v>1050</v>
      </c>
      <c r="D335" s="446"/>
      <c r="E335" s="446"/>
      <c r="F335" s="446"/>
      <c r="G335" s="446"/>
      <c r="H335" s="446"/>
      <c r="I335" s="446">
        <f t="shared" ref="I335:Q335" si="126">IF(ISERROR((I196-I218)/I142),"nm",(I196-I218)/I142)</f>
        <v>-0.26736121121253204</v>
      </c>
      <c r="J335" s="446">
        <f t="shared" si="126"/>
        <v>-0.18152330164618596</v>
      </c>
      <c r="K335" s="446">
        <f t="shared" si="126"/>
        <v>-0.15111200459506033</v>
      </c>
      <c r="L335" s="446">
        <f t="shared" si="126"/>
        <v>-0.1354011148812409</v>
      </c>
      <c r="M335" s="446">
        <f t="shared" si="126"/>
        <v>-0.13729427494834084</v>
      </c>
      <c r="N335" s="446">
        <f t="shared" si="126"/>
        <v>-0.13630394259340695</v>
      </c>
      <c r="O335" s="446">
        <f t="shared" si="126"/>
        <v>-0.13086559234279374</v>
      </c>
      <c r="P335" s="446">
        <f t="shared" si="126"/>
        <v>-0.12808342852088661</v>
      </c>
      <c r="Q335" s="446">
        <f t="shared" si="126"/>
        <v>-0.12805716206027928</v>
      </c>
      <c r="R335" s="448"/>
      <c r="S335" s="448"/>
      <c r="T335" s="448" t="str">
        <f t="shared" ref="T335:AH335" si="127">IF(ISERROR((T196-T218)/T142),"nm",(T196-T218)/T142)</f>
        <v>nm</v>
      </c>
      <c r="U335" s="448" t="str">
        <f t="shared" si="127"/>
        <v>nm</v>
      </c>
      <c r="V335" s="448" t="str">
        <f t="shared" si="127"/>
        <v>nm</v>
      </c>
      <c r="W335" s="448" t="str">
        <f t="shared" si="127"/>
        <v>nm</v>
      </c>
      <c r="X335" s="448" t="str">
        <f t="shared" si="127"/>
        <v>nm</v>
      </c>
      <c r="Y335" s="448" t="str">
        <f t="shared" si="127"/>
        <v>nm</v>
      </c>
      <c r="Z335" s="448" t="str">
        <f t="shared" si="127"/>
        <v>nm</v>
      </c>
      <c r="AA335" s="448" t="str">
        <f t="shared" si="127"/>
        <v>nm</v>
      </c>
      <c r="AB335" s="448" t="str">
        <f t="shared" si="127"/>
        <v>nm</v>
      </c>
      <c r="AC335" s="448" t="str">
        <f t="shared" si="127"/>
        <v>nm</v>
      </c>
      <c r="AD335" s="448" t="str">
        <f t="shared" si="127"/>
        <v>nm</v>
      </c>
      <c r="AE335" s="448" t="str">
        <f t="shared" si="127"/>
        <v>nm</v>
      </c>
      <c r="AF335" s="448" t="str">
        <f t="shared" si="127"/>
        <v>nm</v>
      </c>
      <c r="AG335" s="448" t="str">
        <f t="shared" si="127"/>
        <v>nm</v>
      </c>
      <c r="AH335" s="448" t="str">
        <f t="shared" si="127"/>
        <v>nm</v>
      </c>
      <c r="AI335" s="443"/>
      <c r="AJ335" s="479"/>
      <c r="AK335" s="378" t="str">
        <f>_xll.BLUEMATRIX2("/servlet/excelData",E335,$B$1,$B335&amp;":"&amp;E$115&amp;":"&amp;$AI$114)</f>
        <v>#</v>
      </c>
      <c r="AL335" s="378" t="str">
        <f>_xll.BLUEMATRIX2("/servlet/excelData",F335,$B$1,$B335&amp;":"&amp;F$115&amp;":"&amp;$AI$114)</f>
        <v>#</v>
      </c>
      <c r="AM335" s="378" t="str">
        <f>_xll.BLUEMATRIX2("/servlet/excelData",G335,$B$1,$B335&amp;":"&amp;G$115&amp;":"&amp;$AI$114)</f>
        <v>#</v>
      </c>
      <c r="AN335" s="378" t="str">
        <f>_xll.BLUEMATRIX2("/servlet/excelData",H335,$B$1,$B335&amp;":"&amp;H$115&amp;":"&amp;$AI$114)</f>
        <v>#</v>
      </c>
      <c r="AO335" s="378" t="str">
        <f>_xll.BLUEMATRIX2("/servlet/excelData",I335,$B$1,$B335&amp;":"&amp;I$115&amp;":"&amp;$AI$114)</f>
        <v>#</v>
      </c>
      <c r="AP335" s="378" t="str">
        <f>_xll.BLUEMATRIX2("/servlet/excelData",J335,$B$1,$B335&amp;":"&amp;J$115&amp;":"&amp;$AI$114)</f>
        <v>#</v>
      </c>
      <c r="AQ335" s="378" t="str">
        <f>_xll.BLUEMATRIX2("/servlet/excelData",K335,$B$1,$B335&amp;":"&amp;K$115&amp;":"&amp;$AI$114)</f>
        <v>#</v>
      </c>
      <c r="AR335" s="378" t="str">
        <f>_xll.BLUEMATRIX2("/servlet/excelData",L335,$B$1,$B335&amp;":"&amp;L$115&amp;":"&amp;$AI$114)</f>
        <v>#</v>
      </c>
      <c r="AS335" s="378" t="str">
        <f>_xll.BLUEMATRIX2("/servlet/excelData",M335,$B$1,$B335&amp;":"&amp;M$115&amp;":"&amp;$AI$114)</f>
        <v>#</v>
      </c>
      <c r="AT335" s="378" t="str">
        <f>_xll.BLUEMATRIX2("/servlet/excelData",N335,$B$1,$B335&amp;":"&amp;N$115&amp;":"&amp;$AI$114)</f>
        <v>#</v>
      </c>
      <c r="AU335" s="378" t="str">
        <f>_xll.BLUEMATRIX2("/servlet/excelData",O335,$B$1,$B335&amp;":"&amp;O$115&amp;":"&amp;$AI$114)</f>
        <v>#</v>
      </c>
      <c r="AV335" s="378" t="str">
        <f>_xll.BLUEMATRIX2("/servlet/excelData",P335,$B$1,$B335&amp;":"&amp;P$115&amp;":"&amp;$AI$114)</f>
        <v>#</v>
      </c>
      <c r="AW335" s="378" t="str">
        <f>_xll.BLUEMATRIX2("/servlet/excelData",Q335,$B$1,$B335&amp;":"&amp;Q$115&amp;":"&amp;$AI$114)</f>
        <v>#</v>
      </c>
    </row>
    <row r="336" spans="1:49" ht="12.95" customHeight="1">
      <c r="A336" s="348" t="s">
        <v>1051</v>
      </c>
      <c r="B336" s="350" t="s">
        <v>1052</v>
      </c>
      <c r="C336" s="436" t="s">
        <v>1053</v>
      </c>
      <c r="D336" s="446"/>
      <c r="E336" s="446"/>
      <c r="F336" s="446"/>
      <c r="G336" s="446"/>
      <c r="H336" s="446"/>
      <c r="I336" s="446">
        <f t="shared" ref="I336:Q336" si="128">IF(ISERROR(-I154/I190),"nm",-I154/I190)</f>
        <v>6.5641722350070694E-2</v>
      </c>
      <c r="J336" s="446">
        <f t="shared" si="128"/>
        <v>5.487038843529346E-2</v>
      </c>
      <c r="K336" s="446">
        <f t="shared" si="128"/>
        <v>5.0645555958548368E-2</v>
      </c>
      <c r="L336" s="446">
        <f t="shared" si="128"/>
        <v>5.0182485639775697E-2</v>
      </c>
      <c r="M336" s="446">
        <f t="shared" si="128"/>
        <v>6.4928047395209007E-2</v>
      </c>
      <c r="N336" s="446">
        <f t="shared" si="128"/>
        <v>8.277675703467198E-2</v>
      </c>
      <c r="O336" s="446">
        <f t="shared" si="128"/>
        <v>7.7942113320340137E-2</v>
      </c>
      <c r="P336" s="446">
        <f t="shared" si="128"/>
        <v>7.7821292735830438E-2</v>
      </c>
      <c r="Q336" s="446">
        <f t="shared" si="128"/>
        <v>7.76886593561745E-2</v>
      </c>
      <c r="R336" s="448"/>
      <c r="S336" s="448"/>
      <c r="T336" s="448" t="str">
        <f t="shared" ref="T336:AH336" si="129">IF(ISERROR(-T154/T190),"nm",-T154/T190)</f>
        <v>nm</v>
      </c>
      <c r="U336" s="448" t="str">
        <f t="shared" si="129"/>
        <v>nm</v>
      </c>
      <c r="V336" s="448" t="str">
        <f t="shared" si="129"/>
        <v>nm</v>
      </c>
      <c r="W336" s="448" t="str">
        <f t="shared" si="129"/>
        <v>nm</v>
      </c>
      <c r="X336" s="448" t="str">
        <f t="shared" si="129"/>
        <v>nm</v>
      </c>
      <c r="Y336" s="448" t="str">
        <f t="shared" si="129"/>
        <v>nm</v>
      </c>
      <c r="Z336" s="448" t="str">
        <f t="shared" si="129"/>
        <v>nm</v>
      </c>
      <c r="AA336" s="448" t="str">
        <f t="shared" si="129"/>
        <v>nm</v>
      </c>
      <c r="AB336" s="448" t="str">
        <f t="shared" si="129"/>
        <v>nm</v>
      </c>
      <c r="AC336" s="448" t="str">
        <f t="shared" si="129"/>
        <v>nm</v>
      </c>
      <c r="AD336" s="448" t="str">
        <f t="shared" si="129"/>
        <v>nm</v>
      </c>
      <c r="AE336" s="448" t="str">
        <f t="shared" si="129"/>
        <v>nm</v>
      </c>
      <c r="AF336" s="448" t="str">
        <f t="shared" si="129"/>
        <v>nm</v>
      </c>
      <c r="AG336" s="448" t="str">
        <f t="shared" si="129"/>
        <v>nm</v>
      </c>
      <c r="AH336" s="448" t="str">
        <f t="shared" si="129"/>
        <v>nm</v>
      </c>
      <c r="AI336" s="443"/>
      <c r="AJ336" s="479"/>
      <c r="AK336" s="378" t="str">
        <f>_xll.BLUEMATRIX2("/servlet/excelData",E336,$B$1,$B336&amp;":"&amp;E$115&amp;":"&amp;$AI$114)</f>
        <v>#</v>
      </c>
      <c r="AL336" s="378" t="str">
        <f>_xll.BLUEMATRIX2("/servlet/excelData",F336,$B$1,$B336&amp;":"&amp;F$115&amp;":"&amp;$AI$114)</f>
        <v>#</v>
      </c>
      <c r="AM336" s="378" t="str">
        <f>_xll.BLUEMATRIX2("/servlet/excelData",G336,$B$1,$B336&amp;":"&amp;G$115&amp;":"&amp;$AI$114)</f>
        <v>#</v>
      </c>
      <c r="AN336" s="378" t="str">
        <f>_xll.BLUEMATRIX2("/servlet/excelData",H336,$B$1,$B336&amp;":"&amp;H$115&amp;":"&amp;$AI$114)</f>
        <v>#</v>
      </c>
      <c r="AO336" s="378" t="str">
        <f>_xll.BLUEMATRIX2("/servlet/excelData",I336,$B$1,$B336&amp;":"&amp;I$115&amp;":"&amp;$AI$114)</f>
        <v>#</v>
      </c>
      <c r="AP336" s="378" t="str">
        <f>_xll.BLUEMATRIX2("/servlet/excelData",J336,$B$1,$B336&amp;":"&amp;J$115&amp;":"&amp;$AI$114)</f>
        <v>#</v>
      </c>
      <c r="AQ336" s="378" t="str">
        <f>_xll.BLUEMATRIX2("/servlet/excelData",K336,$B$1,$B336&amp;":"&amp;K$115&amp;":"&amp;$AI$114)</f>
        <v>#</v>
      </c>
      <c r="AR336" s="378" t="str">
        <f>_xll.BLUEMATRIX2("/servlet/excelData",L336,$B$1,$B336&amp;":"&amp;L$115&amp;":"&amp;$AI$114)</f>
        <v>#</v>
      </c>
      <c r="AS336" s="378" t="str">
        <f>_xll.BLUEMATRIX2("/servlet/excelData",M336,$B$1,$B336&amp;":"&amp;M$115&amp;":"&amp;$AI$114)</f>
        <v>#</v>
      </c>
      <c r="AT336" s="378" t="str">
        <f>_xll.BLUEMATRIX2("/servlet/excelData",N336,$B$1,$B336&amp;":"&amp;N$115&amp;":"&amp;$AI$114)</f>
        <v>#</v>
      </c>
      <c r="AU336" s="378" t="str">
        <f>_xll.BLUEMATRIX2("/servlet/excelData",O336,$B$1,$B336&amp;":"&amp;O$115&amp;":"&amp;$AI$114)</f>
        <v>#</v>
      </c>
      <c r="AV336" s="378" t="str">
        <f>_xll.BLUEMATRIX2("/servlet/excelData",P336,$B$1,$B336&amp;":"&amp;P$115&amp;":"&amp;$AI$114)</f>
        <v>#</v>
      </c>
      <c r="AW336" s="378" t="str">
        <f>_xll.BLUEMATRIX2("/servlet/excelData",Q336,$B$1,$B336&amp;":"&amp;Q$115&amp;":"&amp;$AI$114)</f>
        <v>#</v>
      </c>
    </row>
    <row r="337" spans="1:49" ht="12.95" customHeight="1">
      <c r="A337" s="348"/>
      <c r="B337" s="350" t="s">
        <v>1054</v>
      </c>
      <c r="C337" s="436" t="s">
        <v>1055</v>
      </c>
      <c r="D337" s="502"/>
      <c r="E337" s="502"/>
      <c r="F337" s="502"/>
      <c r="G337" s="502"/>
      <c r="H337" s="502"/>
      <c r="I337" s="502">
        <f>((I18*HY!$D$653*I286)+I233)/I149</f>
        <v>23.08262544194999</v>
      </c>
      <c r="J337" s="502">
        <f>((J18*HY!$D$653*J286)+J233)/J149</f>
        <v>8.0975050959470884</v>
      </c>
      <c r="K337" s="502">
        <f>((K18*HY!$D$653*K286)+K233)/K149</f>
        <v>3.6475678245399568</v>
      </c>
      <c r="L337" s="502">
        <f>((L18*HY!$D$653*L286)+L233)/L149</f>
        <v>4.6183925616482675</v>
      </c>
      <c r="M337" s="502">
        <f>((M18*HY!$D$653*M286)+M233)/M149</f>
        <v>6.3570430765837003</v>
      </c>
      <c r="N337" s="502">
        <f>((N18*HY!$D$653*N286)+N233)/N149</f>
        <v>4.6985535194588426</v>
      </c>
      <c r="O337" s="502">
        <f>((O18*HY!$D$653*O286)+O233)/O149</f>
        <v>3.8947862117928165</v>
      </c>
      <c r="P337" s="502">
        <f>((P18*HY!$D$653*P286)+P233)/P149</f>
        <v>3.0752442813827385</v>
      </c>
      <c r="Q337" s="502">
        <f>((Q18*HY!$D$653*Q286)+Q233)/Q149</f>
        <v>2.5089595592596985</v>
      </c>
      <c r="R337" s="441"/>
      <c r="S337" s="441"/>
      <c r="T337" s="441"/>
      <c r="U337" s="441"/>
      <c r="V337" s="441"/>
      <c r="W337" s="441"/>
      <c r="X337" s="441"/>
      <c r="Y337" s="441"/>
      <c r="Z337" s="441"/>
      <c r="AA337" s="441"/>
      <c r="AB337" s="441"/>
      <c r="AC337" s="441"/>
      <c r="AD337" s="441"/>
      <c r="AE337" s="441"/>
      <c r="AF337" s="441"/>
      <c r="AG337" s="441"/>
      <c r="AH337" s="441"/>
      <c r="AI337" s="322"/>
      <c r="AJ337" s="479"/>
      <c r="AK337" s="378" t="str">
        <f>_xll.BLUEMATRIX2("/servlet/excelData",E337,$B$1,$B337&amp;":"&amp;E$115&amp;":"&amp;$AI$114)</f>
        <v>#</v>
      </c>
      <c r="AL337" s="378" t="str">
        <f>_xll.BLUEMATRIX2("/servlet/excelData",F337,$B$1,$B337&amp;":"&amp;F$115&amp;":"&amp;$AI$114)</f>
        <v>#</v>
      </c>
      <c r="AM337" s="378" t="str">
        <f>_xll.BLUEMATRIX2("/servlet/excelData",G337,$B$1,$B337&amp;":"&amp;G$115&amp;":"&amp;$AI$114)</f>
        <v>#</v>
      </c>
      <c r="AN337" s="378" t="str">
        <f>_xll.BLUEMATRIX2("/servlet/excelData",H337,$B$1,$B337&amp;":"&amp;H$115&amp;":"&amp;$AI$114)</f>
        <v>#</v>
      </c>
      <c r="AO337" s="378" t="str">
        <f>_xll.BLUEMATRIX2("/servlet/excelData",I337,$B$1,$B337&amp;":"&amp;I$115&amp;":"&amp;$AI$114)</f>
        <v>#</v>
      </c>
      <c r="AP337" s="378" t="str">
        <f>_xll.BLUEMATRIX2("/servlet/excelData",J337,$B$1,$B337&amp;":"&amp;J$115&amp;":"&amp;$AI$114)</f>
        <v>#</v>
      </c>
      <c r="AQ337" s="378" t="str">
        <f>_xll.BLUEMATRIX2("/servlet/excelData",K337,$B$1,$B337&amp;":"&amp;K$115&amp;":"&amp;$AI$114)</f>
        <v>#</v>
      </c>
      <c r="AR337" s="378" t="str">
        <f>_xll.BLUEMATRIX2("/servlet/excelData",L337,$B$1,$B337&amp;":"&amp;L$115&amp;":"&amp;$AI$114)</f>
        <v>#</v>
      </c>
      <c r="AS337" s="378" t="str">
        <f>_xll.BLUEMATRIX2("/servlet/excelData",M337,$B$1,$B337&amp;":"&amp;M$115&amp;":"&amp;$AI$114)</f>
        <v>#</v>
      </c>
      <c r="AT337" s="378" t="str">
        <f>_xll.BLUEMATRIX2("/servlet/excelData",N337,$B$1,$B337&amp;":"&amp;N$115&amp;":"&amp;$AI$114)</f>
        <v>#</v>
      </c>
      <c r="AU337" s="378" t="str">
        <f>_xll.BLUEMATRIX2("/servlet/excelData",O337,$B$1,$B337&amp;":"&amp;O$115&amp;":"&amp;$AI$114)</f>
        <v>#</v>
      </c>
      <c r="AV337" s="378" t="str">
        <f>_xll.BLUEMATRIX2("/servlet/excelData",P337,$B$1,$B337&amp;":"&amp;P$115&amp;":"&amp;$AI$114)</f>
        <v>#</v>
      </c>
      <c r="AW337" s="378" t="str">
        <f>_xll.BLUEMATRIX2("/servlet/excelData",Q337,$B$1,$B337&amp;":"&amp;Q$115&amp;":"&amp;$AI$114)</f>
        <v>#</v>
      </c>
    </row>
    <row r="338" spans="1:49" ht="12.95" customHeight="1">
      <c r="A338" s="348"/>
      <c r="B338" s="350"/>
      <c r="C338" s="440"/>
      <c r="D338" s="441"/>
      <c r="E338" s="441"/>
      <c r="F338" s="441"/>
      <c r="G338" s="441"/>
      <c r="H338" s="441"/>
      <c r="I338" s="441"/>
      <c r="J338" s="441"/>
      <c r="K338" s="441"/>
      <c r="L338" s="441"/>
      <c r="M338" s="441"/>
      <c r="N338" s="441"/>
      <c r="O338" s="441"/>
      <c r="P338" s="441"/>
      <c r="Q338" s="441"/>
      <c r="R338" s="441"/>
      <c r="S338" s="441"/>
      <c r="T338" s="441"/>
      <c r="U338" s="441"/>
      <c r="V338" s="441"/>
      <c r="W338" s="441"/>
      <c r="X338" s="441"/>
      <c r="Y338" s="441"/>
      <c r="Z338" s="441"/>
      <c r="AA338" s="441"/>
      <c r="AB338" s="441"/>
      <c r="AC338" s="441"/>
      <c r="AD338" s="441"/>
      <c r="AE338" s="441"/>
      <c r="AF338" s="441"/>
      <c r="AG338" s="441"/>
      <c r="AH338" s="441"/>
      <c r="AI338" s="322"/>
      <c r="AJ338" s="477"/>
      <c r="AK338" s="351"/>
      <c r="AL338" s="351"/>
      <c r="AM338" s="351"/>
      <c r="AN338" s="351"/>
      <c r="AO338" s="351"/>
      <c r="AP338" s="351"/>
      <c r="AQ338" s="351"/>
      <c r="AR338" s="351"/>
      <c r="AS338" s="351"/>
      <c r="AT338" s="351"/>
      <c r="AU338" s="351"/>
      <c r="AV338" s="351"/>
      <c r="AW338" s="351"/>
    </row>
    <row r="339" spans="1:49" ht="15" customHeight="1">
      <c r="A339" s="368"/>
      <c r="B339" s="350"/>
      <c r="C339" s="369" t="s">
        <v>1056</v>
      </c>
      <c r="D339" s="377"/>
      <c r="E339" s="377" t="str">
        <f t="shared" ref="E339:Q339" si="130">+E114</f>
        <v>FY2018A</v>
      </c>
      <c r="F339" s="377" t="str">
        <f t="shared" si="130"/>
        <v>FY2019A</v>
      </c>
      <c r="G339" s="377" t="str">
        <f t="shared" si="130"/>
        <v>FY2020A</v>
      </c>
      <c r="H339" s="377" t="str">
        <f t="shared" si="130"/>
        <v>FY2021A</v>
      </c>
      <c r="I339" s="377" t="str">
        <f t="shared" si="130"/>
        <v>FY2022A</v>
      </c>
      <c r="J339" s="377" t="str">
        <f t="shared" si="130"/>
        <v>FY2023A</v>
      </c>
      <c r="K339" s="377" t="str">
        <f t="shared" si="130"/>
        <v>FY2024A</v>
      </c>
      <c r="L339" s="377" t="str">
        <f t="shared" si="130"/>
        <v>FY2025A</v>
      </c>
      <c r="M339" s="377" t="str">
        <f t="shared" si="130"/>
        <v>FY2026A</v>
      </c>
      <c r="N339" s="377" t="str">
        <f t="shared" si="130"/>
        <v>FY2027F</v>
      </c>
      <c r="O339" s="377" t="str">
        <f t="shared" si="130"/>
        <v>FY2028F</v>
      </c>
      <c r="P339" s="377" t="str">
        <f t="shared" si="130"/>
        <v>FY2029F</v>
      </c>
      <c r="Q339" s="377" t="str">
        <f t="shared" si="130"/>
        <v>FY2030F</v>
      </c>
      <c r="R339" s="377"/>
      <c r="S339" s="370"/>
      <c r="T339" s="370"/>
      <c r="U339" s="370"/>
      <c r="V339" s="370"/>
      <c r="W339" s="370"/>
      <c r="X339" s="370"/>
      <c r="Y339" s="370"/>
      <c r="Z339" s="370"/>
      <c r="AA339" s="370"/>
      <c r="AB339" s="370"/>
      <c r="AC339" s="370"/>
      <c r="AD339" s="370"/>
      <c r="AE339" s="370"/>
      <c r="AF339" s="370"/>
      <c r="AG339" s="370"/>
      <c r="AH339" s="370"/>
      <c r="AI339" s="328"/>
      <c r="AJ339" s="477"/>
      <c r="AK339" s="351"/>
      <c r="AL339" s="351"/>
      <c r="AM339" s="351"/>
      <c r="AN339" s="351"/>
      <c r="AO339" s="351"/>
      <c r="AP339" s="351"/>
      <c r="AQ339" s="351"/>
      <c r="AR339" s="351"/>
      <c r="AS339" s="351"/>
      <c r="AT339" s="351"/>
      <c r="AU339" s="351"/>
      <c r="AV339" s="351"/>
      <c r="AW339" s="351"/>
    </row>
    <row r="340" spans="1:49" ht="12.95" customHeight="1">
      <c r="A340" s="348" t="s">
        <v>1057</v>
      </c>
      <c r="B340" s="350" t="s">
        <v>1058</v>
      </c>
      <c r="C340" s="434"/>
      <c r="D340" s="384"/>
      <c r="E340" s="384"/>
      <c r="F340" s="384"/>
      <c r="G340" s="384"/>
      <c r="H340" s="384"/>
      <c r="I340" s="384"/>
      <c r="J340" s="384"/>
      <c r="K340" s="384"/>
      <c r="L340" s="384"/>
      <c r="M340" s="384"/>
      <c r="N340" s="384"/>
      <c r="O340" s="384"/>
      <c r="P340" s="384"/>
      <c r="Q340" s="384"/>
      <c r="R340" s="384"/>
      <c r="S340" s="384"/>
      <c r="T340" s="384"/>
      <c r="U340" s="384"/>
      <c r="V340" s="384"/>
      <c r="W340" s="384"/>
      <c r="X340" s="384"/>
      <c r="Y340" s="384"/>
      <c r="Z340" s="384"/>
      <c r="AA340" s="384"/>
      <c r="AB340" s="384"/>
      <c r="AC340" s="384"/>
      <c r="AD340" s="384"/>
      <c r="AE340" s="384"/>
      <c r="AF340" s="384"/>
      <c r="AG340" s="384"/>
      <c r="AH340" s="384"/>
      <c r="AI340" s="378"/>
      <c r="AJ340" s="477"/>
      <c r="AK340" s="378"/>
      <c r="AL340" s="378"/>
      <c r="AM340" s="378"/>
      <c r="AN340" s="378"/>
      <c r="AO340" s="378"/>
      <c r="AP340" s="378"/>
      <c r="AQ340" s="378"/>
      <c r="AR340" s="378"/>
      <c r="AS340" s="378"/>
      <c r="AT340" s="378"/>
      <c r="AU340" s="378"/>
      <c r="AV340" s="378"/>
      <c r="AW340" s="378"/>
    </row>
    <row r="341" spans="1:49" ht="12.95" customHeight="1">
      <c r="A341" s="348" t="s">
        <v>1059</v>
      </c>
      <c r="B341" s="350" t="s">
        <v>1060</v>
      </c>
      <c r="C341" s="434"/>
      <c r="D341" s="384"/>
      <c r="E341" s="384"/>
      <c r="F341" s="384"/>
      <c r="G341" s="384"/>
      <c r="H341" s="384"/>
      <c r="I341" s="384"/>
      <c r="J341" s="384"/>
      <c r="K341" s="384"/>
      <c r="L341" s="384"/>
      <c r="M341" s="384"/>
      <c r="N341" s="384"/>
      <c r="O341" s="384"/>
      <c r="P341" s="384"/>
      <c r="Q341" s="384"/>
      <c r="R341" s="384"/>
      <c r="S341" s="384"/>
      <c r="T341" s="384"/>
      <c r="U341" s="384"/>
      <c r="V341" s="384"/>
      <c r="W341" s="384"/>
      <c r="X341" s="384"/>
      <c r="Y341" s="384"/>
      <c r="Z341" s="384"/>
      <c r="AA341" s="384"/>
      <c r="AB341" s="384"/>
      <c r="AC341" s="384"/>
      <c r="AD341" s="384"/>
      <c r="AE341" s="384"/>
      <c r="AF341" s="384"/>
      <c r="AG341" s="384"/>
      <c r="AH341" s="384"/>
      <c r="AI341" s="378"/>
      <c r="AJ341" s="477"/>
      <c r="AK341" s="378"/>
      <c r="AL341" s="378"/>
      <c r="AM341" s="378"/>
      <c r="AN341" s="378"/>
      <c r="AO341" s="378"/>
      <c r="AP341" s="378"/>
      <c r="AQ341" s="378"/>
      <c r="AR341" s="378"/>
      <c r="AS341" s="378"/>
      <c r="AT341" s="378"/>
      <c r="AU341" s="378"/>
      <c r="AV341" s="378"/>
      <c r="AW341" s="378"/>
    </row>
    <row r="342" spans="1:49" ht="12.95" customHeight="1">
      <c r="A342" s="348" t="s">
        <v>1061</v>
      </c>
      <c r="B342" s="350" t="s">
        <v>1062</v>
      </c>
      <c r="C342" s="434"/>
      <c r="D342" s="384"/>
      <c r="E342" s="384"/>
      <c r="F342" s="384"/>
      <c r="G342" s="384"/>
      <c r="H342" s="384"/>
      <c r="I342" s="384"/>
      <c r="J342" s="384"/>
      <c r="K342" s="384"/>
      <c r="L342" s="384"/>
      <c r="M342" s="384"/>
      <c r="N342" s="384"/>
      <c r="O342" s="384"/>
      <c r="P342" s="384"/>
      <c r="Q342" s="384"/>
      <c r="R342" s="384"/>
      <c r="S342" s="384"/>
      <c r="T342" s="384"/>
      <c r="U342" s="384"/>
      <c r="V342" s="384"/>
      <c r="W342" s="384"/>
      <c r="X342" s="384"/>
      <c r="Y342" s="384"/>
      <c r="Z342" s="384"/>
      <c r="AA342" s="384"/>
      <c r="AB342" s="384"/>
      <c r="AC342" s="384"/>
      <c r="AD342" s="384"/>
      <c r="AE342" s="384"/>
      <c r="AF342" s="384"/>
      <c r="AG342" s="384"/>
      <c r="AH342" s="384"/>
      <c r="AI342" s="378"/>
      <c r="AJ342" s="477"/>
      <c r="AK342" s="378"/>
      <c r="AL342" s="378"/>
      <c r="AM342" s="378"/>
      <c r="AN342" s="378"/>
      <c r="AO342" s="378"/>
      <c r="AP342" s="378"/>
      <c r="AQ342" s="378"/>
      <c r="AR342" s="378"/>
      <c r="AS342" s="378"/>
      <c r="AT342" s="378"/>
      <c r="AU342" s="378"/>
      <c r="AV342" s="378"/>
      <c r="AW342" s="378"/>
    </row>
    <row r="343" spans="1:49" ht="12.95" customHeight="1">
      <c r="A343" s="348" t="s">
        <v>1063</v>
      </c>
      <c r="B343" s="350" t="s">
        <v>1064</v>
      </c>
      <c r="C343" s="434"/>
      <c r="D343" s="384"/>
      <c r="E343" s="384"/>
      <c r="F343" s="384"/>
      <c r="G343" s="384"/>
      <c r="H343" s="384"/>
      <c r="I343" s="384"/>
      <c r="J343" s="384"/>
      <c r="K343" s="384"/>
      <c r="L343" s="384"/>
      <c r="M343" s="384"/>
      <c r="N343" s="384"/>
      <c r="O343" s="384"/>
      <c r="P343" s="384"/>
      <c r="Q343" s="384"/>
      <c r="R343" s="384"/>
      <c r="S343" s="384"/>
      <c r="T343" s="384"/>
      <c r="U343" s="384"/>
      <c r="V343" s="384"/>
      <c r="W343" s="384"/>
      <c r="X343" s="384"/>
      <c r="Y343" s="384"/>
      <c r="Z343" s="384"/>
      <c r="AA343" s="384"/>
      <c r="AB343" s="384"/>
      <c r="AC343" s="384"/>
      <c r="AD343" s="384"/>
      <c r="AE343" s="384"/>
      <c r="AF343" s="384"/>
      <c r="AG343" s="384"/>
      <c r="AH343" s="384"/>
      <c r="AI343" s="378"/>
      <c r="AJ343" s="477"/>
      <c r="AK343" s="378"/>
      <c r="AL343" s="378"/>
      <c r="AM343" s="378"/>
      <c r="AN343" s="378"/>
      <c r="AO343" s="378"/>
      <c r="AP343" s="378"/>
      <c r="AQ343" s="378"/>
      <c r="AR343" s="378"/>
      <c r="AS343" s="378"/>
      <c r="AT343" s="378"/>
      <c r="AU343" s="378"/>
      <c r="AV343" s="378"/>
      <c r="AW343" s="378"/>
    </row>
    <row r="344" spans="1:49" ht="12.95" customHeight="1">
      <c r="A344" s="348" t="s">
        <v>1065</v>
      </c>
      <c r="B344" s="350" t="s">
        <v>1066</v>
      </c>
      <c r="C344" s="434"/>
      <c r="D344" s="384"/>
      <c r="E344" s="384"/>
      <c r="F344" s="384"/>
      <c r="G344" s="384"/>
      <c r="H344" s="384"/>
      <c r="I344" s="384"/>
      <c r="J344" s="384"/>
      <c r="K344" s="384"/>
      <c r="L344" s="384"/>
      <c r="M344" s="384"/>
      <c r="N344" s="384"/>
      <c r="O344" s="384"/>
      <c r="P344" s="384"/>
      <c r="Q344" s="384"/>
      <c r="R344" s="384"/>
      <c r="S344" s="384"/>
      <c r="T344" s="384"/>
      <c r="U344" s="384"/>
      <c r="V344" s="384"/>
      <c r="W344" s="384"/>
      <c r="X344" s="384"/>
      <c r="Y344" s="384"/>
      <c r="Z344" s="384"/>
      <c r="AA344" s="384"/>
      <c r="AB344" s="384"/>
      <c r="AC344" s="384"/>
      <c r="AD344" s="384"/>
      <c r="AE344" s="384"/>
      <c r="AF344" s="384"/>
      <c r="AG344" s="384"/>
      <c r="AH344" s="384"/>
      <c r="AI344" s="378"/>
      <c r="AJ344" s="477"/>
      <c r="AK344" s="378"/>
      <c r="AL344" s="378"/>
      <c r="AM344" s="378"/>
      <c r="AN344" s="378"/>
      <c r="AO344" s="378"/>
      <c r="AP344" s="378"/>
      <c r="AQ344" s="378"/>
      <c r="AR344" s="378"/>
      <c r="AS344" s="378"/>
      <c r="AT344" s="378"/>
      <c r="AU344" s="378"/>
      <c r="AV344" s="378"/>
      <c r="AW344" s="378"/>
    </row>
    <row r="345" spans="1:49" ht="12.95" customHeight="1">
      <c r="A345" s="348" t="s">
        <v>1067</v>
      </c>
      <c r="B345" s="350" t="s">
        <v>1068</v>
      </c>
      <c r="C345" s="434"/>
      <c r="D345" s="384"/>
      <c r="E345" s="384"/>
      <c r="F345" s="384"/>
      <c r="G345" s="384"/>
      <c r="H345" s="384"/>
      <c r="I345" s="384"/>
      <c r="J345" s="384"/>
      <c r="K345" s="384"/>
      <c r="L345" s="384"/>
      <c r="M345" s="384"/>
      <c r="N345" s="384"/>
      <c r="O345" s="384"/>
      <c r="P345" s="384"/>
      <c r="Q345" s="384"/>
      <c r="R345" s="384"/>
      <c r="S345" s="384"/>
      <c r="T345" s="384"/>
      <c r="U345" s="384"/>
      <c r="V345" s="384"/>
      <c r="W345" s="384"/>
      <c r="X345" s="384"/>
      <c r="Y345" s="384"/>
      <c r="Z345" s="384"/>
      <c r="AA345" s="384"/>
      <c r="AB345" s="384"/>
      <c r="AC345" s="384"/>
      <c r="AD345" s="384"/>
      <c r="AE345" s="384"/>
      <c r="AF345" s="384"/>
      <c r="AG345" s="384"/>
      <c r="AH345" s="384"/>
      <c r="AI345" s="378"/>
      <c r="AJ345" s="477"/>
      <c r="AK345" s="378"/>
      <c r="AL345" s="378"/>
      <c r="AM345" s="378"/>
      <c r="AN345" s="378"/>
      <c r="AO345" s="378"/>
      <c r="AP345" s="378"/>
      <c r="AQ345" s="378"/>
      <c r="AR345" s="378"/>
      <c r="AS345" s="378"/>
      <c r="AT345" s="378"/>
      <c r="AU345" s="378"/>
      <c r="AV345" s="378"/>
      <c r="AW345" s="378"/>
    </row>
    <row r="346" spans="1:49" ht="12.95" customHeight="1">
      <c r="A346" s="348" t="s">
        <v>1069</v>
      </c>
      <c r="B346" s="350" t="s">
        <v>1070</v>
      </c>
      <c r="C346" s="434"/>
      <c r="D346" s="384"/>
      <c r="E346" s="384"/>
      <c r="F346" s="384"/>
      <c r="G346" s="384"/>
      <c r="H346" s="384"/>
      <c r="I346" s="384"/>
      <c r="J346" s="384"/>
      <c r="K346" s="384"/>
      <c r="L346" s="384"/>
      <c r="M346" s="384"/>
      <c r="N346" s="384"/>
      <c r="O346" s="384"/>
      <c r="P346" s="384"/>
      <c r="Q346" s="384"/>
      <c r="R346" s="384"/>
      <c r="S346" s="384"/>
      <c r="T346" s="384"/>
      <c r="U346" s="384"/>
      <c r="V346" s="384"/>
      <c r="W346" s="384"/>
      <c r="X346" s="384"/>
      <c r="Y346" s="384"/>
      <c r="Z346" s="384"/>
      <c r="AA346" s="384"/>
      <c r="AB346" s="384"/>
      <c r="AC346" s="384"/>
      <c r="AD346" s="384"/>
      <c r="AE346" s="384"/>
      <c r="AF346" s="384"/>
      <c r="AG346" s="384"/>
      <c r="AH346" s="384"/>
      <c r="AI346" s="378"/>
      <c r="AJ346" s="477"/>
      <c r="AK346" s="378"/>
      <c r="AL346" s="378"/>
      <c r="AM346" s="378"/>
      <c r="AN346" s="378"/>
      <c r="AO346" s="378"/>
      <c r="AP346" s="378"/>
      <c r="AQ346" s="378"/>
      <c r="AR346" s="378"/>
      <c r="AS346" s="378"/>
      <c r="AT346" s="378"/>
      <c r="AU346" s="378"/>
      <c r="AV346" s="378"/>
      <c r="AW346" s="378"/>
    </row>
    <row r="347" spans="1:49" ht="12.95" customHeight="1">
      <c r="A347" s="348" t="s">
        <v>1071</v>
      </c>
      <c r="B347" s="350" t="s">
        <v>1072</v>
      </c>
      <c r="C347" s="434"/>
      <c r="D347" s="384"/>
      <c r="E347" s="384"/>
      <c r="F347" s="384"/>
      <c r="G347" s="384"/>
      <c r="H347" s="384"/>
      <c r="I347" s="384"/>
      <c r="J347" s="384"/>
      <c r="K347" s="384"/>
      <c r="L347" s="384"/>
      <c r="M347" s="384"/>
      <c r="N347" s="384"/>
      <c r="O347" s="384"/>
      <c r="P347" s="384"/>
      <c r="Q347" s="384"/>
      <c r="R347" s="384"/>
      <c r="S347" s="384"/>
      <c r="T347" s="384"/>
      <c r="U347" s="384"/>
      <c r="V347" s="384"/>
      <c r="W347" s="384"/>
      <c r="X347" s="384"/>
      <c r="Y347" s="384"/>
      <c r="Z347" s="384"/>
      <c r="AA347" s="384"/>
      <c r="AB347" s="384"/>
      <c r="AC347" s="384"/>
      <c r="AD347" s="384"/>
      <c r="AE347" s="384"/>
      <c r="AF347" s="384"/>
      <c r="AG347" s="384"/>
      <c r="AH347" s="384"/>
      <c r="AI347" s="378"/>
      <c r="AJ347" s="477"/>
      <c r="AK347" s="378"/>
      <c r="AL347" s="378"/>
      <c r="AM347" s="378"/>
      <c r="AN347" s="378"/>
      <c r="AO347" s="378"/>
      <c r="AP347" s="378"/>
      <c r="AQ347" s="378"/>
      <c r="AR347" s="378"/>
      <c r="AS347" s="378"/>
      <c r="AT347" s="378"/>
      <c r="AU347" s="378"/>
      <c r="AV347" s="378"/>
      <c r="AW347" s="378"/>
    </row>
    <row r="348" spans="1:49" ht="12.95" customHeight="1">
      <c r="A348" s="348" t="s">
        <v>1073</v>
      </c>
      <c r="B348" s="350" t="s">
        <v>1074</v>
      </c>
      <c r="C348" s="434"/>
      <c r="D348" s="384"/>
      <c r="E348" s="384"/>
      <c r="F348" s="384"/>
      <c r="G348" s="384"/>
      <c r="H348" s="384"/>
      <c r="I348" s="384"/>
      <c r="J348" s="384"/>
      <c r="K348" s="384"/>
      <c r="L348" s="384"/>
      <c r="M348" s="384"/>
      <c r="N348" s="384"/>
      <c r="O348" s="384"/>
      <c r="P348" s="384"/>
      <c r="Q348" s="384"/>
      <c r="R348" s="384"/>
      <c r="S348" s="384"/>
      <c r="T348" s="384"/>
      <c r="U348" s="384"/>
      <c r="V348" s="384"/>
      <c r="W348" s="384"/>
      <c r="X348" s="384"/>
      <c r="Y348" s="384"/>
      <c r="Z348" s="384"/>
      <c r="AA348" s="384"/>
      <c r="AB348" s="384"/>
      <c r="AC348" s="384"/>
      <c r="AD348" s="384"/>
      <c r="AE348" s="384"/>
      <c r="AF348" s="384"/>
      <c r="AG348" s="384"/>
      <c r="AH348" s="384"/>
      <c r="AI348" s="378"/>
      <c r="AJ348" s="477"/>
      <c r="AK348" s="378"/>
      <c r="AL348" s="378"/>
      <c r="AM348" s="378"/>
      <c r="AN348" s="378"/>
      <c r="AO348" s="378"/>
      <c r="AP348" s="378"/>
      <c r="AQ348" s="378"/>
      <c r="AR348" s="378"/>
      <c r="AS348" s="378"/>
      <c r="AT348" s="378"/>
      <c r="AU348" s="378"/>
      <c r="AV348" s="378"/>
      <c r="AW348" s="378"/>
    </row>
    <row r="349" spans="1:49" ht="12.95" customHeight="1">
      <c r="A349" s="348" t="s">
        <v>1075</v>
      </c>
      <c r="B349" s="350" t="s">
        <v>1076</v>
      </c>
      <c r="C349" s="434"/>
      <c r="D349" s="384"/>
      <c r="E349" s="384"/>
      <c r="F349" s="384"/>
      <c r="G349" s="384"/>
      <c r="H349" s="384"/>
      <c r="I349" s="384"/>
      <c r="J349" s="384"/>
      <c r="K349" s="384"/>
      <c r="L349" s="384"/>
      <c r="M349" s="384"/>
      <c r="N349" s="384"/>
      <c r="O349" s="384"/>
      <c r="P349" s="384"/>
      <c r="Q349" s="384"/>
      <c r="R349" s="384"/>
      <c r="S349" s="384"/>
      <c r="T349" s="384"/>
      <c r="U349" s="384"/>
      <c r="V349" s="384"/>
      <c r="W349" s="384"/>
      <c r="X349" s="384"/>
      <c r="Y349" s="384"/>
      <c r="Z349" s="384"/>
      <c r="AA349" s="384"/>
      <c r="AB349" s="384"/>
      <c r="AC349" s="384"/>
      <c r="AD349" s="384"/>
      <c r="AE349" s="384"/>
      <c r="AF349" s="384"/>
      <c r="AG349" s="384"/>
      <c r="AH349" s="384"/>
      <c r="AI349" s="378"/>
      <c r="AJ349" s="477"/>
      <c r="AK349" s="378"/>
      <c r="AL349" s="378"/>
      <c r="AM349" s="378"/>
      <c r="AN349" s="378"/>
      <c r="AO349" s="378"/>
      <c r="AP349" s="378"/>
      <c r="AQ349" s="378"/>
      <c r="AR349" s="378"/>
      <c r="AS349" s="378"/>
      <c r="AT349" s="378"/>
      <c r="AU349" s="378"/>
      <c r="AV349" s="378"/>
      <c r="AW349" s="378"/>
    </row>
    <row r="350" spans="1:49" ht="12.95" customHeight="1">
      <c r="A350" s="348"/>
      <c r="B350" s="350"/>
      <c r="C350" s="435"/>
      <c r="D350" s="453"/>
      <c r="E350" s="453"/>
      <c r="F350" s="453"/>
      <c r="G350" s="453"/>
      <c r="H350" s="453"/>
      <c r="I350" s="453"/>
      <c r="J350" s="453"/>
      <c r="K350" s="453"/>
      <c r="L350" s="453"/>
      <c r="M350" s="453"/>
      <c r="N350" s="453"/>
      <c r="O350" s="453"/>
      <c r="P350" s="453"/>
      <c r="Q350" s="453"/>
      <c r="R350" s="453"/>
      <c r="S350" s="453"/>
      <c r="T350" s="453"/>
      <c r="U350" s="453"/>
      <c r="V350" s="453"/>
      <c r="W350" s="453"/>
      <c r="X350" s="453"/>
      <c r="Y350" s="453"/>
      <c r="Z350" s="453"/>
      <c r="AA350" s="453"/>
      <c r="AB350" s="453"/>
      <c r="AC350" s="453"/>
      <c r="AD350" s="453"/>
      <c r="AE350" s="453"/>
      <c r="AF350" s="453"/>
      <c r="AG350" s="453"/>
      <c r="AH350" s="453"/>
      <c r="AI350" s="378"/>
      <c r="AJ350" s="477"/>
      <c r="AK350" s="378"/>
      <c r="AL350" s="378"/>
      <c r="AM350" s="378"/>
      <c r="AN350" s="378"/>
      <c r="AO350" s="378"/>
      <c r="AP350" s="378"/>
      <c r="AQ350" s="378"/>
      <c r="AR350" s="378"/>
      <c r="AS350" s="378"/>
      <c r="AT350" s="378"/>
      <c r="AU350" s="378"/>
      <c r="AV350" s="378"/>
      <c r="AW350" s="378"/>
    </row>
    <row r="351" spans="1:49" ht="12.95" customHeight="1">
      <c r="A351" s="348" t="s">
        <v>1077</v>
      </c>
      <c r="B351" s="350" t="s">
        <v>1078</v>
      </c>
      <c r="C351" s="454" t="str">
        <f t="shared" ref="C351:C357" si="131">D46&amp;" "&amp;$D$57</f>
        <v>Auckland EBITDA</v>
      </c>
      <c r="D351" s="384"/>
      <c r="E351" s="384"/>
      <c r="F351" s="384"/>
      <c r="G351" s="384"/>
      <c r="H351" s="384"/>
      <c r="I351" s="384">
        <f>FY!G13</f>
        <v>100.9</v>
      </c>
      <c r="J351" s="384">
        <f>FY!H13</f>
        <v>251.5</v>
      </c>
      <c r="K351" s="384">
        <f>FY!I13</f>
        <v>237</v>
      </c>
      <c r="L351" s="384">
        <f>FY!J13</f>
        <v>209.6</v>
      </c>
      <c r="M351" s="384">
        <f>FY!K13</f>
        <v>179.8</v>
      </c>
      <c r="N351" s="384">
        <f>FY!L13</f>
        <v>185.69839999999999</v>
      </c>
      <c r="O351" s="384">
        <f>FY!M13</f>
        <v>210.14612399999999</v>
      </c>
      <c r="P351" s="384">
        <f>FY!N13</f>
        <v>215.23099956000004</v>
      </c>
      <c r="Q351" s="384">
        <f>FY!O13</f>
        <v>220.48414164600001</v>
      </c>
      <c r="R351" s="384"/>
      <c r="S351" s="384"/>
      <c r="T351" s="384"/>
      <c r="U351" s="384"/>
      <c r="V351" s="384"/>
      <c r="W351" s="384"/>
      <c r="X351" s="384"/>
      <c r="Y351" s="384"/>
      <c r="Z351" s="384"/>
      <c r="AA351" s="384"/>
      <c r="AB351" s="384"/>
      <c r="AC351" s="384"/>
      <c r="AD351" s="384"/>
      <c r="AE351" s="384"/>
      <c r="AF351" s="384"/>
      <c r="AG351" s="384"/>
      <c r="AH351" s="384"/>
      <c r="AI351" s="521" t="str">
        <f>_xll.BLUEMATRIX2("ExcelToolkitService",C351,$B$1,"[DivisionName:11]DIVISION")</f>
        <v>#</v>
      </c>
      <c r="AJ351" s="477"/>
      <c r="AK351" s="378" t="str">
        <f>_xll.BLUEMATRIX2("/servlet/excelData",E351,$B$1,$B351&amp;":"&amp;E$115&amp;":"&amp;$AI$114)</f>
        <v>#</v>
      </c>
      <c r="AL351" s="378" t="str">
        <f>_xll.BLUEMATRIX2("/servlet/excelData",F351,$B$1,$B351&amp;":"&amp;F$115&amp;":"&amp;$AI$114)</f>
        <v>#</v>
      </c>
      <c r="AM351" s="378" t="str">
        <f>_xll.BLUEMATRIX2("/servlet/excelData",G351,$B$1,$B351&amp;":"&amp;G$115&amp;":"&amp;$AI$114)</f>
        <v>#</v>
      </c>
      <c r="AN351" s="378" t="str">
        <f>_xll.BLUEMATRIX2("/servlet/excelData",H351,$B$1,$B351&amp;":"&amp;H$115&amp;":"&amp;$AI$114)</f>
        <v>#</v>
      </c>
      <c r="AO351" s="378" t="str">
        <f>_xll.BLUEMATRIX2("/servlet/excelData",I351,$B$1,$B351&amp;":"&amp;I$115&amp;":"&amp;$AI$114)</f>
        <v>#</v>
      </c>
      <c r="AP351" s="378" t="str">
        <f>_xll.BLUEMATRIX2("/servlet/excelData",J351,$B$1,$B351&amp;":"&amp;J$115&amp;":"&amp;$AI$114)</f>
        <v>#</v>
      </c>
      <c r="AQ351" s="378" t="str">
        <f>_xll.BLUEMATRIX2("/servlet/excelData",K351,$B$1,$B351&amp;":"&amp;K$115&amp;":"&amp;$AI$114)</f>
        <v>#</v>
      </c>
      <c r="AR351" s="378" t="str">
        <f>_xll.BLUEMATRIX2("/servlet/excelData",L351,$B$1,$B351&amp;":"&amp;L$115&amp;":"&amp;$AI$114)</f>
        <v>#</v>
      </c>
      <c r="AS351" s="378" t="str">
        <f>_xll.BLUEMATRIX2("/servlet/excelData",M351,$B$1,$B351&amp;":"&amp;M$115&amp;":"&amp;$AI$114)</f>
        <v>#</v>
      </c>
      <c r="AT351" s="378" t="str">
        <f>_xll.BLUEMATRIX2("/servlet/excelData",N351,$B$1,$B351&amp;":"&amp;N$115&amp;":"&amp;$AI$114)</f>
        <v>#</v>
      </c>
      <c r="AU351" s="378" t="str">
        <f>_xll.BLUEMATRIX2("/servlet/excelData",O351,$B$1,$B351&amp;":"&amp;O$115&amp;":"&amp;$AI$114)</f>
        <v>#</v>
      </c>
      <c r="AV351" s="378" t="str">
        <f>_xll.BLUEMATRIX2("/servlet/excelData",P351,$B$1,$B351&amp;":"&amp;P$115&amp;":"&amp;$AI$114)</f>
        <v>#</v>
      </c>
      <c r="AW351" s="378" t="str">
        <f>_xll.BLUEMATRIX2("/servlet/excelData",Q351,$B$1,$B351&amp;":"&amp;Q$115&amp;":"&amp;$AI$114)</f>
        <v>#</v>
      </c>
    </row>
    <row r="352" spans="1:49" ht="12.95" customHeight="1">
      <c r="A352" s="348" t="s">
        <v>1079</v>
      </c>
      <c r="B352" s="350" t="s">
        <v>1080</v>
      </c>
      <c r="C352" s="454" t="str">
        <f t="shared" si="131"/>
        <v>Hamilton &amp; Queenstown EBITDA</v>
      </c>
      <c r="D352" s="384"/>
      <c r="E352" s="384"/>
      <c r="F352" s="384"/>
      <c r="G352" s="384"/>
      <c r="H352" s="384"/>
      <c r="I352" s="384">
        <f>FY!G14</f>
        <v>27.5</v>
      </c>
      <c r="J352" s="384">
        <f>FY!H14</f>
        <v>39.299999999999997</v>
      </c>
      <c r="K352" s="384">
        <f>FY!I14</f>
        <v>35</v>
      </c>
      <c r="L352" s="384">
        <f>FY!J14</f>
        <v>33.700000000000003</v>
      </c>
      <c r="M352" s="384">
        <f>FY!K14</f>
        <v>31.4</v>
      </c>
      <c r="N352" s="384">
        <f>FY!L14</f>
        <v>33.750235199999999</v>
      </c>
      <c r="O352" s="384">
        <f>FY!M14</f>
        <v>35.927602343999986</v>
      </c>
      <c r="P352" s="384">
        <f>FY!N14</f>
        <v>36.896720194000004</v>
      </c>
      <c r="Q352" s="384">
        <f>FY!O14</f>
        <v>37.638931700861605</v>
      </c>
      <c r="R352" s="384"/>
      <c r="S352" s="384"/>
      <c r="T352" s="384"/>
      <c r="U352" s="384"/>
      <c r="V352" s="384"/>
      <c r="W352" s="384"/>
      <c r="X352" s="384"/>
      <c r="Y352" s="384"/>
      <c r="Z352" s="384"/>
      <c r="AA352" s="384"/>
      <c r="AB352" s="384"/>
      <c r="AC352" s="384"/>
      <c r="AD352" s="384"/>
      <c r="AE352" s="384"/>
      <c r="AF352" s="384"/>
      <c r="AG352" s="384"/>
      <c r="AH352" s="384"/>
      <c r="AI352" s="521" t="str">
        <f>_xll.BLUEMATRIX2("ExcelToolkitService",C352,$B$1,"[DivisionName:12]DIVISION")</f>
        <v>#</v>
      </c>
      <c r="AJ352" s="477"/>
      <c r="AK352" s="378" t="str">
        <f>_xll.BLUEMATRIX2("/servlet/excelData",E352,$B$1,$B352&amp;":"&amp;E$115&amp;":"&amp;$AI$114)</f>
        <v>#</v>
      </c>
      <c r="AL352" s="378" t="str">
        <f>_xll.BLUEMATRIX2("/servlet/excelData",F352,$B$1,$B352&amp;":"&amp;F$115&amp;":"&amp;$AI$114)</f>
        <v>#</v>
      </c>
      <c r="AM352" s="378" t="str">
        <f>_xll.BLUEMATRIX2("/servlet/excelData",G352,$B$1,$B352&amp;":"&amp;G$115&amp;":"&amp;$AI$114)</f>
        <v>#</v>
      </c>
      <c r="AN352" s="378" t="str">
        <f>_xll.BLUEMATRIX2("/servlet/excelData",H352,$B$1,$B352&amp;":"&amp;H$115&amp;":"&amp;$AI$114)</f>
        <v>#</v>
      </c>
      <c r="AO352" s="378" t="str">
        <f>_xll.BLUEMATRIX2("/servlet/excelData",I352,$B$1,$B352&amp;":"&amp;I$115&amp;":"&amp;$AI$114)</f>
        <v>#</v>
      </c>
      <c r="AP352" s="378" t="str">
        <f>_xll.BLUEMATRIX2("/servlet/excelData",J352,$B$1,$B352&amp;":"&amp;J$115&amp;":"&amp;$AI$114)</f>
        <v>#</v>
      </c>
      <c r="AQ352" s="378" t="str">
        <f>_xll.BLUEMATRIX2("/servlet/excelData",K352,$B$1,$B352&amp;":"&amp;K$115&amp;":"&amp;$AI$114)</f>
        <v>#</v>
      </c>
      <c r="AR352" s="378" t="str">
        <f>_xll.BLUEMATRIX2("/servlet/excelData",L352,$B$1,$B352&amp;":"&amp;L$115&amp;":"&amp;$AI$114)</f>
        <v>#</v>
      </c>
      <c r="AS352" s="378" t="str">
        <f>_xll.BLUEMATRIX2("/servlet/excelData",M352,$B$1,$B352&amp;":"&amp;M$115&amp;":"&amp;$AI$114)</f>
        <v>#</v>
      </c>
      <c r="AT352" s="378" t="str">
        <f>_xll.BLUEMATRIX2("/servlet/excelData",N352,$B$1,$B352&amp;":"&amp;N$115&amp;":"&amp;$AI$114)</f>
        <v>#</v>
      </c>
      <c r="AU352" s="378" t="str">
        <f>_xll.BLUEMATRIX2("/servlet/excelData",O352,$B$1,$B352&amp;":"&amp;O$115&amp;":"&amp;$AI$114)</f>
        <v>#</v>
      </c>
      <c r="AV352" s="378" t="str">
        <f>_xll.BLUEMATRIX2("/servlet/excelData",P352,$B$1,$B352&amp;":"&amp;P$115&amp;":"&amp;$AI$114)</f>
        <v>#</v>
      </c>
      <c r="AW352" s="378" t="str">
        <f>_xll.BLUEMATRIX2("/servlet/excelData",Q352,$B$1,$B352&amp;":"&amp;Q$115&amp;":"&amp;$AI$114)</f>
        <v>#</v>
      </c>
    </row>
    <row r="353" spans="1:49" ht="12.95" customHeight="1">
      <c r="A353" s="348" t="s">
        <v>1081</v>
      </c>
      <c r="B353" s="350" t="s">
        <v>1082</v>
      </c>
      <c r="C353" s="454" t="str">
        <f t="shared" si="131"/>
        <v>Adelaide EBITDA</v>
      </c>
      <c r="D353" s="384"/>
      <c r="E353" s="384"/>
      <c r="F353" s="384"/>
      <c r="G353" s="384"/>
      <c r="H353" s="384"/>
      <c r="I353" s="384">
        <f>FY!G15</f>
        <v>21.610198073999161</v>
      </c>
      <c r="J353" s="384">
        <f>FY!H15</f>
        <v>36.1</v>
      </c>
      <c r="K353" s="384">
        <f>FY!I15</f>
        <v>39.6</v>
      </c>
      <c r="L353" s="384">
        <f>FY!J15</f>
        <v>31.1</v>
      </c>
      <c r="M353" s="384">
        <f>FY!K15</f>
        <v>22.8</v>
      </c>
      <c r="N353" s="384">
        <f>FY!L15</f>
        <v>28.297499999999999</v>
      </c>
      <c r="O353" s="384">
        <f>FY!M15</f>
        <v>17.896420000000006</v>
      </c>
      <c r="P353" s="384">
        <f>FY!N15</f>
        <v>24.461676800000006</v>
      </c>
      <c r="Q353" s="384">
        <f>FY!O15</f>
        <v>28.742507872000004</v>
      </c>
      <c r="R353" s="384"/>
      <c r="S353" s="384"/>
      <c r="T353" s="384"/>
      <c r="U353" s="384"/>
      <c r="V353" s="384"/>
      <c r="W353" s="384"/>
      <c r="X353" s="384"/>
      <c r="Y353" s="384"/>
      <c r="Z353" s="384"/>
      <c r="AA353" s="384"/>
      <c r="AB353" s="384"/>
      <c r="AC353" s="384"/>
      <c r="AD353" s="384"/>
      <c r="AE353" s="384"/>
      <c r="AF353" s="384"/>
      <c r="AG353" s="384"/>
      <c r="AH353" s="384"/>
      <c r="AI353" s="521" t="str">
        <f>_xll.BLUEMATRIX2("ExcelToolkitService",C353,$B$1,"[DivisionName:13]DIVISION")</f>
        <v>#</v>
      </c>
      <c r="AJ353" s="477"/>
      <c r="AK353" s="378" t="str">
        <f>_xll.BLUEMATRIX2("/servlet/excelData",E353,$B$1,$B353&amp;":"&amp;E$115&amp;":"&amp;$AI$114)</f>
        <v>#</v>
      </c>
      <c r="AL353" s="378" t="str">
        <f>_xll.BLUEMATRIX2("/servlet/excelData",F353,$B$1,$B353&amp;":"&amp;F$115&amp;":"&amp;$AI$114)</f>
        <v>#</v>
      </c>
      <c r="AM353" s="378" t="str">
        <f>_xll.BLUEMATRIX2("/servlet/excelData",G353,$B$1,$B353&amp;":"&amp;G$115&amp;":"&amp;$AI$114)</f>
        <v>#</v>
      </c>
      <c r="AN353" s="378" t="str">
        <f>_xll.BLUEMATRIX2("/servlet/excelData",H353,$B$1,$B353&amp;":"&amp;H$115&amp;":"&amp;$AI$114)</f>
        <v>#</v>
      </c>
      <c r="AO353" s="378" t="str">
        <f>_xll.BLUEMATRIX2("/servlet/excelData",I353,$B$1,$B353&amp;":"&amp;I$115&amp;":"&amp;$AI$114)</f>
        <v>#</v>
      </c>
      <c r="AP353" s="378" t="str">
        <f>_xll.BLUEMATRIX2("/servlet/excelData",J353,$B$1,$B353&amp;":"&amp;J$115&amp;":"&amp;$AI$114)</f>
        <v>#</v>
      </c>
      <c r="AQ353" s="378" t="str">
        <f>_xll.BLUEMATRIX2("/servlet/excelData",K353,$B$1,$B353&amp;":"&amp;K$115&amp;":"&amp;$AI$114)</f>
        <v>#</v>
      </c>
      <c r="AR353" s="378" t="str">
        <f>_xll.BLUEMATRIX2("/servlet/excelData",L353,$B$1,$B353&amp;":"&amp;L$115&amp;":"&amp;$AI$114)</f>
        <v>#</v>
      </c>
      <c r="AS353" s="378" t="str">
        <f>_xll.BLUEMATRIX2("/servlet/excelData",M353,$B$1,$B353&amp;":"&amp;M$115&amp;":"&amp;$AI$114)</f>
        <v>#</v>
      </c>
      <c r="AT353" s="378" t="str">
        <f>_xll.BLUEMATRIX2("/servlet/excelData",N353,$B$1,$B353&amp;":"&amp;N$115&amp;":"&amp;$AI$114)</f>
        <v>#</v>
      </c>
      <c r="AU353" s="378" t="str">
        <f>_xll.BLUEMATRIX2("/servlet/excelData",O353,$B$1,$B353&amp;":"&amp;O$115&amp;":"&amp;$AI$114)</f>
        <v>#</v>
      </c>
      <c r="AV353" s="378" t="str">
        <f>_xll.BLUEMATRIX2("/servlet/excelData",P353,$B$1,$B353&amp;":"&amp;P$115&amp;":"&amp;$AI$114)</f>
        <v>#</v>
      </c>
      <c r="AW353" s="378" t="str">
        <f>_xll.BLUEMATRIX2("/servlet/excelData",Q353,$B$1,$B353&amp;":"&amp;Q$115&amp;":"&amp;$AI$114)</f>
        <v>#</v>
      </c>
    </row>
    <row r="354" spans="1:49" ht="12.95" customHeight="1">
      <c r="A354" s="348" t="s">
        <v>1083</v>
      </c>
      <c r="B354" s="350" t="s">
        <v>1084</v>
      </c>
      <c r="C354" s="454" t="str">
        <f t="shared" si="131"/>
        <v>Online (from segments) EBITDA</v>
      </c>
      <c r="D354" s="384"/>
      <c r="E354" s="384"/>
      <c r="F354" s="384"/>
      <c r="G354" s="384"/>
      <c r="H354" s="384"/>
      <c r="I354" s="384">
        <f>FY!G16</f>
        <v>12.9</v>
      </c>
      <c r="J354" s="384">
        <f>FY!H16</f>
        <v>10.7</v>
      </c>
      <c r="K354" s="384">
        <f>FY!I16</f>
        <v>3.6</v>
      </c>
      <c r="L354" s="384">
        <f>FY!J16</f>
        <v>-1.8</v>
      </c>
      <c r="M354" s="384">
        <f>FY!K16</f>
        <v>-6.4</v>
      </c>
      <c r="N354" s="384">
        <f>FY!L16</f>
        <v>-13</v>
      </c>
      <c r="O354" s="384">
        <f>FY!M16</f>
        <v>-5</v>
      </c>
      <c r="P354" s="384">
        <f>FY!N16</f>
        <v>9.6000000000000014</v>
      </c>
      <c r="Q354" s="384">
        <f>FY!O16</f>
        <v>11.52</v>
      </c>
      <c r="R354" s="384"/>
      <c r="S354" s="384"/>
      <c r="T354" s="384"/>
      <c r="U354" s="384"/>
      <c r="V354" s="384"/>
      <c r="W354" s="384"/>
      <c r="X354" s="384"/>
      <c r="Y354" s="384"/>
      <c r="Z354" s="384"/>
      <c r="AA354" s="384"/>
      <c r="AB354" s="384"/>
      <c r="AC354" s="384"/>
      <c r="AD354" s="384"/>
      <c r="AE354" s="384"/>
      <c r="AF354" s="384"/>
      <c r="AG354" s="384"/>
      <c r="AH354" s="384"/>
      <c r="AI354" s="521" t="str">
        <f>_xll.BLUEMATRIX2("ExcelToolkitService",C354,$B$1,"[DivisionName:14]DIVISION")</f>
        <v>#</v>
      </c>
      <c r="AJ354" s="477"/>
      <c r="AK354" s="378" t="str">
        <f>_xll.BLUEMATRIX2("/servlet/excelData",E354,$B$1,$B354&amp;":"&amp;E$115&amp;":"&amp;$AI$114)</f>
        <v>#</v>
      </c>
      <c r="AL354" s="378" t="str">
        <f>_xll.BLUEMATRIX2("/servlet/excelData",F354,$B$1,$B354&amp;":"&amp;F$115&amp;":"&amp;$AI$114)</f>
        <v>#</v>
      </c>
      <c r="AM354" s="378" t="str">
        <f>_xll.BLUEMATRIX2("/servlet/excelData",G354,$B$1,$B354&amp;":"&amp;G$115&amp;":"&amp;$AI$114)</f>
        <v>#</v>
      </c>
      <c r="AN354" s="378" t="str">
        <f>_xll.BLUEMATRIX2("/servlet/excelData",H354,$B$1,$B354&amp;":"&amp;H$115&amp;":"&amp;$AI$114)</f>
        <v>#</v>
      </c>
      <c r="AO354" s="378" t="str">
        <f>_xll.BLUEMATRIX2("/servlet/excelData",I354,$B$1,$B354&amp;":"&amp;I$115&amp;":"&amp;$AI$114)</f>
        <v>#</v>
      </c>
      <c r="AP354" s="378" t="str">
        <f>_xll.BLUEMATRIX2("/servlet/excelData",J354,$B$1,$B354&amp;":"&amp;J$115&amp;":"&amp;$AI$114)</f>
        <v>#</v>
      </c>
      <c r="AQ354" s="378" t="str">
        <f>_xll.BLUEMATRIX2("/servlet/excelData",K354,$B$1,$B354&amp;":"&amp;K$115&amp;":"&amp;$AI$114)</f>
        <v>#</v>
      </c>
      <c r="AR354" s="378" t="str">
        <f>_xll.BLUEMATRIX2("/servlet/excelData",L354,$B$1,$B354&amp;":"&amp;L$115&amp;":"&amp;$AI$114)</f>
        <v>#</v>
      </c>
      <c r="AS354" s="378" t="str">
        <f>_xll.BLUEMATRIX2("/servlet/excelData",M354,$B$1,$B354&amp;":"&amp;M$115&amp;":"&amp;$AI$114)</f>
        <v>#</v>
      </c>
      <c r="AT354" s="378" t="str">
        <f>_xll.BLUEMATRIX2("/servlet/excelData",N354,$B$1,$B354&amp;":"&amp;N$115&amp;":"&amp;$AI$114)</f>
        <v>#</v>
      </c>
      <c r="AU354" s="378" t="str">
        <f>_xll.BLUEMATRIX2("/servlet/excelData",O354,$B$1,$B354&amp;":"&amp;O$115&amp;":"&amp;$AI$114)</f>
        <v>#</v>
      </c>
      <c r="AV354" s="378" t="str">
        <f>_xll.BLUEMATRIX2("/servlet/excelData",P354,$B$1,$B354&amp;":"&amp;P$115&amp;":"&amp;$AI$114)</f>
        <v>#</v>
      </c>
      <c r="AW354" s="378" t="str">
        <f>_xll.BLUEMATRIX2("/servlet/excelData",Q354,$B$1,$B354&amp;":"&amp;Q$115&amp;":"&amp;$AI$114)</f>
        <v>#</v>
      </c>
    </row>
    <row r="355" spans="1:49" ht="12.95" customHeight="1">
      <c r="A355" s="348" t="s">
        <v>1085</v>
      </c>
      <c r="B355" s="350" t="s">
        <v>1086</v>
      </c>
      <c r="C355" s="454" t="str">
        <f t="shared" si="131"/>
        <v>Corporate Costs EBITDA</v>
      </c>
      <c r="D355" s="384"/>
      <c r="E355" s="384"/>
      <c r="F355" s="384"/>
      <c r="G355" s="384"/>
      <c r="H355" s="384"/>
      <c r="I355" s="384">
        <f>FY!G17</f>
        <v>-24.7</v>
      </c>
      <c r="J355" s="384">
        <f>FY!H17</f>
        <v>-37.200000000000003</v>
      </c>
      <c r="K355" s="384">
        <f>FY!I17</f>
        <v>-37.9</v>
      </c>
      <c r="L355" s="384">
        <f>FY!J17</f>
        <v>-39.5</v>
      </c>
      <c r="M355" s="384">
        <f>FY!K17</f>
        <v>-46.8</v>
      </c>
      <c r="N355" s="384">
        <f>FY!L17</f>
        <v>-51.56</v>
      </c>
      <c r="O355" s="384">
        <f>FY!M17</f>
        <v>-54.138000000000005</v>
      </c>
      <c r="P355" s="384">
        <f>FY!N17</f>
        <v>-56.844900000000003</v>
      </c>
      <c r="Q355" s="384">
        <f>FY!O17</f>
        <v>-59.687145000000001</v>
      </c>
      <c r="R355" s="384"/>
      <c r="S355" s="384"/>
      <c r="T355" s="384"/>
      <c r="U355" s="384"/>
      <c r="V355" s="384"/>
      <c r="W355" s="384"/>
      <c r="X355" s="384"/>
      <c r="Y355" s="384"/>
      <c r="Z355" s="384"/>
      <c r="AA355" s="384"/>
      <c r="AB355" s="384"/>
      <c r="AC355" s="384"/>
      <c r="AD355" s="384"/>
      <c r="AE355" s="384"/>
      <c r="AF355" s="384"/>
      <c r="AG355" s="384"/>
      <c r="AH355" s="384"/>
      <c r="AI355" s="521" t="str">
        <f>_xll.BLUEMATRIX2("ExcelToolkitService",C355,$B$1,"[DivisionName:15]DIVISION")</f>
        <v>#</v>
      </c>
      <c r="AJ355" s="477"/>
      <c r="AK355" s="378" t="str">
        <f>_xll.BLUEMATRIX2("/servlet/excelData",E355,$B$1,$B355&amp;":"&amp;E$115&amp;":"&amp;$AI$114)</f>
        <v>#</v>
      </c>
      <c r="AL355" s="378" t="str">
        <f>_xll.BLUEMATRIX2("/servlet/excelData",F355,$B$1,$B355&amp;":"&amp;F$115&amp;":"&amp;$AI$114)</f>
        <v>#</v>
      </c>
      <c r="AM355" s="378" t="str">
        <f>_xll.BLUEMATRIX2("/servlet/excelData",G355,$B$1,$B355&amp;":"&amp;G$115&amp;":"&amp;$AI$114)</f>
        <v>#</v>
      </c>
      <c r="AN355" s="378" t="str">
        <f>_xll.BLUEMATRIX2("/servlet/excelData",H355,$B$1,$B355&amp;":"&amp;H$115&amp;":"&amp;$AI$114)</f>
        <v>#</v>
      </c>
      <c r="AO355" s="378" t="str">
        <f>_xll.BLUEMATRIX2("/servlet/excelData",I355,$B$1,$B355&amp;":"&amp;I$115&amp;":"&amp;$AI$114)</f>
        <v>#</v>
      </c>
      <c r="AP355" s="378" t="str">
        <f>_xll.BLUEMATRIX2("/servlet/excelData",J355,$B$1,$B355&amp;":"&amp;J$115&amp;":"&amp;$AI$114)</f>
        <v>#</v>
      </c>
      <c r="AQ355" s="378" t="str">
        <f>_xll.BLUEMATRIX2("/servlet/excelData",K355,$B$1,$B355&amp;":"&amp;K$115&amp;":"&amp;$AI$114)</f>
        <v>#</v>
      </c>
      <c r="AR355" s="378" t="str">
        <f>_xll.BLUEMATRIX2("/servlet/excelData",L355,$B$1,$B355&amp;":"&amp;L$115&amp;":"&amp;$AI$114)</f>
        <v>#</v>
      </c>
      <c r="AS355" s="378" t="str">
        <f>_xll.BLUEMATRIX2("/servlet/excelData",M355,$B$1,$B355&amp;":"&amp;M$115&amp;":"&amp;$AI$114)</f>
        <v>#</v>
      </c>
      <c r="AT355" s="378" t="str">
        <f>_xll.BLUEMATRIX2("/servlet/excelData",N355,$B$1,$B355&amp;":"&amp;N$115&amp;":"&amp;$AI$114)</f>
        <v>#</v>
      </c>
      <c r="AU355" s="378" t="str">
        <f>_xll.BLUEMATRIX2("/servlet/excelData",O355,$B$1,$B355&amp;":"&amp;O$115&amp;":"&amp;$AI$114)</f>
        <v>#</v>
      </c>
      <c r="AV355" s="378" t="str">
        <f>_xll.BLUEMATRIX2("/servlet/excelData",P355,$B$1,$B355&amp;":"&amp;P$115&amp;":"&amp;$AI$114)</f>
        <v>#</v>
      </c>
      <c r="AW355" s="378" t="str">
        <f>_xll.BLUEMATRIX2("/servlet/excelData",Q355,$B$1,$B355&amp;":"&amp;Q$115&amp;":"&amp;$AI$114)</f>
        <v>#</v>
      </c>
    </row>
    <row r="356" spans="1:49" ht="12.95" customHeight="1">
      <c r="A356" s="348" t="s">
        <v>1087</v>
      </c>
      <c r="B356" s="350" t="s">
        <v>1088</v>
      </c>
      <c r="C356" s="454" t="str">
        <f t="shared" si="131"/>
        <v>Other EBITDA</v>
      </c>
      <c r="D356" s="384"/>
      <c r="E356" s="384"/>
      <c r="F356" s="384"/>
      <c r="G356" s="384"/>
      <c r="H356" s="384"/>
      <c r="I356" s="384">
        <f>FY!G18</f>
        <v>-0.31019807399916033</v>
      </c>
      <c r="J356" s="384">
        <f>FY!H18</f>
        <v>1.4000000000000057</v>
      </c>
      <c r="K356" s="384">
        <f>FY!I18</f>
        <v>0.50000000000002842</v>
      </c>
      <c r="L356" s="384">
        <f>FY!J18</f>
        <v>0.5999999999999801</v>
      </c>
      <c r="M356" s="384">
        <f>FY!K18</f>
        <v>0.79999999999996874</v>
      </c>
      <c r="N356" s="384">
        <f>FY!L18</f>
        <v>0</v>
      </c>
      <c r="O356" s="384">
        <f>FY!M18</f>
        <v>0</v>
      </c>
      <c r="P356" s="384">
        <f>FY!N18</f>
        <v>0</v>
      </c>
      <c r="Q356" s="384">
        <f>FY!O18</f>
        <v>0</v>
      </c>
      <c r="R356" s="384"/>
      <c r="S356" s="384"/>
      <c r="T356" s="384"/>
      <c r="U356" s="384"/>
      <c r="V356" s="384"/>
      <c r="W356" s="384"/>
      <c r="X356" s="384"/>
      <c r="Y356" s="384"/>
      <c r="Z356" s="384"/>
      <c r="AA356" s="384"/>
      <c r="AB356" s="384"/>
      <c r="AC356" s="384"/>
      <c r="AD356" s="384"/>
      <c r="AE356" s="384"/>
      <c r="AF356" s="384"/>
      <c r="AG356" s="384"/>
      <c r="AH356" s="384"/>
      <c r="AI356" s="521" t="str">
        <f>_xll.BLUEMATRIX2("ExcelToolkitService",C356,$B$1,"[DivisionName:16]DIVISION")</f>
        <v>#</v>
      </c>
      <c r="AJ356" s="477"/>
      <c r="AK356" s="378" t="str">
        <f>_xll.BLUEMATRIX2("/servlet/excelData",E356,$B$1,$B356&amp;":"&amp;E$115&amp;":"&amp;$AI$114)</f>
        <v>#</v>
      </c>
      <c r="AL356" s="378" t="str">
        <f>_xll.BLUEMATRIX2("/servlet/excelData",F356,$B$1,$B356&amp;":"&amp;F$115&amp;":"&amp;$AI$114)</f>
        <v>#</v>
      </c>
      <c r="AM356" s="378" t="str">
        <f>_xll.BLUEMATRIX2("/servlet/excelData",G356,$B$1,$B356&amp;":"&amp;G$115&amp;":"&amp;$AI$114)</f>
        <v>#</v>
      </c>
      <c r="AN356" s="378" t="str">
        <f>_xll.BLUEMATRIX2("/servlet/excelData",H356,$B$1,$B356&amp;":"&amp;H$115&amp;":"&amp;$AI$114)</f>
        <v>#</v>
      </c>
      <c r="AO356" s="378" t="str">
        <f>_xll.BLUEMATRIX2("/servlet/excelData",I356,$B$1,$B356&amp;":"&amp;I$115&amp;":"&amp;$AI$114)</f>
        <v>#</v>
      </c>
      <c r="AP356" s="378" t="str">
        <f>_xll.BLUEMATRIX2("/servlet/excelData",J356,$B$1,$B356&amp;":"&amp;J$115&amp;":"&amp;$AI$114)</f>
        <v>#</v>
      </c>
      <c r="AQ356" s="378" t="str">
        <f>_xll.BLUEMATRIX2("/servlet/excelData",K356,$B$1,$B356&amp;":"&amp;K$115&amp;":"&amp;$AI$114)</f>
        <v>#</v>
      </c>
      <c r="AR356" s="378" t="str">
        <f>_xll.BLUEMATRIX2("/servlet/excelData",L356,$B$1,$B356&amp;":"&amp;L$115&amp;":"&amp;$AI$114)</f>
        <v>#</v>
      </c>
      <c r="AS356" s="378" t="str">
        <f>_xll.BLUEMATRIX2("/servlet/excelData",M356,$B$1,$B356&amp;":"&amp;M$115&amp;":"&amp;$AI$114)</f>
        <v>#</v>
      </c>
      <c r="AT356" s="378" t="str">
        <f>_xll.BLUEMATRIX2("/servlet/excelData",N356,$B$1,$B356&amp;":"&amp;N$115&amp;":"&amp;$AI$114)</f>
        <v>#</v>
      </c>
      <c r="AU356" s="378" t="str">
        <f>_xll.BLUEMATRIX2("/servlet/excelData",O356,$B$1,$B356&amp;":"&amp;O$115&amp;":"&amp;$AI$114)</f>
        <v>#</v>
      </c>
      <c r="AV356" s="378" t="str">
        <f>_xll.BLUEMATRIX2("/servlet/excelData",P356,$B$1,$B356&amp;":"&amp;P$115&amp;":"&amp;$AI$114)</f>
        <v>#</v>
      </c>
      <c r="AW356" s="378" t="str">
        <f>_xll.BLUEMATRIX2("/servlet/excelData",Q356,$B$1,$B356&amp;":"&amp;Q$115&amp;":"&amp;$AI$114)</f>
        <v>#</v>
      </c>
    </row>
    <row r="357" spans="1:49" ht="12.95" customHeight="1">
      <c r="A357" s="348" t="s">
        <v>1089</v>
      </c>
      <c r="B357" s="350" t="s">
        <v>1090</v>
      </c>
      <c r="C357" s="454" t="str">
        <f t="shared" si="131"/>
        <v>Segment EBITDA</v>
      </c>
      <c r="D357" s="384"/>
      <c r="E357" s="384"/>
      <c r="F357" s="384"/>
      <c r="G357" s="384"/>
      <c r="H357" s="384"/>
      <c r="I357" s="384">
        <f>FY!G19</f>
        <v>137.9</v>
      </c>
      <c r="J357" s="384">
        <f>FY!H19</f>
        <v>301.8</v>
      </c>
      <c r="K357" s="384">
        <f>FY!I19</f>
        <v>277.8</v>
      </c>
      <c r="L357" s="384">
        <f>FY!J19</f>
        <v>233.7</v>
      </c>
      <c r="M357" s="384">
        <f>FY!K19</f>
        <v>181.6</v>
      </c>
      <c r="N357" s="384">
        <f>FY!L19</f>
        <v>183.18613519999997</v>
      </c>
      <c r="O357" s="384">
        <f>FY!M19</f>
        <v>204.83214634399997</v>
      </c>
      <c r="P357" s="384">
        <f>FY!N19</f>
        <v>229.34449655400005</v>
      </c>
      <c r="Q357" s="384">
        <f>FY!O19</f>
        <v>238.69843621886156</v>
      </c>
      <c r="R357" s="384"/>
      <c r="S357" s="384"/>
      <c r="T357" s="384"/>
      <c r="U357" s="384"/>
      <c r="V357" s="384"/>
      <c r="W357" s="384"/>
      <c r="X357" s="384"/>
      <c r="Y357" s="384"/>
      <c r="Z357" s="384"/>
      <c r="AA357" s="384"/>
      <c r="AB357" s="384"/>
      <c r="AC357" s="384"/>
      <c r="AD357" s="384"/>
      <c r="AE357" s="384"/>
      <c r="AF357" s="384"/>
      <c r="AG357" s="384"/>
      <c r="AH357" s="384"/>
      <c r="AI357" s="521" t="str">
        <f>_xll.BLUEMATRIX2("ExcelToolkitService",C357,$B$1,"[DivisionName:17]DIVISION")</f>
        <v>#</v>
      </c>
      <c r="AJ357" s="477"/>
      <c r="AK357" s="378" t="str">
        <f>_xll.BLUEMATRIX2("/servlet/excelData",E357,$B$1,$B357&amp;":"&amp;E$115&amp;":"&amp;$AI$114)</f>
        <v>#</v>
      </c>
      <c r="AL357" s="378" t="str">
        <f>_xll.BLUEMATRIX2("/servlet/excelData",F357,$B$1,$B357&amp;":"&amp;F$115&amp;":"&amp;$AI$114)</f>
        <v>#</v>
      </c>
      <c r="AM357" s="378" t="str">
        <f>_xll.BLUEMATRIX2("/servlet/excelData",G357,$B$1,$B357&amp;":"&amp;G$115&amp;":"&amp;$AI$114)</f>
        <v>#</v>
      </c>
      <c r="AN357" s="378" t="str">
        <f>_xll.BLUEMATRIX2("/servlet/excelData",H357,$B$1,$B357&amp;":"&amp;H$115&amp;":"&amp;$AI$114)</f>
        <v>#</v>
      </c>
      <c r="AO357" s="378" t="str">
        <f>_xll.BLUEMATRIX2("/servlet/excelData",I357,$B$1,$B357&amp;":"&amp;I$115&amp;":"&amp;$AI$114)</f>
        <v>#</v>
      </c>
      <c r="AP357" s="378" t="str">
        <f>_xll.BLUEMATRIX2("/servlet/excelData",J357,$B$1,$B357&amp;":"&amp;J$115&amp;":"&amp;$AI$114)</f>
        <v>#</v>
      </c>
      <c r="AQ357" s="378" t="str">
        <f>_xll.BLUEMATRIX2("/servlet/excelData",K357,$B$1,$B357&amp;":"&amp;K$115&amp;":"&amp;$AI$114)</f>
        <v>#</v>
      </c>
      <c r="AR357" s="378" t="str">
        <f>_xll.BLUEMATRIX2("/servlet/excelData",L357,$B$1,$B357&amp;":"&amp;L$115&amp;":"&amp;$AI$114)</f>
        <v>#</v>
      </c>
      <c r="AS357" s="378" t="str">
        <f>_xll.BLUEMATRIX2("/servlet/excelData",M357,$B$1,$B357&amp;":"&amp;M$115&amp;":"&amp;$AI$114)</f>
        <v>#</v>
      </c>
      <c r="AT357" s="378" t="str">
        <f>_xll.BLUEMATRIX2("/servlet/excelData",N357,$B$1,$B357&amp;":"&amp;N$115&amp;":"&amp;$AI$114)</f>
        <v>#</v>
      </c>
      <c r="AU357" s="378" t="str">
        <f>_xll.BLUEMATRIX2("/servlet/excelData",O357,$B$1,$B357&amp;":"&amp;O$115&amp;":"&amp;$AI$114)</f>
        <v>#</v>
      </c>
      <c r="AV357" s="378" t="str">
        <f>_xll.BLUEMATRIX2("/servlet/excelData",P357,$B$1,$B357&amp;":"&amp;P$115&amp;":"&amp;$AI$114)</f>
        <v>#</v>
      </c>
      <c r="AW357" s="378" t="str">
        <f>_xll.BLUEMATRIX2("/servlet/excelData",Q357,$B$1,$B357&amp;":"&amp;Q$115&amp;":"&amp;$AI$114)</f>
        <v>#</v>
      </c>
    </row>
    <row r="358" spans="1:49" ht="12.95" customHeight="1">
      <c r="A358" s="348" t="s">
        <v>1091</v>
      </c>
      <c r="B358" s="350" t="s">
        <v>1092</v>
      </c>
      <c r="C358" s="454"/>
      <c r="D358" s="384"/>
      <c r="E358" s="384"/>
      <c r="F358" s="384"/>
      <c r="G358" s="384"/>
      <c r="H358" s="384"/>
      <c r="I358" s="384"/>
      <c r="J358" s="384"/>
      <c r="K358" s="384"/>
      <c r="L358" s="384"/>
      <c r="M358" s="384"/>
      <c r="N358" s="384"/>
      <c r="O358" s="384"/>
      <c r="P358" s="384"/>
      <c r="Q358" s="384"/>
      <c r="R358" s="384"/>
      <c r="S358" s="384"/>
      <c r="T358" s="384"/>
      <c r="U358" s="384"/>
      <c r="V358" s="384"/>
      <c r="W358" s="384"/>
      <c r="X358" s="384"/>
      <c r="Y358" s="384"/>
      <c r="Z358" s="384"/>
      <c r="AA358" s="384"/>
      <c r="AB358" s="384"/>
      <c r="AC358" s="384"/>
      <c r="AD358" s="384"/>
      <c r="AE358" s="384"/>
      <c r="AF358" s="384"/>
      <c r="AG358" s="384"/>
      <c r="AH358" s="384"/>
      <c r="AI358" s="378"/>
      <c r="AJ358" s="477"/>
      <c r="AK358" s="378" t="str">
        <f>_xll.BLUEMATRIX2("/servlet/excelData",E358,$B$1,$B358&amp;":"&amp;E$115&amp;":"&amp;$AI$114)</f>
        <v>#</v>
      </c>
      <c r="AL358" s="378" t="str">
        <f>_xll.BLUEMATRIX2("/servlet/excelData",F358,$B$1,$B358&amp;":"&amp;F$115&amp;":"&amp;$AI$114)</f>
        <v>#</v>
      </c>
      <c r="AM358" s="378" t="str">
        <f>_xll.BLUEMATRIX2("/servlet/excelData",G358,$B$1,$B358&amp;":"&amp;G$115&amp;":"&amp;$AI$114)</f>
        <v>#</v>
      </c>
      <c r="AN358" s="378" t="str">
        <f>_xll.BLUEMATRIX2("/servlet/excelData",H358,$B$1,$B358&amp;":"&amp;H$115&amp;":"&amp;$AI$114)</f>
        <v>#</v>
      </c>
      <c r="AO358" s="378" t="str">
        <f>_xll.BLUEMATRIX2("/servlet/excelData",I358,$B$1,$B358&amp;":"&amp;I$115&amp;":"&amp;$AI$114)</f>
        <v>#</v>
      </c>
      <c r="AP358" s="378" t="str">
        <f>_xll.BLUEMATRIX2("/servlet/excelData",J358,$B$1,$B358&amp;":"&amp;J$115&amp;":"&amp;$AI$114)</f>
        <v>#</v>
      </c>
      <c r="AQ358" s="378" t="str">
        <f>_xll.BLUEMATRIX2("/servlet/excelData",K358,$B$1,$B358&amp;":"&amp;K$115&amp;":"&amp;$AI$114)</f>
        <v>#</v>
      </c>
      <c r="AR358" s="378" t="str">
        <f>_xll.BLUEMATRIX2("/servlet/excelData",L358,$B$1,$B358&amp;":"&amp;L$115&amp;":"&amp;$AI$114)</f>
        <v>#</v>
      </c>
      <c r="AS358" s="378" t="str">
        <f>_xll.BLUEMATRIX2("/servlet/excelData",M358,$B$1,$B358&amp;":"&amp;M$115&amp;":"&amp;$AI$114)</f>
        <v>#</v>
      </c>
      <c r="AT358" s="378" t="str">
        <f>_xll.BLUEMATRIX2("/servlet/excelData",N358,$B$1,$B358&amp;":"&amp;N$115&amp;":"&amp;$AI$114)</f>
        <v>#</v>
      </c>
      <c r="AU358" s="378" t="str">
        <f>_xll.BLUEMATRIX2("/servlet/excelData",O358,$B$1,$B358&amp;":"&amp;O$115&amp;":"&amp;$AI$114)</f>
        <v>#</v>
      </c>
      <c r="AV358" s="378" t="str">
        <f>_xll.BLUEMATRIX2("/servlet/excelData",P358,$B$1,$B358&amp;":"&amp;P$115&amp;":"&amp;$AI$114)</f>
        <v>#</v>
      </c>
      <c r="AW358" s="378" t="str">
        <f>_xll.BLUEMATRIX2("/servlet/excelData",Q358,$B$1,$B358&amp;":"&amp;Q$115&amp;":"&amp;$AI$114)</f>
        <v>#</v>
      </c>
    </row>
    <row r="359" spans="1:49" ht="12.95" customHeight="1">
      <c r="A359" s="348" t="s">
        <v>1093</v>
      </c>
      <c r="B359" s="350" t="s">
        <v>1094</v>
      </c>
      <c r="C359" s="454"/>
      <c r="D359" s="384"/>
      <c r="E359" s="384"/>
      <c r="F359" s="384"/>
      <c r="G359" s="384"/>
      <c r="H359" s="384"/>
      <c r="I359" s="384"/>
      <c r="J359" s="384"/>
      <c r="K359" s="384"/>
      <c r="L359" s="384"/>
      <c r="M359" s="384"/>
      <c r="N359" s="384"/>
      <c r="O359" s="384"/>
      <c r="P359" s="384"/>
      <c r="Q359" s="384"/>
      <c r="R359" s="384"/>
      <c r="S359" s="384"/>
      <c r="T359" s="384"/>
      <c r="U359" s="384"/>
      <c r="V359" s="384"/>
      <c r="W359" s="384"/>
      <c r="X359" s="384"/>
      <c r="Y359" s="384"/>
      <c r="Z359" s="384"/>
      <c r="AA359" s="384"/>
      <c r="AB359" s="384"/>
      <c r="AC359" s="384"/>
      <c r="AD359" s="384"/>
      <c r="AE359" s="384"/>
      <c r="AF359" s="384"/>
      <c r="AG359" s="384"/>
      <c r="AH359" s="384"/>
      <c r="AI359" s="378"/>
      <c r="AJ359" s="477"/>
      <c r="AK359" s="378" t="str">
        <f>_xll.BLUEMATRIX2("/servlet/excelData",E359,$B$1,$B359&amp;":"&amp;E$115&amp;":"&amp;$AI$114)</f>
        <v>#</v>
      </c>
      <c r="AL359" s="378" t="str">
        <f>_xll.BLUEMATRIX2("/servlet/excelData",F359,$B$1,$B359&amp;":"&amp;F$115&amp;":"&amp;$AI$114)</f>
        <v>#</v>
      </c>
      <c r="AM359" s="378" t="str">
        <f>_xll.BLUEMATRIX2("/servlet/excelData",G359,$B$1,$B359&amp;":"&amp;G$115&amp;":"&amp;$AI$114)</f>
        <v>#</v>
      </c>
      <c r="AN359" s="378" t="str">
        <f>_xll.BLUEMATRIX2("/servlet/excelData",H359,$B$1,$B359&amp;":"&amp;H$115&amp;":"&amp;$AI$114)</f>
        <v>#</v>
      </c>
      <c r="AO359" s="378" t="str">
        <f>_xll.BLUEMATRIX2("/servlet/excelData",I359,$B$1,$B359&amp;":"&amp;I$115&amp;":"&amp;$AI$114)</f>
        <v>#</v>
      </c>
      <c r="AP359" s="378" t="str">
        <f>_xll.BLUEMATRIX2("/servlet/excelData",J359,$B$1,$B359&amp;":"&amp;J$115&amp;":"&amp;$AI$114)</f>
        <v>#</v>
      </c>
      <c r="AQ359" s="378" t="str">
        <f>_xll.BLUEMATRIX2("/servlet/excelData",K359,$B$1,$B359&amp;":"&amp;K$115&amp;":"&amp;$AI$114)</f>
        <v>#</v>
      </c>
      <c r="AR359" s="378" t="str">
        <f>_xll.BLUEMATRIX2("/servlet/excelData",L359,$B$1,$B359&amp;":"&amp;L$115&amp;":"&amp;$AI$114)</f>
        <v>#</v>
      </c>
      <c r="AS359" s="378" t="str">
        <f>_xll.BLUEMATRIX2("/servlet/excelData",M359,$B$1,$B359&amp;":"&amp;M$115&amp;":"&amp;$AI$114)</f>
        <v>#</v>
      </c>
      <c r="AT359" s="378" t="str">
        <f>_xll.BLUEMATRIX2("/servlet/excelData",N359,$B$1,$B359&amp;":"&amp;N$115&amp;":"&amp;$AI$114)</f>
        <v>#</v>
      </c>
      <c r="AU359" s="378" t="str">
        <f>_xll.BLUEMATRIX2("/servlet/excelData",O359,$B$1,$B359&amp;":"&amp;O$115&amp;":"&amp;$AI$114)</f>
        <v>#</v>
      </c>
      <c r="AV359" s="378" t="str">
        <f>_xll.BLUEMATRIX2("/servlet/excelData",P359,$B$1,$B359&amp;":"&amp;P$115&amp;":"&amp;$AI$114)</f>
        <v>#</v>
      </c>
      <c r="AW359" s="378" t="str">
        <f>_xll.BLUEMATRIX2("/servlet/excelData",Q359,$B$1,$B359&amp;":"&amp;Q$115&amp;":"&amp;$AI$114)</f>
        <v>#</v>
      </c>
    </row>
    <row r="360" spans="1:49" ht="12.95" customHeight="1">
      <c r="A360" s="348" t="s">
        <v>1095</v>
      </c>
      <c r="B360" s="350" t="s">
        <v>1096</v>
      </c>
      <c r="C360" s="454"/>
      <c r="D360" s="384"/>
      <c r="E360" s="384"/>
      <c r="F360" s="384"/>
      <c r="G360" s="384"/>
      <c r="H360" s="384"/>
      <c r="I360" s="384"/>
      <c r="J360" s="384"/>
      <c r="K360" s="384"/>
      <c r="L360" s="384"/>
      <c r="M360" s="384"/>
      <c r="N360" s="384"/>
      <c r="O360" s="384"/>
      <c r="P360" s="384"/>
      <c r="Q360" s="384"/>
      <c r="R360" s="384"/>
      <c r="S360" s="384"/>
      <c r="T360" s="384"/>
      <c r="U360" s="384"/>
      <c r="V360" s="384"/>
      <c r="W360" s="384"/>
      <c r="X360" s="384"/>
      <c r="Y360" s="384"/>
      <c r="Z360" s="384"/>
      <c r="AA360" s="384"/>
      <c r="AB360" s="384"/>
      <c r="AC360" s="384"/>
      <c r="AD360" s="384"/>
      <c r="AE360" s="384"/>
      <c r="AF360" s="384"/>
      <c r="AG360" s="384"/>
      <c r="AH360" s="384"/>
      <c r="AI360" s="378"/>
      <c r="AJ360" s="477"/>
      <c r="AK360" s="378" t="str">
        <f>_xll.BLUEMATRIX2("/servlet/excelData",E360,$B$1,$B360&amp;":"&amp;E$115&amp;":"&amp;$AI$114)</f>
        <v>#</v>
      </c>
      <c r="AL360" s="378" t="str">
        <f>_xll.BLUEMATRIX2("/servlet/excelData",F360,$B$1,$B360&amp;":"&amp;F$115&amp;":"&amp;$AI$114)</f>
        <v>#</v>
      </c>
      <c r="AM360" s="378" t="str">
        <f>_xll.BLUEMATRIX2("/servlet/excelData",G360,$B$1,$B360&amp;":"&amp;G$115&amp;":"&amp;$AI$114)</f>
        <v>#</v>
      </c>
      <c r="AN360" s="378" t="str">
        <f>_xll.BLUEMATRIX2("/servlet/excelData",H360,$B$1,$B360&amp;":"&amp;H$115&amp;":"&amp;$AI$114)</f>
        <v>#</v>
      </c>
      <c r="AO360" s="378" t="str">
        <f>_xll.BLUEMATRIX2("/servlet/excelData",I360,$B$1,$B360&amp;":"&amp;I$115&amp;":"&amp;$AI$114)</f>
        <v>#</v>
      </c>
      <c r="AP360" s="378" t="str">
        <f>_xll.BLUEMATRIX2("/servlet/excelData",J360,$B$1,$B360&amp;":"&amp;J$115&amp;":"&amp;$AI$114)</f>
        <v>#</v>
      </c>
      <c r="AQ360" s="378" t="str">
        <f>_xll.BLUEMATRIX2("/servlet/excelData",K360,$B$1,$B360&amp;":"&amp;K$115&amp;":"&amp;$AI$114)</f>
        <v>#</v>
      </c>
      <c r="AR360" s="378" t="str">
        <f>_xll.BLUEMATRIX2("/servlet/excelData",L360,$B$1,$B360&amp;":"&amp;L$115&amp;":"&amp;$AI$114)</f>
        <v>#</v>
      </c>
      <c r="AS360" s="378" t="str">
        <f>_xll.BLUEMATRIX2("/servlet/excelData",M360,$B$1,$B360&amp;":"&amp;M$115&amp;":"&amp;$AI$114)</f>
        <v>#</v>
      </c>
      <c r="AT360" s="378" t="str">
        <f>_xll.BLUEMATRIX2("/servlet/excelData",N360,$B$1,$B360&amp;":"&amp;N$115&amp;":"&amp;$AI$114)</f>
        <v>#</v>
      </c>
      <c r="AU360" s="378" t="str">
        <f>_xll.BLUEMATRIX2("/servlet/excelData",O360,$B$1,$B360&amp;":"&amp;O$115&amp;":"&amp;$AI$114)</f>
        <v>#</v>
      </c>
      <c r="AV360" s="378" t="str">
        <f>_xll.BLUEMATRIX2("/servlet/excelData",P360,$B$1,$B360&amp;":"&amp;P$115&amp;":"&amp;$AI$114)</f>
        <v>#</v>
      </c>
      <c r="AW360" s="378" t="str">
        <f>_xll.BLUEMATRIX2("/servlet/excelData",Q360,$B$1,$B360&amp;":"&amp;Q$115&amp;":"&amp;$AI$114)</f>
        <v>#</v>
      </c>
    </row>
    <row r="361" spans="1:49" ht="12.95" customHeight="1">
      <c r="A361" s="348"/>
      <c r="B361" s="350"/>
      <c r="C361" s="435"/>
      <c r="D361" s="453"/>
      <c r="E361" s="453"/>
      <c r="F361" s="453"/>
      <c r="G361" s="453"/>
      <c r="H361" s="453"/>
      <c r="I361" s="453"/>
      <c r="J361" s="453"/>
      <c r="K361" s="453"/>
      <c r="L361" s="453"/>
      <c r="M361" s="453"/>
      <c r="N361" s="453"/>
      <c r="O361" s="453"/>
      <c r="P361" s="453"/>
      <c r="Q361" s="453"/>
      <c r="R361" s="453"/>
      <c r="S361" s="453"/>
      <c r="T361" s="453"/>
      <c r="U361" s="453"/>
      <c r="V361" s="453"/>
      <c r="W361" s="453"/>
      <c r="X361" s="453"/>
      <c r="Y361" s="453"/>
      <c r="Z361" s="453"/>
      <c r="AA361" s="453"/>
      <c r="AB361" s="453"/>
      <c r="AC361" s="453"/>
      <c r="AD361" s="453"/>
      <c r="AE361" s="453"/>
      <c r="AF361" s="453"/>
      <c r="AG361" s="453"/>
      <c r="AH361" s="453"/>
      <c r="AI361" s="378"/>
      <c r="AJ361" s="477"/>
      <c r="AK361" s="378"/>
      <c r="AL361" s="378"/>
      <c r="AM361" s="378"/>
      <c r="AN361" s="378"/>
      <c r="AO361" s="378"/>
      <c r="AP361" s="378"/>
      <c r="AQ361" s="378"/>
      <c r="AR361" s="378"/>
      <c r="AS361" s="378"/>
      <c r="AT361" s="378"/>
      <c r="AU361" s="378"/>
      <c r="AV361" s="378"/>
      <c r="AW361" s="378"/>
    </row>
    <row r="362" spans="1:49" ht="12.95" customHeight="1">
      <c r="A362" s="348"/>
      <c r="B362" s="350"/>
      <c r="C362" s="322"/>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c r="Z362" s="322"/>
      <c r="AA362" s="322"/>
      <c r="AB362" s="322"/>
      <c r="AC362" s="322"/>
      <c r="AD362" s="322"/>
      <c r="AE362" s="322"/>
      <c r="AF362" s="322"/>
      <c r="AG362" s="322"/>
      <c r="AH362" s="322"/>
      <c r="AI362" s="322"/>
      <c r="AJ362" s="477"/>
      <c r="AK362" s="378"/>
      <c r="AL362" s="378"/>
      <c r="AM362" s="378"/>
      <c r="AN362" s="378"/>
      <c r="AO362" s="378"/>
      <c r="AP362" s="378"/>
      <c r="AQ362" s="378"/>
      <c r="AR362" s="378"/>
      <c r="AS362" s="378"/>
      <c r="AT362" s="378"/>
      <c r="AU362" s="378"/>
      <c r="AV362" s="378"/>
      <c r="AW362" s="378"/>
    </row>
    <row r="363" spans="1:49" ht="12.95" customHeight="1">
      <c r="A363" s="348"/>
      <c r="B363" s="350"/>
      <c r="C363" s="322"/>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c r="Z363" s="322"/>
      <c r="AA363" s="322"/>
      <c r="AB363" s="322"/>
      <c r="AC363" s="322"/>
      <c r="AD363" s="322"/>
      <c r="AE363" s="322"/>
      <c r="AF363" s="322"/>
      <c r="AG363" s="322"/>
      <c r="AH363" s="322"/>
      <c r="AI363" s="322"/>
      <c r="AJ363" s="477"/>
      <c r="AK363" s="378"/>
      <c r="AL363" s="378"/>
      <c r="AM363" s="378"/>
      <c r="AN363" s="378"/>
      <c r="AO363" s="378"/>
      <c r="AP363" s="378"/>
      <c r="AQ363" s="378"/>
      <c r="AR363" s="378"/>
      <c r="AS363" s="378"/>
      <c r="AT363" s="378"/>
      <c r="AU363" s="378"/>
      <c r="AV363" s="378"/>
      <c r="AW363" s="378"/>
    </row>
    <row r="364" spans="1:49" ht="15" customHeight="1">
      <c r="A364" s="348"/>
      <c r="B364" s="350"/>
      <c r="C364" s="369" t="s">
        <v>1097</v>
      </c>
      <c r="D364" s="370"/>
      <c r="E364" s="370"/>
      <c r="F364" s="370"/>
      <c r="G364" s="370"/>
      <c r="H364" s="370"/>
      <c r="I364" s="370"/>
      <c r="J364" s="370"/>
      <c r="K364" s="370"/>
      <c r="L364" s="370"/>
      <c r="M364" s="370"/>
      <c r="N364" s="370"/>
      <c r="O364" s="370"/>
      <c r="P364" s="370"/>
      <c r="Q364" s="370"/>
      <c r="R364" s="370"/>
      <c r="S364" s="370"/>
      <c r="T364" s="370"/>
      <c r="U364" s="370"/>
      <c r="V364" s="370"/>
      <c r="W364" s="370"/>
      <c r="X364" s="370"/>
      <c r="Y364" s="370"/>
      <c r="Z364" s="370"/>
      <c r="AA364" s="370"/>
      <c r="AB364" s="370"/>
      <c r="AC364" s="370"/>
      <c r="AD364" s="370"/>
      <c r="AE364" s="370"/>
      <c r="AF364" s="370"/>
      <c r="AG364" s="370"/>
      <c r="AH364" s="370"/>
      <c r="AI364" s="322"/>
      <c r="AJ364" s="479"/>
      <c r="AK364" s="378"/>
      <c r="AL364" s="378"/>
      <c r="AM364" s="378"/>
      <c r="AN364" s="378"/>
      <c r="AO364" s="378"/>
      <c r="AP364" s="378"/>
      <c r="AQ364" s="378"/>
      <c r="AR364" s="378"/>
      <c r="AS364" s="378"/>
      <c r="AT364" s="378"/>
      <c r="AU364" s="378"/>
      <c r="AV364" s="378"/>
      <c r="AW364" s="378"/>
    </row>
    <row r="365" spans="1:49" ht="12.95" customHeight="1">
      <c r="A365" s="348" t="s">
        <v>1098</v>
      </c>
      <c r="B365" s="350" t="s">
        <v>1099</v>
      </c>
      <c r="C365" s="352" t="str">
        <f t="shared" ref="C365:C374" si="132">IF(D79="","",D79)</f>
        <v/>
      </c>
      <c r="D365" s="384"/>
      <c r="E365" s="384"/>
      <c r="F365" s="384"/>
      <c r="G365" s="384"/>
      <c r="H365" s="384"/>
      <c r="I365" s="384"/>
      <c r="J365" s="384"/>
      <c r="K365" s="384"/>
      <c r="L365" s="384"/>
      <c r="M365" s="384"/>
      <c r="N365" s="384"/>
      <c r="O365" s="384"/>
      <c r="P365" s="384"/>
      <c r="Q365" s="384"/>
      <c r="R365" s="384"/>
      <c r="S365" s="384"/>
      <c r="T365" s="384"/>
      <c r="U365" s="384"/>
      <c r="V365" s="384"/>
      <c r="W365" s="384"/>
      <c r="X365" s="384"/>
      <c r="Y365" s="384"/>
      <c r="Z365" s="384"/>
      <c r="AA365" s="384"/>
      <c r="AB365" s="384"/>
      <c r="AC365" s="384"/>
      <c r="AD365" s="384"/>
      <c r="AE365" s="384"/>
      <c r="AF365" s="384"/>
      <c r="AG365" s="384"/>
      <c r="AH365" s="384"/>
      <c r="AI365" s="322"/>
      <c r="AJ365" s="479"/>
      <c r="AK365" s="378"/>
      <c r="AL365" s="378"/>
      <c r="AM365" s="378"/>
      <c r="AN365" s="378"/>
      <c r="AO365" s="378"/>
      <c r="AP365" s="378"/>
      <c r="AQ365" s="378"/>
      <c r="AR365" s="378"/>
      <c r="AS365" s="378"/>
      <c r="AT365" s="378"/>
      <c r="AU365" s="378"/>
      <c r="AV365" s="378"/>
      <c r="AW365" s="378"/>
    </row>
    <row r="366" spans="1:49" ht="12.95" customHeight="1">
      <c r="A366" s="348" t="s">
        <v>1100</v>
      </c>
      <c r="B366" s="350" t="s">
        <v>1101</v>
      </c>
      <c r="C366" s="454" t="str">
        <f t="shared" si="132"/>
        <v/>
      </c>
      <c r="D366" s="384"/>
      <c r="E366" s="384"/>
      <c r="F366" s="384"/>
      <c r="G366" s="384"/>
      <c r="H366" s="384"/>
      <c r="I366" s="384"/>
      <c r="J366" s="384"/>
      <c r="K366" s="384"/>
      <c r="L366" s="384"/>
      <c r="M366" s="384"/>
      <c r="N366" s="384"/>
      <c r="O366" s="384"/>
      <c r="P366" s="384"/>
      <c r="Q366" s="384"/>
      <c r="R366" s="384"/>
      <c r="S366" s="384"/>
      <c r="T366" s="384"/>
      <c r="U366" s="384"/>
      <c r="V366" s="384"/>
      <c r="W366" s="384"/>
      <c r="X366" s="384"/>
      <c r="Y366" s="384"/>
      <c r="Z366" s="384"/>
      <c r="AA366" s="384"/>
      <c r="AB366" s="384"/>
      <c r="AC366" s="384"/>
      <c r="AD366" s="384"/>
      <c r="AE366" s="384"/>
      <c r="AF366" s="384"/>
      <c r="AG366" s="384"/>
      <c r="AH366" s="384"/>
      <c r="AI366" s="322"/>
      <c r="AJ366" s="479"/>
      <c r="AK366" s="378"/>
      <c r="AL366" s="378"/>
      <c r="AM366" s="378"/>
      <c r="AN366" s="378"/>
      <c r="AO366" s="378"/>
      <c r="AP366" s="378"/>
      <c r="AQ366" s="378"/>
      <c r="AR366" s="378"/>
      <c r="AS366" s="378"/>
      <c r="AT366" s="378"/>
      <c r="AU366" s="378"/>
      <c r="AV366" s="378"/>
      <c r="AW366" s="378"/>
    </row>
    <row r="367" spans="1:49" ht="12.95" customHeight="1">
      <c r="A367" s="348" t="s">
        <v>1102</v>
      </c>
      <c r="B367" s="350" t="s">
        <v>1103</v>
      </c>
      <c r="C367" s="454" t="str">
        <f t="shared" si="132"/>
        <v/>
      </c>
      <c r="D367" s="384"/>
      <c r="E367" s="384"/>
      <c r="F367" s="384"/>
      <c r="G367" s="384"/>
      <c r="H367" s="384"/>
      <c r="I367" s="384"/>
      <c r="J367" s="384"/>
      <c r="K367" s="384"/>
      <c r="L367" s="384"/>
      <c r="M367" s="384"/>
      <c r="N367" s="384"/>
      <c r="O367" s="384"/>
      <c r="P367" s="384"/>
      <c r="Q367" s="384"/>
      <c r="R367" s="384"/>
      <c r="S367" s="384"/>
      <c r="T367" s="384"/>
      <c r="U367" s="384"/>
      <c r="V367" s="384"/>
      <c r="W367" s="384"/>
      <c r="X367" s="384"/>
      <c r="Y367" s="384"/>
      <c r="Z367" s="384"/>
      <c r="AA367" s="384"/>
      <c r="AB367" s="384"/>
      <c r="AC367" s="384"/>
      <c r="AD367" s="384"/>
      <c r="AE367" s="384"/>
      <c r="AF367" s="384"/>
      <c r="AG367" s="384"/>
      <c r="AH367" s="384"/>
      <c r="AI367" s="322"/>
      <c r="AJ367" s="479"/>
      <c r="AK367" s="378"/>
      <c r="AL367" s="378"/>
      <c r="AM367" s="378"/>
      <c r="AN367" s="378"/>
      <c r="AO367" s="378"/>
      <c r="AP367" s="378"/>
      <c r="AQ367" s="378"/>
      <c r="AR367" s="378"/>
      <c r="AS367" s="378"/>
      <c r="AT367" s="378"/>
      <c r="AU367" s="378"/>
      <c r="AV367" s="378"/>
      <c r="AW367" s="378"/>
    </row>
    <row r="368" spans="1:49" ht="12.95" customHeight="1">
      <c r="A368" s="348" t="s">
        <v>1104</v>
      </c>
      <c r="B368" s="350" t="s">
        <v>1105</v>
      </c>
      <c r="C368" s="454" t="str">
        <f t="shared" si="132"/>
        <v/>
      </c>
      <c r="D368" s="384"/>
      <c r="E368" s="384"/>
      <c r="F368" s="384"/>
      <c r="G368" s="384"/>
      <c r="H368" s="384"/>
      <c r="I368" s="384"/>
      <c r="J368" s="384"/>
      <c r="K368" s="384"/>
      <c r="L368" s="384"/>
      <c r="M368" s="384"/>
      <c r="N368" s="384"/>
      <c r="O368" s="384"/>
      <c r="P368" s="384"/>
      <c r="Q368" s="384"/>
      <c r="R368" s="384"/>
      <c r="S368" s="384"/>
      <c r="T368" s="384"/>
      <c r="U368" s="384"/>
      <c r="V368" s="384"/>
      <c r="W368" s="384"/>
      <c r="X368" s="384"/>
      <c r="Y368" s="384"/>
      <c r="Z368" s="384"/>
      <c r="AA368" s="384"/>
      <c r="AB368" s="384"/>
      <c r="AC368" s="384"/>
      <c r="AD368" s="384"/>
      <c r="AE368" s="384"/>
      <c r="AF368" s="384"/>
      <c r="AG368" s="384"/>
      <c r="AH368" s="384"/>
      <c r="AI368" s="322"/>
      <c r="AJ368" s="479"/>
      <c r="AK368" s="378"/>
      <c r="AL368" s="378"/>
      <c r="AM368" s="378"/>
      <c r="AN368" s="378"/>
      <c r="AO368" s="378"/>
      <c r="AP368" s="378"/>
      <c r="AQ368" s="378"/>
      <c r="AR368" s="378"/>
      <c r="AS368" s="378"/>
      <c r="AT368" s="378"/>
      <c r="AU368" s="378"/>
      <c r="AV368" s="378"/>
      <c r="AW368" s="378"/>
    </row>
    <row r="369" spans="1:49" ht="12.95" customHeight="1">
      <c r="A369" s="348" t="s">
        <v>1106</v>
      </c>
      <c r="B369" s="350" t="s">
        <v>1107</v>
      </c>
      <c r="C369" s="454" t="str">
        <f t="shared" si="132"/>
        <v/>
      </c>
      <c r="D369" s="384"/>
      <c r="E369" s="384"/>
      <c r="F369" s="384"/>
      <c r="G369" s="384"/>
      <c r="H369" s="384"/>
      <c r="I369" s="384"/>
      <c r="J369" s="384"/>
      <c r="K369" s="384"/>
      <c r="L369" s="384"/>
      <c r="M369" s="384"/>
      <c r="N369" s="384"/>
      <c r="O369" s="384"/>
      <c r="P369" s="384"/>
      <c r="Q369" s="384"/>
      <c r="R369" s="384"/>
      <c r="S369" s="384"/>
      <c r="T369" s="384"/>
      <c r="U369" s="384"/>
      <c r="V369" s="384"/>
      <c r="W369" s="384"/>
      <c r="X369" s="384"/>
      <c r="Y369" s="384"/>
      <c r="Z369" s="384"/>
      <c r="AA369" s="384"/>
      <c r="AB369" s="384"/>
      <c r="AC369" s="384"/>
      <c r="AD369" s="384"/>
      <c r="AE369" s="384"/>
      <c r="AF369" s="384"/>
      <c r="AG369" s="384"/>
      <c r="AH369" s="384"/>
      <c r="AI369" s="322"/>
      <c r="AJ369" s="479"/>
      <c r="AK369" s="378"/>
      <c r="AL369" s="378"/>
      <c r="AM369" s="378"/>
      <c r="AN369" s="378"/>
      <c r="AO369" s="378"/>
      <c r="AP369" s="378"/>
      <c r="AQ369" s="378"/>
      <c r="AR369" s="378"/>
      <c r="AS369" s="378"/>
      <c r="AT369" s="378"/>
      <c r="AU369" s="378"/>
      <c r="AV369" s="378"/>
      <c r="AW369" s="378"/>
    </row>
    <row r="370" spans="1:49" ht="12.95" customHeight="1">
      <c r="A370" s="348" t="s">
        <v>1108</v>
      </c>
      <c r="B370" s="350" t="s">
        <v>1109</v>
      </c>
      <c r="C370" s="454" t="str">
        <f t="shared" si="132"/>
        <v/>
      </c>
      <c r="D370" s="384"/>
      <c r="E370" s="384"/>
      <c r="F370" s="384"/>
      <c r="G370" s="384"/>
      <c r="H370" s="384"/>
      <c r="I370" s="384"/>
      <c r="J370" s="384"/>
      <c r="K370" s="384"/>
      <c r="L370" s="384"/>
      <c r="M370" s="384"/>
      <c r="N370" s="384"/>
      <c r="O370" s="384"/>
      <c r="P370" s="384"/>
      <c r="Q370" s="384"/>
      <c r="R370" s="384"/>
      <c r="S370" s="384"/>
      <c r="T370" s="384"/>
      <c r="U370" s="384"/>
      <c r="V370" s="384"/>
      <c r="W370" s="384"/>
      <c r="X370" s="384"/>
      <c r="Y370" s="384"/>
      <c r="Z370" s="384"/>
      <c r="AA370" s="384"/>
      <c r="AB370" s="384"/>
      <c r="AC370" s="384"/>
      <c r="AD370" s="384"/>
      <c r="AE370" s="384"/>
      <c r="AF370" s="384"/>
      <c r="AG370" s="384"/>
      <c r="AH370" s="384"/>
      <c r="AI370" s="322"/>
      <c r="AJ370" s="479"/>
      <c r="AK370" s="378"/>
      <c r="AL370" s="378"/>
      <c r="AM370" s="378"/>
      <c r="AN370" s="378"/>
      <c r="AO370" s="378"/>
      <c r="AP370" s="378"/>
      <c r="AQ370" s="378"/>
      <c r="AR370" s="378"/>
      <c r="AS370" s="378"/>
      <c r="AT370" s="378"/>
      <c r="AU370" s="378"/>
      <c r="AV370" s="378"/>
      <c r="AW370" s="378"/>
    </row>
    <row r="371" spans="1:49" ht="12.95" customHeight="1">
      <c r="A371" s="348" t="s">
        <v>1110</v>
      </c>
      <c r="B371" s="350" t="s">
        <v>1111</v>
      </c>
      <c r="C371" s="454" t="str">
        <f t="shared" si="132"/>
        <v/>
      </c>
      <c r="D371" s="384"/>
      <c r="E371" s="384"/>
      <c r="F371" s="384"/>
      <c r="G371" s="384"/>
      <c r="H371" s="384"/>
      <c r="I371" s="384"/>
      <c r="J371" s="384"/>
      <c r="K371" s="384"/>
      <c r="L371" s="384"/>
      <c r="M371" s="384"/>
      <c r="N371" s="384"/>
      <c r="O371" s="384"/>
      <c r="P371" s="384"/>
      <c r="Q371" s="384"/>
      <c r="R371" s="384"/>
      <c r="S371" s="384"/>
      <c r="T371" s="384"/>
      <c r="U371" s="384"/>
      <c r="V371" s="384"/>
      <c r="W371" s="384"/>
      <c r="X371" s="384"/>
      <c r="Y371" s="384"/>
      <c r="Z371" s="384"/>
      <c r="AA371" s="384"/>
      <c r="AB371" s="384"/>
      <c r="AC371" s="384"/>
      <c r="AD371" s="384"/>
      <c r="AE371" s="384"/>
      <c r="AF371" s="384"/>
      <c r="AG371" s="384"/>
      <c r="AH371" s="384"/>
      <c r="AI371" s="322"/>
      <c r="AJ371" s="479"/>
      <c r="AK371" s="378"/>
      <c r="AL371" s="378"/>
      <c r="AM371" s="378"/>
      <c r="AN371" s="378"/>
      <c r="AO371" s="378"/>
      <c r="AP371" s="378"/>
      <c r="AQ371" s="378"/>
      <c r="AR371" s="378"/>
      <c r="AS371" s="378"/>
      <c r="AT371" s="378"/>
      <c r="AU371" s="378"/>
      <c r="AV371" s="378"/>
      <c r="AW371" s="378"/>
    </row>
    <row r="372" spans="1:49" ht="12.95" customHeight="1">
      <c r="A372" s="348" t="s">
        <v>1112</v>
      </c>
      <c r="B372" s="350" t="s">
        <v>1113</v>
      </c>
      <c r="C372" s="454" t="str">
        <f t="shared" si="132"/>
        <v/>
      </c>
      <c r="D372" s="384"/>
      <c r="E372" s="384"/>
      <c r="F372" s="384"/>
      <c r="G372" s="384"/>
      <c r="H372" s="384"/>
      <c r="I372" s="384"/>
      <c r="J372" s="384"/>
      <c r="K372" s="384"/>
      <c r="L372" s="384"/>
      <c r="M372" s="384"/>
      <c r="N372" s="384"/>
      <c r="O372" s="384"/>
      <c r="P372" s="384"/>
      <c r="Q372" s="384"/>
      <c r="R372" s="384"/>
      <c r="S372" s="384"/>
      <c r="T372" s="384"/>
      <c r="U372" s="384"/>
      <c r="V372" s="384"/>
      <c r="W372" s="384"/>
      <c r="X372" s="384"/>
      <c r="Y372" s="384"/>
      <c r="Z372" s="384"/>
      <c r="AA372" s="384"/>
      <c r="AB372" s="384"/>
      <c r="AC372" s="384"/>
      <c r="AD372" s="384"/>
      <c r="AE372" s="384"/>
      <c r="AF372" s="384"/>
      <c r="AG372" s="384"/>
      <c r="AH372" s="384"/>
      <c r="AI372" s="322"/>
      <c r="AJ372" s="479"/>
      <c r="AK372" s="378"/>
      <c r="AL372" s="378"/>
      <c r="AM372" s="378"/>
      <c r="AN372" s="378"/>
      <c r="AO372" s="378"/>
      <c r="AP372" s="378"/>
      <c r="AQ372" s="378"/>
      <c r="AR372" s="378"/>
      <c r="AS372" s="378"/>
      <c r="AT372" s="378"/>
      <c r="AU372" s="378"/>
      <c r="AV372" s="378"/>
      <c r="AW372" s="378"/>
    </row>
    <row r="373" spans="1:49" ht="12.95" customHeight="1">
      <c r="A373" s="348" t="s">
        <v>1114</v>
      </c>
      <c r="B373" s="350" t="s">
        <v>1115</v>
      </c>
      <c r="C373" s="454" t="str">
        <f t="shared" si="132"/>
        <v/>
      </c>
      <c r="D373" s="384"/>
      <c r="E373" s="384"/>
      <c r="F373" s="384"/>
      <c r="G373" s="384"/>
      <c r="H373" s="384"/>
      <c r="I373" s="384"/>
      <c r="J373" s="384"/>
      <c r="K373" s="384"/>
      <c r="L373" s="384"/>
      <c r="M373" s="384"/>
      <c r="N373" s="384"/>
      <c r="O373" s="384"/>
      <c r="P373" s="384"/>
      <c r="Q373" s="384"/>
      <c r="R373" s="384"/>
      <c r="S373" s="384"/>
      <c r="T373" s="384"/>
      <c r="U373" s="384"/>
      <c r="V373" s="384"/>
      <c r="W373" s="384"/>
      <c r="X373" s="384"/>
      <c r="Y373" s="384"/>
      <c r="Z373" s="384"/>
      <c r="AA373" s="384"/>
      <c r="AB373" s="384"/>
      <c r="AC373" s="384"/>
      <c r="AD373" s="384"/>
      <c r="AE373" s="384"/>
      <c r="AF373" s="384"/>
      <c r="AG373" s="384"/>
      <c r="AH373" s="384"/>
      <c r="AI373" s="322"/>
      <c r="AJ373" s="479"/>
      <c r="AK373" s="378"/>
      <c r="AL373" s="378"/>
      <c r="AM373" s="378"/>
      <c r="AN373" s="378"/>
      <c r="AO373" s="378"/>
      <c r="AP373" s="378"/>
      <c r="AQ373" s="378"/>
      <c r="AR373" s="378"/>
      <c r="AS373" s="378"/>
      <c r="AT373" s="378"/>
      <c r="AU373" s="378"/>
      <c r="AV373" s="378"/>
      <c r="AW373" s="378"/>
    </row>
    <row r="374" spans="1:49" ht="12.95" customHeight="1">
      <c r="A374" s="348" t="s">
        <v>1116</v>
      </c>
      <c r="B374" s="350" t="s">
        <v>1117</v>
      </c>
      <c r="C374" s="454" t="str">
        <f t="shared" si="132"/>
        <v/>
      </c>
      <c r="D374" s="384"/>
      <c r="E374" s="384"/>
      <c r="F374" s="384"/>
      <c r="G374" s="384"/>
      <c r="H374" s="384"/>
      <c r="I374" s="384"/>
      <c r="J374" s="384"/>
      <c r="K374" s="384"/>
      <c r="L374" s="384"/>
      <c r="M374" s="384"/>
      <c r="N374" s="384"/>
      <c r="O374" s="384"/>
      <c r="P374" s="384"/>
      <c r="Q374" s="384"/>
      <c r="R374" s="384"/>
      <c r="S374" s="384"/>
      <c r="T374" s="384"/>
      <c r="U374" s="384"/>
      <c r="V374" s="384"/>
      <c r="W374" s="384"/>
      <c r="X374" s="384"/>
      <c r="Y374" s="384"/>
      <c r="Z374" s="384"/>
      <c r="AA374" s="384"/>
      <c r="AB374" s="384"/>
      <c r="AC374" s="384"/>
      <c r="AD374" s="384"/>
      <c r="AE374" s="384"/>
      <c r="AF374" s="384"/>
      <c r="AG374" s="384"/>
      <c r="AH374" s="384"/>
      <c r="AI374" s="322"/>
      <c r="AJ374" s="479"/>
      <c r="AK374" s="378"/>
      <c r="AL374" s="378"/>
      <c r="AM374" s="378"/>
      <c r="AN374" s="378"/>
      <c r="AO374" s="378"/>
      <c r="AP374" s="378"/>
      <c r="AQ374" s="378"/>
      <c r="AR374" s="378"/>
      <c r="AS374" s="378"/>
      <c r="AT374" s="378"/>
      <c r="AU374" s="378"/>
      <c r="AV374" s="378"/>
      <c r="AW374" s="378"/>
    </row>
    <row r="375" spans="1:49" ht="12.95" customHeight="1">
      <c r="A375" s="455"/>
      <c r="B375" s="350"/>
      <c r="C375" s="322"/>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c r="Z375" s="322"/>
      <c r="AA375" s="322"/>
      <c r="AB375" s="322"/>
      <c r="AC375" s="322"/>
      <c r="AD375" s="322"/>
      <c r="AE375" s="322"/>
      <c r="AF375" s="322"/>
      <c r="AG375" s="322"/>
      <c r="AH375" s="322"/>
      <c r="AI375" s="322"/>
      <c r="AJ375" s="479"/>
      <c r="AK375" s="378"/>
      <c r="AL375" s="378"/>
      <c r="AM375" s="378"/>
      <c r="AN375" s="378"/>
      <c r="AO375" s="378"/>
      <c r="AP375" s="378"/>
      <c r="AQ375" s="378"/>
      <c r="AR375" s="378"/>
      <c r="AS375" s="378"/>
      <c r="AT375" s="378"/>
      <c r="AU375" s="378"/>
      <c r="AV375" s="378"/>
      <c r="AW375" s="378"/>
    </row>
    <row r="376" spans="1:49" ht="12.95" customHeight="1">
      <c r="A376" s="322"/>
      <c r="B376" s="350"/>
      <c r="C376" s="322"/>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c r="Z376" s="322"/>
      <c r="AA376" s="322"/>
      <c r="AB376" s="322"/>
      <c r="AC376" s="322"/>
      <c r="AD376" s="322"/>
      <c r="AE376" s="322"/>
      <c r="AF376" s="322"/>
      <c r="AG376" s="322"/>
      <c r="AH376" s="322"/>
      <c r="AI376" s="322"/>
      <c r="AJ376" s="479"/>
      <c r="AK376" s="378"/>
      <c r="AL376" s="378"/>
      <c r="AM376" s="378"/>
      <c r="AN376" s="378"/>
      <c r="AO376" s="378"/>
      <c r="AP376" s="378"/>
      <c r="AQ376" s="378"/>
      <c r="AR376" s="378"/>
      <c r="AS376" s="378"/>
      <c r="AT376" s="378"/>
      <c r="AU376" s="378"/>
      <c r="AV376" s="378"/>
      <c r="AW376" s="378"/>
    </row>
    <row r="377" spans="1:49" ht="15" customHeight="1">
      <c r="A377" s="348"/>
      <c r="B377" s="350"/>
      <c r="C377" s="369" t="s">
        <v>1118</v>
      </c>
      <c r="D377" s="370"/>
      <c r="E377" s="370"/>
      <c r="F377" s="370"/>
      <c r="G377" s="370"/>
      <c r="H377" s="370"/>
      <c r="I377" s="370"/>
      <c r="J377" s="370"/>
      <c r="K377" s="370"/>
      <c r="L377" s="370"/>
      <c r="M377" s="370"/>
      <c r="N377" s="370"/>
      <c r="O377" s="370"/>
      <c r="P377" s="370"/>
      <c r="Q377" s="370"/>
      <c r="R377" s="370"/>
      <c r="S377" s="370"/>
      <c r="T377" s="370"/>
      <c r="U377" s="370"/>
      <c r="V377" s="370"/>
      <c r="W377" s="370"/>
      <c r="X377" s="370"/>
      <c r="Y377" s="370"/>
      <c r="Z377" s="370"/>
      <c r="AA377" s="370"/>
      <c r="AB377" s="370"/>
      <c r="AC377" s="370"/>
      <c r="AD377" s="370"/>
      <c r="AE377" s="370"/>
      <c r="AF377" s="370"/>
      <c r="AG377" s="370"/>
      <c r="AH377" s="370"/>
      <c r="AI377" s="322"/>
      <c r="AJ377" s="479"/>
      <c r="AK377" s="378"/>
      <c r="AL377" s="378"/>
      <c r="AM377" s="378"/>
      <c r="AN377" s="378"/>
      <c r="AO377" s="378"/>
      <c r="AP377" s="378"/>
      <c r="AQ377" s="378"/>
      <c r="AR377" s="378"/>
      <c r="AS377" s="378"/>
      <c r="AT377" s="378"/>
      <c r="AU377" s="378"/>
      <c r="AV377" s="378"/>
      <c r="AW377" s="378"/>
    </row>
    <row r="378" spans="1:49" ht="12.95" customHeight="1">
      <c r="A378" s="348" t="s">
        <v>1119</v>
      </c>
      <c r="B378" s="350" t="s">
        <v>1120</v>
      </c>
      <c r="C378" s="456" t="s">
        <v>1121</v>
      </c>
      <c r="D378" s="420"/>
      <c r="E378" s="420"/>
      <c r="F378" s="420">
        <f t="shared" ref="F378:Q378" si="133">F156+F166</f>
        <v>0</v>
      </c>
      <c r="G378" s="420">
        <f t="shared" si="133"/>
        <v>0</v>
      </c>
      <c r="H378" s="420">
        <f t="shared" si="133"/>
        <v>0</v>
      </c>
      <c r="I378" s="420">
        <f t="shared" si="133"/>
        <v>43.200000000000017</v>
      </c>
      <c r="J378" s="420">
        <f t="shared" si="133"/>
        <v>211.12800000000001</v>
      </c>
      <c r="K378" s="420">
        <f t="shared" si="133"/>
        <v>185.779</v>
      </c>
      <c r="L378" s="420">
        <f t="shared" si="133"/>
        <v>139.48699999999997</v>
      </c>
      <c r="M378" s="420">
        <f t="shared" si="133"/>
        <v>78.143000000000001</v>
      </c>
      <c r="N378" s="420">
        <f t="shared" si="133"/>
        <v>70.22457526520455</v>
      </c>
      <c r="O378" s="420">
        <f t="shared" si="133"/>
        <v>100.17005977577193</v>
      </c>
      <c r="P378" s="420">
        <f t="shared" si="133"/>
        <v>126.19000060314561</v>
      </c>
      <c r="Q378" s="420">
        <f t="shared" si="133"/>
        <v>136.75163292203285</v>
      </c>
      <c r="R378" s="420"/>
      <c r="S378" s="420"/>
      <c r="T378" s="420">
        <f t="shared" ref="T378:AH378" si="134">T156+T166</f>
        <v>0</v>
      </c>
      <c r="U378" s="420">
        <f t="shared" si="134"/>
        <v>0</v>
      </c>
      <c r="V378" s="420">
        <f t="shared" si="134"/>
        <v>0</v>
      </c>
      <c r="W378" s="420">
        <f t="shared" si="134"/>
        <v>0</v>
      </c>
      <c r="X378" s="420">
        <f t="shared" si="134"/>
        <v>0</v>
      </c>
      <c r="Y378" s="420">
        <f t="shared" si="134"/>
        <v>0</v>
      </c>
      <c r="Z378" s="420">
        <f t="shared" si="134"/>
        <v>0</v>
      </c>
      <c r="AA378" s="420">
        <f t="shared" si="134"/>
        <v>0</v>
      </c>
      <c r="AB378" s="420">
        <f t="shared" si="134"/>
        <v>0</v>
      </c>
      <c r="AC378" s="420">
        <f t="shared" si="134"/>
        <v>0</v>
      </c>
      <c r="AD378" s="420">
        <f t="shared" si="134"/>
        <v>0</v>
      </c>
      <c r="AE378" s="420">
        <f t="shared" si="134"/>
        <v>0</v>
      </c>
      <c r="AF378" s="420">
        <f t="shared" si="134"/>
        <v>0</v>
      </c>
      <c r="AG378" s="420">
        <f t="shared" si="134"/>
        <v>0</v>
      </c>
      <c r="AH378" s="420">
        <f t="shared" si="134"/>
        <v>0</v>
      </c>
      <c r="AI378" s="322"/>
      <c r="AJ378" s="479"/>
      <c r="AK378" s="378" t="str">
        <f>_xll.BLUEMATRIX2("/servlet/excelData",E378,$B$1,$B378&amp;":"&amp;E$115&amp;":"&amp;$AI$114)</f>
        <v>#</v>
      </c>
      <c r="AL378" s="378" t="str">
        <f>_xll.BLUEMATRIX2("/servlet/excelData",F378,$B$1,$B378&amp;":"&amp;F$115&amp;":"&amp;$AI$114)</f>
        <v>#</v>
      </c>
      <c r="AM378" s="378" t="str">
        <f>_xll.BLUEMATRIX2("/servlet/excelData",G378,$B$1,$B378&amp;":"&amp;G$115&amp;":"&amp;$AI$114)</f>
        <v>#</v>
      </c>
      <c r="AN378" s="378" t="str">
        <f>_xll.BLUEMATRIX2("/servlet/excelData",H378,$B$1,$B378&amp;":"&amp;H$115&amp;":"&amp;$AI$114)</f>
        <v>#</v>
      </c>
      <c r="AO378" s="378" t="str">
        <f>_xll.BLUEMATRIX2("/servlet/excelData",I378,$B$1,$B378&amp;":"&amp;I$115&amp;":"&amp;$AI$114)</f>
        <v>#</v>
      </c>
      <c r="AP378" s="378" t="str">
        <f>_xll.BLUEMATRIX2("/servlet/excelData",J378,$B$1,$B378&amp;":"&amp;J$115&amp;":"&amp;$AI$114)</f>
        <v>#</v>
      </c>
      <c r="AQ378" s="378" t="str">
        <f>_xll.BLUEMATRIX2("/servlet/excelData",K378,$B$1,$B378&amp;":"&amp;K$115&amp;":"&amp;$AI$114)</f>
        <v>#</v>
      </c>
      <c r="AR378" s="378" t="str">
        <f>_xll.BLUEMATRIX2("/servlet/excelData",L378,$B$1,$B378&amp;":"&amp;L$115&amp;":"&amp;$AI$114)</f>
        <v>#</v>
      </c>
      <c r="AS378" s="378" t="str">
        <f>_xll.BLUEMATRIX2("/servlet/excelData",M378,$B$1,$B378&amp;":"&amp;M$115&amp;":"&amp;$AI$114)</f>
        <v>#</v>
      </c>
      <c r="AT378" s="378" t="str">
        <f>_xll.BLUEMATRIX2("/servlet/excelData",N378,$B$1,$B378&amp;":"&amp;N$115&amp;":"&amp;$AI$114)</f>
        <v>#</v>
      </c>
      <c r="AU378" s="378" t="str">
        <f>_xll.BLUEMATRIX2("/servlet/excelData",O378,$B$1,$B378&amp;":"&amp;O$115&amp;":"&amp;$AI$114)</f>
        <v>#</v>
      </c>
      <c r="AV378" s="378" t="str">
        <f>_xll.BLUEMATRIX2("/servlet/excelData",P378,$B$1,$B378&amp;":"&amp;P$115&amp;":"&amp;$AI$114)</f>
        <v>#</v>
      </c>
      <c r="AW378" s="378" t="str">
        <f>_xll.BLUEMATRIX2("/servlet/excelData",Q378,$B$1,$B378&amp;":"&amp;Q$115&amp;":"&amp;$AI$114)</f>
        <v>#</v>
      </c>
    </row>
    <row r="379" spans="1:49" ht="12.95" customHeight="1">
      <c r="A379" s="348" t="s">
        <v>1122</v>
      </c>
      <c r="B379" s="350" t="s">
        <v>1123</v>
      </c>
      <c r="C379" s="322" t="s">
        <v>1124</v>
      </c>
      <c r="D379" s="420"/>
      <c r="E379" s="420"/>
      <c r="F379" s="420">
        <f t="shared" ref="F379:Q379" si="135">F166+F168</f>
        <v>0</v>
      </c>
      <c r="G379" s="420">
        <f t="shared" si="135"/>
        <v>0</v>
      </c>
      <c r="H379" s="420">
        <f t="shared" si="135"/>
        <v>0</v>
      </c>
      <c r="I379" s="420">
        <f t="shared" si="135"/>
        <v>0</v>
      </c>
      <c r="J379" s="420">
        <f t="shared" si="135"/>
        <v>0</v>
      </c>
      <c r="K379" s="420">
        <f t="shared" si="135"/>
        <v>0</v>
      </c>
      <c r="L379" s="420">
        <f t="shared" si="135"/>
        <v>0</v>
      </c>
      <c r="M379" s="420">
        <f t="shared" si="135"/>
        <v>0</v>
      </c>
      <c r="N379" s="420">
        <f t="shared" si="135"/>
        <v>0</v>
      </c>
      <c r="O379" s="420">
        <f t="shared" si="135"/>
        <v>0</v>
      </c>
      <c r="P379" s="420">
        <f t="shared" si="135"/>
        <v>0</v>
      </c>
      <c r="Q379" s="420">
        <f t="shared" si="135"/>
        <v>0</v>
      </c>
      <c r="R379" s="420"/>
      <c r="S379" s="420"/>
      <c r="T379" s="420">
        <f t="shared" ref="T379:AH379" si="136">T166+T168</f>
        <v>0</v>
      </c>
      <c r="U379" s="420">
        <f t="shared" si="136"/>
        <v>0</v>
      </c>
      <c r="V379" s="420">
        <f t="shared" si="136"/>
        <v>0</v>
      </c>
      <c r="W379" s="420">
        <f t="shared" si="136"/>
        <v>0</v>
      </c>
      <c r="X379" s="420">
        <f t="shared" si="136"/>
        <v>0</v>
      </c>
      <c r="Y379" s="420">
        <f t="shared" si="136"/>
        <v>0</v>
      </c>
      <c r="Z379" s="420">
        <f t="shared" si="136"/>
        <v>0</v>
      </c>
      <c r="AA379" s="420">
        <f t="shared" si="136"/>
        <v>0</v>
      </c>
      <c r="AB379" s="420">
        <f t="shared" si="136"/>
        <v>0</v>
      </c>
      <c r="AC379" s="420">
        <f t="shared" si="136"/>
        <v>0</v>
      </c>
      <c r="AD379" s="420">
        <f t="shared" si="136"/>
        <v>0</v>
      </c>
      <c r="AE379" s="420">
        <f t="shared" si="136"/>
        <v>0</v>
      </c>
      <c r="AF379" s="420">
        <f t="shared" si="136"/>
        <v>0</v>
      </c>
      <c r="AG379" s="420">
        <f t="shared" si="136"/>
        <v>0</v>
      </c>
      <c r="AH379" s="420">
        <f t="shared" si="136"/>
        <v>0</v>
      </c>
      <c r="AI379" s="322"/>
      <c r="AJ379" s="479"/>
      <c r="AK379" s="378" t="str">
        <f>_xll.BLUEMATRIX2("/servlet/excelData",E379,$B$1,$B379&amp;":"&amp;E$115&amp;":"&amp;$AI$114)</f>
        <v>#</v>
      </c>
      <c r="AL379" s="378" t="str">
        <f>_xll.BLUEMATRIX2("/servlet/excelData",F379,$B$1,$B379&amp;":"&amp;F$115&amp;":"&amp;$AI$114)</f>
        <v>#</v>
      </c>
      <c r="AM379" s="378" t="str">
        <f>_xll.BLUEMATRIX2("/servlet/excelData",G379,$B$1,$B379&amp;":"&amp;G$115&amp;":"&amp;$AI$114)</f>
        <v>#</v>
      </c>
      <c r="AN379" s="378" t="str">
        <f>_xll.BLUEMATRIX2("/servlet/excelData",H379,$B$1,$B379&amp;":"&amp;H$115&amp;":"&amp;$AI$114)</f>
        <v>#</v>
      </c>
      <c r="AO379" s="378" t="str">
        <f>_xll.BLUEMATRIX2("/servlet/excelData",I379,$B$1,$B379&amp;":"&amp;I$115&amp;":"&amp;$AI$114)</f>
        <v>#</v>
      </c>
      <c r="AP379" s="378" t="str">
        <f>_xll.BLUEMATRIX2("/servlet/excelData",J379,$B$1,$B379&amp;":"&amp;J$115&amp;":"&amp;$AI$114)</f>
        <v>#</v>
      </c>
      <c r="AQ379" s="378" t="str">
        <f>_xll.BLUEMATRIX2("/servlet/excelData",K379,$B$1,$B379&amp;":"&amp;K$115&amp;":"&amp;$AI$114)</f>
        <v>#</v>
      </c>
      <c r="AR379" s="378" t="str">
        <f>_xll.BLUEMATRIX2("/servlet/excelData",L379,$B$1,$B379&amp;":"&amp;L$115&amp;":"&amp;$AI$114)</f>
        <v>#</v>
      </c>
      <c r="AS379" s="378" t="str">
        <f>_xll.BLUEMATRIX2("/servlet/excelData",M379,$B$1,$B379&amp;":"&amp;M$115&amp;":"&amp;$AI$114)</f>
        <v>#</v>
      </c>
      <c r="AT379" s="378" t="str">
        <f>_xll.BLUEMATRIX2("/servlet/excelData",N379,$B$1,$B379&amp;":"&amp;N$115&amp;":"&amp;$AI$114)</f>
        <v>#</v>
      </c>
      <c r="AU379" s="378" t="str">
        <f>_xll.BLUEMATRIX2("/servlet/excelData",O379,$B$1,$B379&amp;":"&amp;O$115&amp;":"&amp;$AI$114)</f>
        <v>#</v>
      </c>
      <c r="AV379" s="378" t="str">
        <f>_xll.BLUEMATRIX2("/servlet/excelData",P379,$B$1,$B379&amp;":"&amp;P$115&amp;":"&amp;$AI$114)</f>
        <v>#</v>
      </c>
      <c r="AW379" s="378" t="str">
        <f>_xll.BLUEMATRIX2("/servlet/excelData",Q379,$B$1,$B379&amp;":"&amp;Q$115&amp;":"&amp;$AI$114)</f>
        <v>#</v>
      </c>
    </row>
    <row r="380" spans="1:49" ht="12.95" customHeight="1">
      <c r="A380" s="348" t="s">
        <v>1125</v>
      </c>
      <c r="B380" s="350" t="s">
        <v>1126</v>
      </c>
      <c r="C380" s="322" t="s">
        <v>1127</v>
      </c>
      <c r="D380" s="420"/>
      <c r="E380" s="420"/>
      <c r="F380" s="420">
        <f t="shared" ref="F380:Q380" si="137">F170+F171</f>
        <v>0</v>
      </c>
      <c r="G380" s="420">
        <f t="shared" si="137"/>
        <v>0</v>
      </c>
      <c r="H380" s="420">
        <f t="shared" si="137"/>
        <v>0</v>
      </c>
      <c r="I380" s="420">
        <f t="shared" si="137"/>
        <v>-43.3</v>
      </c>
      <c r="J380" s="420">
        <f t="shared" si="137"/>
        <v>-124.72499999999999</v>
      </c>
      <c r="K380" s="420">
        <f t="shared" si="137"/>
        <v>-266.5</v>
      </c>
      <c r="L380" s="420">
        <f t="shared" si="137"/>
        <v>-42.3</v>
      </c>
      <c r="M380" s="420">
        <f t="shared" si="137"/>
        <v>-19.8</v>
      </c>
      <c r="N380" s="420">
        <f t="shared" si="137"/>
        <v>-47</v>
      </c>
      <c r="O380" s="420">
        <f t="shared" si="137"/>
        <v>-17</v>
      </c>
      <c r="P380" s="420">
        <f t="shared" si="137"/>
        <v>-7</v>
      </c>
      <c r="Q380" s="420">
        <f t="shared" si="137"/>
        <v>0</v>
      </c>
      <c r="R380" s="420"/>
      <c r="S380" s="420"/>
      <c r="T380" s="420">
        <f t="shared" ref="T380:AH380" si="138">T170+T171</f>
        <v>0</v>
      </c>
      <c r="U380" s="420">
        <f t="shared" si="138"/>
        <v>0</v>
      </c>
      <c r="V380" s="420">
        <f t="shared" si="138"/>
        <v>0</v>
      </c>
      <c r="W380" s="420">
        <f t="shared" si="138"/>
        <v>0</v>
      </c>
      <c r="X380" s="420">
        <f t="shared" si="138"/>
        <v>0</v>
      </c>
      <c r="Y380" s="420">
        <f t="shared" si="138"/>
        <v>0</v>
      </c>
      <c r="Z380" s="420">
        <f t="shared" si="138"/>
        <v>0</v>
      </c>
      <c r="AA380" s="420">
        <f t="shared" si="138"/>
        <v>0</v>
      </c>
      <c r="AB380" s="420">
        <f t="shared" si="138"/>
        <v>0</v>
      </c>
      <c r="AC380" s="420">
        <f t="shared" si="138"/>
        <v>0</v>
      </c>
      <c r="AD380" s="420">
        <f t="shared" si="138"/>
        <v>0</v>
      </c>
      <c r="AE380" s="420">
        <f t="shared" si="138"/>
        <v>0</v>
      </c>
      <c r="AF380" s="420">
        <f t="shared" si="138"/>
        <v>0</v>
      </c>
      <c r="AG380" s="420">
        <f t="shared" si="138"/>
        <v>0</v>
      </c>
      <c r="AH380" s="420">
        <f t="shared" si="138"/>
        <v>0</v>
      </c>
      <c r="AI380" s="322"/>
      <c r="AJ380" s="479"/>
      <c r="AK380" s="378" t="str">
        <f>_xll.BLUEMATRIX2("/servlet/excelData",E380,$B$1,$B380&amp;":"&amp;E$115&amp;":"&amp;$AI$114)</f>
        <v>#</v>
      </c>
      <c r="AL380" s="378" t="str">
        <f>_xll.BLUEMATRIX2("/servlet/excelData",F380,$B$1,$B380&amp;":"&amp;F$115&amp;":"&amp;$AI$114)</f>
        <v>#</v>
      </c>
      <c r="AM380" s="378" t="str">
        <f>_xll.BLUEMATRIX2("/servlet/excelData",G380,$B$1,$B380&amp;":"&amp;G$115&amp;":"&amp;$AI$114)</f>
        <v>#</v>
      </c>
      <c r="AN380" s="378" t="str">
        <f>_xll.BLUEMATRIX2("/servlet/excelData",H380,$B$1,$B380&amp;":"&amp;H$115&amp;":"&amp;$AI$114)</f>
        <v>#</v>
      </c>
      <c r="AO380" s="378" t="str">
        <f>_xll.BLUEMATRIX2("/servlet/excelData",I380,$B$1,$B380&amp;":"&amp;I$115&amp;":"&amp;$AI$114)</f>
        <v>#</v>
      </c>
      <c r="AP380" s="378" t="str">
        <f>_xll.BLUEMATRIX2("/servlet/excelData",J380,$B$1,$B380&amp;":"&amp;J$115&amp;":"&amp;$AI$114)</f>
        <v>#</v>
      </c>
      <c r="AQ380" s="378" t="str">
        <f>_xll.BLUEMATRIX2("/servlet/excelData",K380,$B$1,$B380&amp;":"&amp;K$115&amp;":"&amp;$AI$114)</f>
        <v>#</v>
      </c>
      <c r="AR380" s="378" t="str">
        <f>_xll.BLUEMATRIX2("/servlet/excelData",L380,$B$1,$B380&amp;":"&amp;L$115&amp;":"&amp;$AI$114)</f>
        <v>#</v>
      </c>
      <c r="AS380" s="378" t="str">
        <f>_xll.BLUEMATRIX2("/servlet/excelData",M380,$B$1,$B380&amp;":"&amp;M$115&amp;":"&amp;$AI$114)</f>
        <v>#</v>
      </c>
      <c r="AT380" s="378" t="str">
        <f>_xll.BLUEMATRIX2("/servlet/excelData",N380,$B$1,$B380&amp;":"&amp;N$115&amp;":"&amp;$AI$114)</f>
        <v>#</v>
      </c>
      <c r="AU380" s="378" t="str">
        <f>_xll.BLUEMATRIX2("/servlet/excelData",O380,$B$1,$B380&amp;":"&amp;O$115&amp;":"&amp;$AI$114)</f>
        <v>#</v>
      </c>
      <c r="AV380" s="378" t="str">
        <f>_xll.BLUEMATRIX2("/servlet/excelData",P380,$B$1,$B380&amp;":"&amp;P$115&amp;":"&amp;$AI$114)</f>
        <v>#</v>
      </c>
      <c r="AW380" s="378" t="str">
        <f>_xll.BLUEMATRIX2("/servlet/excelData",Q380,$B$1,$B380&amp;":"&amp;Q$115&amp;":"&amp;$AI$114)</f>
        <v>#</v>
      </c>
    </row>
    <row r="381" spans="1:49" ht="12.95" customHeight="1">
      <c r="A381" s="348" t="s">
        <v>1128</v>
      </c>
      <c r="B381" s="350" t="s">
        <v>1129</v>
      </c>
      <c r="C381" s="322" t="s">
        <v>1130</v>
      </c>
      <c r="D381" s="420"/>
      <c r="E381" s="420"/>
      <c r="F381" s="420">
        <f t="shared" ref="F381:Q381" si="139">F185+F186+F188+F191+F192+F194</f>
        <v>0</v>
      </c>
      <c r="G381" s="420">
        <f t="shared" si="139"/>
        <v>0</v>
      </c>
      <c r="H381" s="420">
        <f t="shared" si="139"/>
        <v>0</v>
      </c>
      <c r="I381" s="420">
        <f t="shared" si="139"/>
        <v>433.21699999999998</v>
      </c>
      <c r="J381" s="420">
        <f t="shared" si="139"/>
        <v>188.03800000000001</v>
      </c>
      <c r="K381" s="420">
        <f t="shared" si="139"/>
        <v>184.87899999999999</v>
      </c>
      <c r="L381" s="420">
        <f t="shared" si="139"/>
        <v>164.148</v>
      </c>
      <c r="M381" s="420">
        <f t="shared" si="139"/>
        <v>313.15300000000002</v>
      </c>
      <c r="N381" s="420">
        <f t="shared" si="139"/>
        <v>239.09699999999998</v>
      </c>
      <c r="O381" s="420">
        <f t="shared" si="139"/>
        <v>239.09699999999998</v>
      </c>
      <c r="P381" s="420">
        <f t="shared" si="139"/>
        <v>239.09699999999998</v>
      </c>
      <c r="Q381" s="420">
        <f t="shared" si="139"/>
        <v>239.09699999999998</v>
      </c>
      <c r="R381" s="420"/>
      <c r="S381" s="420"/>
      <c r="T381" s="420">
        <f t="shared" ref="T381:AH381" si="140">T185+T186+T188+T191+T192+T194</f>
        <v>0</v>
      </c>
      <c r="U381" s="420">
        <f t="shared" si="140"/>
        <v>0</v>
      </c>
      <c r="V381" s="420">
        <f t="shared" si="140"/>
        <v>0</v>
      </c>
      <c r="W381" s="420">
        <f t="shared" si="140"/>
        <v>0</v>
      </c>
      <c r="X381" s="420">
        <f t="shared" si="140"/>
        <v>0</v>
      </c>
      <c r="Y381" s="420">
        <f t="shared" si="140"/>
        <v>0</v>
      </c>
      <c r="Z381" s="420">
        <f t="shared" si="140"/>
        <v>0</v>
      </c>
      <c r="AA381" s="420">
        <f t="shared" si="140"/>
        <v>0</v>
      </c>
      <c r="AB381" s="420">
        <f t="shared" si="140"/>
        <v>0</v>
      </c>
      <c r="AC381" s="420">
        <f t="shared" si="140"/>
        <v>0</v>
      </c>
      <c r="AD381" s="420">
        <f t="shared" si="140"/>
        <v>0</v>
      </c>
      <c r="AE381" s="420">
        <f t="shared" si="140"/>
        <v>0</v>
      </c>
      <c r="AF381" s="420">
        <f t="shared" si="140"/>
        <v>0</v>
      </c>
      <c r="AG381" s="420">
        <f t="shared" si="140"/>
        <v>0</v>
      </c>
      <c r="AH381" s="420">
        <f t="shared" si="140"/>
        <v>0</v>
      </c>
      <c r="AI381" s="322"/>
      <c r="AJ381" s="479"/>
      <c r="AK381" s="378" t="str">
        <f>_xll.BLUEMATRIX2("/servlet/excelData",E381,$B$1,$B381&amp;":"&amp;E$115&amp;":"&amp;$AI$114)</f>
        <v>#</v>
      </c>
      <c r="AL381" s="378" t="str">
        <f>_xll.BLUEMATRIX2("/servlet/excelData",F381,$B$1,$B381&amp;":"&amp;F$115&amp;":"&amp;$AI$114)</f>
        <v>#</v>
      </c>
      <c r="AM381" s="378" t="str">
        <f>_xll.BLUEMATRIX2("/servlet/excelData",G381,$B$1,$B381&amp;":"&amp;G$115&amp;":"&amp;$AI$114)</f>
        <v>#</v>
      </c>
      <c r="AN381" s="378" t="str">
        <f>_xll.BLUEMATRIX2("/servlet/excelData",H381,$B$1,$B381&amp;":"&amp;H$115&amp;":"&amp;$AI$114)</f>
        <v>#</v>
      </c>
      <c r="AO381" s="378" t="str">
        <f>_xll.BLUEMATRIX2("/servlet/excelData",I381,$B$1,$B381&amp;":"&amp;I$115&amp;":"&amp;$AI$114)</f>
        <v>#</v>
      </c>
      <c r="AP381" s="378" t="str">
        <f>_xll.BLUEMATRIX2("/servlet/excelData",J381,$B$1,$B381&amp;":"&amp;J$115&amp;":"&amp;$AI$114)</f>
        <v>#</v>
      </c>
      <c r="AQ381" s="378" t="str">
        <f>_xll.BLUEMATRIX2("/servlet/excelData",K381,$B$1,$B381&amp;":"&amp;K$115&amp;":"&amp;$AI$114)</f>
        <v>#</v>
      </c>
      <c r="AR381" s="378" t="str">
        <f>_xll.BLUEMATRIX2("/servlet/excelData",L381,$B$1,$B381&amp;":"&amp;L$115&amp;":"&amp;$AI$114)</f>
        <v>#</v>
      </c>
      <c r="AS381" s="378" t="str">
        <f>_xll.BLUEMATRIX2("/servlet/excelData",M381,$B$1,$B381&amp;":"&amp;M$115&amp;":"&amp;$AI$114)</f>
        <v>#</v>
      </c>
      <c r="AT381" s="378" t="str">
        <f>_xll.BLUEMATRIX2("/servlet/excelData",N381,$B$1,$B381&amp;":"&amp;N$115&amp;":"&amp;$AI$114)</f>
        <v>#</v>
      </c>
      <c r="AU381" s="378" t="str">
        <f>_xll.BLUEMATRIX2("/servlet/excelData",O381,$B$1,$B381&amp;":"&amp;O$115&amp;":"&amp;$AI$114)</f>
        <v>#</v>
      </c>
      <c r="AV381" s="378" t="str">
        <f>_xll.BLUEMATRIX2("/servlet/excelData",P381,$B$1,$B381&amp;":"&amp;P$115&amp;":"&amp;$AI$114)</f>
        <v>#</v>
      </c>
      <c r="AW381" s="378" t="str">
        <f>_xll.BLUEMATRIX2("/servlet/excelData",Q381,$B$1,$B381&amp;":"&amp;Q$115&amp;":"&amp;$AI$114)</f>
        <v>#</v>
      </c>
    </row>
    <row r="382" spans="1:49" ht="12.95" customHeight="1">
      <c r="A382" s="348" t="s">
        <v>1131</v>
      </c>
      <c r="B382" s="350" t="s">
        <v>1132</v>
      </c>
      <c r="C382" s="322" t="s">
        <v>1133</v>
      </c>
      <c r="D382" s="420"/>
      <c r="E382" s="420"/>
      <c r="F382" s="420">
        <f t="shared" ref="F382:Q382" si="141">F203+F206+F207+F208+F211+F212+F213+F214+F215+F216</f>
        <v>0</v>
      </c>
      <c r="G382" s="420">
        <f t="shared" si="141"/>
        <v>0</v>
      </c>
      <c r="H382" s="420">
        <f t="shared" si="141"/>
        <v>0</v>
      </c>
      <c r="I382" s="420">
        <f t="shared" si="141"/>
        <v>455.85700000000008</v>
      </c>
      <c r="J382" s="420">
        <f t="shared" si="141"/>
        <v>545.82400000000007</v>
      </c>
      <c r="K382" s="420">
        <f t="shared" si="141"/>
        <v>640.88199999999995</v>
      </c>
      <c r="L382" s="420">
        <f t="shared" si="141"/>
        <v>618.952</v>
      </c>
      <c r="M382" s="420">
        <f t="shared" si="141"/>
        <v>343.88900000000001</v>
      </c>
      <c r="N382" s="420">
        <f t="shared" si="141"/>
        <v>343.88900000000001</v>
      </c>
      <c r="O382" s="420">
        <f t="shared" si="141"/>
        <v>343.88900000000001</v>
      </c>
      <c r="P382" s="420">
        <f t="shared" si="141"/>
        <v>343.88900000000001</v>
      </c>
      <c r="Q382" s="420">
        <f t="shared" si="141"/>
        <v>343.88900000000001</v>
      </c>
      <c r="R382" s="420"/>
      <c r="S382" s="420"/>
      <c r="T382" s="420">
        <f t="shared" ref="T382:AH382" si="142">T203+T206+T207+T208+T211+T212+T213+T214+T215+T216</f>
        <v>0</v>
      </c>
      <c r="U382" s="420">
        <f t="shared" si="142"/>
        <v>0</v>
      </c>
      <c r="V382" s="420">
        <f t="shared" si="142"/>
        <v>0</v>
      </c>
      <c r="W382" s="420">
        <f t="shared" si="142"/>
        <v>0</v>
      </c>
      <c r="X382" s="420">
        <f t="shared" si="142"/>
        <v>0</v>
      </c>
      <c r="Y382" s="420">
        <f t="shared" si="142"/>
        <v>0</v>
      </c>
      <c r="Z382" s="420">
        <f t="shared" si="142"/>
        <v>0</v>
      </c>
      <c r="AA382" s="420">
        <f t="shared" si="142"/>
        <v>0</v>
      </c>
      <c r="AB382" s="420">
        <f t="shared" si="142"/>
        <v>0</v>
      </c>
      <c r="AC382" s="420">
        <f t="shared" si="142"/>
        <v>0</v>
      </c>
      <c r="AD382" s="420">
        <f t="shared" si="142"/>
        <v>0</v>
      </c>
      <c r="AE382" s="420">
        <f t="shared" si="142"/>
        <v>0</v>
      </c>
      <c r="AF382" s="420">
        <f t="shared" si="142"/>
        <v>0</v>
      </c>
      <c r="AG382" s="420">
        <f t="shared" si="142"/>
        <v>0</v>
      </c>
      <c r="AH382" s="420">
        <f t="shared" si="142"/>
        <v>0</v>
      </c>
      <c r="AI382" s="322"/>
      <c r="AJ382" s="479"/>
      <c r="AK382" s="378" t="str">
        <f>_xll.BLUEMATRIX2("/servlet/excelData",E382,$B$1,$B382&amp;":"&amp;E$115&amp;":"&amp;$AI$114)</f>
        <v>#</v>
      </c>
      <c r="AL382" s="378" t="str">
        <f>_xll.BLUEMATRIX2("/servlet/excelData",F382,$B$1,$B382&amp;":"&amp;F$115&amp;":"&amp;$AI$114)</f>
        <v>#</v>
      </c>
      <c r="AM382" s="378" t="str">
        <f>_xll.BLUEMATRIX2("/servlet/excelData",G382,$B$1,$B382&amp;":"&amp;G$115&amp;":"&amp;$AI$114)</f>
        <v>#</v>
      </c>
      <c r="AN382" s="378" t="str">
        <f>_xll.BLUEMATRIX2("/servlet/excelData",H382,$B$1,$B382&amp;":"&amp;H$115&amp;":"&amp;$AI$114)</f>
        <v>#</v>
      </c>
      <c r="AO382" s="378" t="str">
        <f>_xll.BLUEMATRIX2("/servlet/excelData",I382,$B$1,$B382&amp;":"&amp;I$115&amp;":"&amp;$AI$114)</f>
        <v>#</v>
      </c>
      <c r="AP382" s="378" t="str">
        <f>_xll.BLUEMATRIX2("/servlet/excelData",J382,$B$1,$B382&amp;":"&amp;J$115&amp;":"&amp;$AI$114)</f>
        <v>#</v>
      </c>
      <c r="AQ382" s="378" t="str">
        <f>_xll.BLUEMATRIX2("/servlet/excelData",K382,$B$1,$B382&amp;":"&amp;K$115&amp;":"&amp;$AI$114)</f>
        <v>#</v>
      </c>
      <c r="AR382" s="378" t="str">
        <f>_xll.BLUEMATRIX2("/servlet/excelData",L382,$B$1,$B382&amp;":"&amp;L$115&amp;":"&amp;$AI$114)</f>
        <v>#</v>
      </c>
      <c r="AS382" s="378" t="str">
        <f>_xll.BLUEMATRIX2("/servlet/excelData",M382,$B$1,$B382&amp;":"&amp;M$115&amp;":"&amp;$AI$114)</f>
        <v>#</v>
      </c>
      <c r="AT382" s="378" t="str">
        <f>_xll.BLUEMATRIX2("/servlet/excelData",N382,$B$1,$B382&amp;":"&amp;N$115&amp;":"&amp;$AI$114)</f>
        <v>#</v>
      </c>
      <c r="AU382" s="378" t="str">
        <f>_xll.BLUEMATRIX2("/servlet/excelData",O382,$B$1,$B382&amp;":"&amp;O$115&amp;":"&amp;$AI$114)</f>
        <v>#</v>
      </c>
      <c r="AV382" s="378" t="str">
        <f>_xll.BLUEMATRIX2("/servlet/excelData",P382,$B$1,$B382&amp;":"&amp;P$115&amp;":"&amp;$AI$114)</f>
        <v>#</v>
      </c>
      <c r="AW382" s="378" t="str">
        <f>_xll.BLUEMATRIX2("/servlet/excelData",Q382,$B$1,$B382&amp;":"&amp;Q$115&amp;":"&amp;$AI$114)</f>
        <v>#</v>
      </c>
    </row>
    <row r="383" spans="1:49" ht="12.95" customHeight="1">
      <c r="A383" s="348" t="s">
        <v>1134</v>
      </c>
      <c r="B383" s="350" t="s">
        <v>1135</v>
      </c>
      <c r="C383" s="322" t="s">
        <v>1136</v>
      </c>
      <c r="D383" s="420"/>
      <c r="E383" s="420"/>
      <c r="F383" s="420">
        <f t="shared" ref="F383:Q383" si="143">F205+F210</f>
        <v>0</v>
      </c>
      <c r="G383" s="420">
        <f t="shared" si="143"/>
        <v>0</v>
      </c>
      <c r="H383" s="420">
        <f t="shared" si="143"/>
        <v>0</v>
      </c>
      <c r="I383" s="420">
        <f t="shared" si="143"/>
        <v>529.37200000000007</v>
      </c>
      <c r="J383" s="420">
        <f t="shared" si="143"/>
        <v>571.48</v>
      </c>
      <c r="K383" s="420">
        <f t="shared" si="143"/>
        <v>609.49699999999996</v>
      </c>
      <c r="L383" s="420">
        <f t="shared" si="143"/>
        <v>666.48400000000004</v>
      </c>
      <c r="M383" s="420">
        <f t="shared" si="143"/>
        <v>565.10799999999995</v>
      </c>
      <c r="N383" s="420">
        <f t="shared" si="143"/>
        <v>280.108</v>
      </c>
      <c r="O383" s="420">
        <f t="shared" si="143"/>
        <v>280.108</v>
      </c>
      <c r="P383" s="420">
        <f t="shared" si="143"/>
        <v>280.108</v>
      </c>
      <c r="Q383" s="420">
        <f t="shared" si="143"/>
        <v>280.108</v>
      </c>
      <c r="R383" s="420"/>
      <c r="S383" s="420"/>
      <c r="T383" s="420">
        <f t="shared" ref="T383:AH383" si="144">T205+T210</f>
        <v>0</v>
      </c>
      <c r="U383" s="420">
        <f t="shared" si="144"/>
        <v>0</v>
      </c>
      <c r="V383" s="420">
        <f t="shared" si="144"/>
        <v>0</v>
      </c>
      <c r="W383" s="420">
        <f t="shared" si="144"/>
        <v>0</v>
      </c>
      <c r="X383" s="420">
        <f t="shared" si="144"/>
        <v>0</v>
      </c>
      <c r="Y383" s="420">
        <f t="shared" si="144"/>
        <v>0</v>
      </c>
      <c r="Z383" s="420">
        <f t="shared" si="144"/>
        <v>0</v>
      </c>
      <c r="AA383" s="420">
        <f t="shared" si="144"/>
        <v>0</v>
      </c>
      <c r="AB383" s="420">
        <f t="shared" si="144"/>
        <v>0</v>
      </c>
      <c r="AC383" s="420">
        <f t="shared" si="144"/>
        <v>0</v>
      </c>
      <c r="AD383" s="420">
        <f t="shared" si="144"/>
        <v>0</v>
      </c>
      <c r="AE383" s="420">
        <f t="shared" si="144"/>
        <v>0</v>
      </c>
      <c r="AF383" s="420">
        <f t="shared" si="144"/>
        <v>0</v>
      </c>
      <c r="AG383" s="420">
        <f t="shared" si="144"/>
        <v>0</v>
      </c>
      <c r="AH383" s="420">
        <f t="shared" si="144"/>
        <v>0</v>
      </c>
      <c r="AI383" s="322"/>
      <c r="AJ383" s="479"/>
      <c r="AK383" s="378" t="str">
        <f>_xll.BLUEMATRIX2("/servlet/excelData",E383,$B$1,$B383&amp;":"&amp;E$115&amp;":"&amp;$AI$114)</f>
        <v>#</v>
      </c>
      <c r="AL383" s="378" t="str">
        <f>_xll.BLUEMATRIX2("/servlet/excelData",F383,$B$1,$B383&amp;":"&amp;F$115&amp;":"&amp;$AI$114)</f>
        <v>#</v>
      </c>
      <c r="AM383" s="378" t="str">
        <f>_xll.BLUEMATRIX2("/servlet/excelData",G383,$B$1,$B383&amp;":"&amp;G$115&amp;":"&amp;$AI$114)</f>
        <v>#</v>
      </c>
      <c r="AN383" s="378" t="str">
        <f>_xll.BLUEMATRIX2("/servlet/excelData",H383,$B$1,$B383&amp;":"&amp;H$115&amp;":"&amp;$AI$114)</f>
        <v>#</v>
      </c>
      <c r="AO383" s="378" t="str">
        <f>_xll.BLUEMATRIX2("/servlet/excelData",I383,$B$1,$B383&amp;":"&amp;I$115&amp;":"&amp;$AI$114)</f>
        <v>#</v>
      </c>
      <c r="AP383" s="378" t="str">
        <f>_xll.BLUEMATRIX2("/servlet/excelData",J383,$B$1,$B383&amp;":"&amp;J$115&amp;":"&amp;$AI$114)</f>
        <v>#</v>
      </c>
      <c r="AQ383" s="378" t="str">
        <f>_xll.BLUEMATRIX2("/servlet/excelData",K383,$B$1,$B383&amp;":"&amp;K$115&amp;":"&amp;$AI$114)</f>
        <v>#</v>
      </c>
      <c r="AR383" s="378" t="str">
        <f>_xll.BLUEMATRIX2("/servlet/excelData",L383,$B$1,$B383&amp;":"&amp;L$115&amp;":"&amp;$AI$114)</f>
        <v>#</v>
      </c>
      <c r="AS383" s="378" t="str">
        <f>_xll.BLUEMATRIX2("/servlet/excelData",M383,$B$1,$B383&amp;":"&amp;M$115&amp;":"&amp;$AI$114)</f>
        <v>#</v>
      </c>
      <c r="AT383" s="378" t="str">
        <f>_xll.BLUEMATRIX2("/servlet/excelData",N383,$B$1,$B383&amp;":"&amp;N$115&amp;":"&amp;$AI$114)</f>
        <v>#</v>
      </c>
      <c r="AU383" s="378" t="str">
        <f>_xll.BLUEMATRIX2("/servlet/excelData",O383,$B$1,$B383&amp;":"&amp;O$115&amp;":"&amp;$AI$114)</f>
        <v>#</v>
      </c>
      <c r="AV383" s="378" t="str">
        <f>_xll.BLUEMATRIX2("/servlet/excelData",P383,$B$1,$B383&amp;":"&amp;P$115&amp;":"&amp;$AI$114)</f>
        <v>#</v>
      </c>
      <c r="AW383" s="378" t="str">
        <f>_xll.BLUEMATRIX2("/servlet/excelData",Q383,$B$1,$B383&amp;":"&amp;Q$115&amp;":"&amp;$AI$114)</f>
        <v>#</v>
      </c>
    </row>
    <row r="384" spans="1:49" ht="12.95" customHeight="1">
      <c r="A384" s="348" t="s">
        <v>1137</v>
      </c>
      <c r="B384" s="350" t="s">
        <v>1138</v>
      </c>
      <c r="C384" s="322" t="s">
        <v>1139</v>
      </c>
      <c r="D384" s="420"/>
      <c r="E384" s="420"/>
      <c r="F384" s="420">
        <f t="shared" ref="F384:Q384" si="145">F244+F246</f>
        <v>0</v>
      </c>
      <c r="G384" s="420">
        <f t="shared" si="145"/>
        <v>0</v>
      </c>
      <c r="H384" s="420">
        <f t="shared" si="145"/>
        <v>0</v>
      </c>
      <c r="I384" s="420">
        <f t="shared" si="145"/>
        <v>-13.471000000000029</v>
      </c>
      <c r="J384" s="420">
        <f t="shared" si="145"/>
        <v>-11.241000000000014</v>
      </c>
      <c r="K384" s="420">
        <f t="shared" si="145"/>
        <v>11.736000000000018</v>
      </c>
      <c r="L384" s="420">
        <f t="shared" si="145"/>
        <v>-116.35799999999995</v>
      </c>
      <c r="M384" s="420">
        <f t="shared" si="145"/>
        <v>-112.66799999999996</v>
      </c>
      <c r="N384" s="420">
        <f t="shared" si="145"/>
        <v>-47</v>
      </c>
      <c r="O384" s="420">
        <f t="shared" si="145"/>
        <v>-17</v>
      </c>
      <c r="P384" s="420">
        <f t="shared" si="145"/>
        <v>-7</v>
      </c>
      <c r="Q384" s="420">
        <f t="shared" si="145"/>
        <v>0</v>
      </c>
      <c r="R384" s="420"/>
      <c r="S384" s="420"/>
      <c r="T384" s="420">
        <f t="shared" ref="T384:AH384" si="146">T244+T246</f>
        <v>0</v>
      </c>
      <c r="U384" s="420">
        <f t="shared" si="146"/>
        <v>0</v>
      </c>
      <c r="V384" s="420">
        <f t="shared" si="146"/>
        <v>0</v>
      </c>
      <c r="W384" s="420">
        <f t="shared" si="146"/>
        <v>0</v>
      </c>
      <c r="X384" s="420">
        <f t="shared" si="146"/>
        <v>0</v>
      </c>
      <c r="Y384" s="420">
        <f t="shared" si="146"/>
        <v>0</v>
      </c>
      <c r="Z384" s="420">
        <f t="shared" si="146"/>
        <v>0</v>
      </c>
      <c r="AA384" s="420">
        <f t="shared" si="146"/>
        <v>0</v>
      </c>
      <c r="AB384" s="420">
        <f t="shared" si="146"/>
        <v>0</v>
      </c>
      <c r="AC384" s="420">
        <f t="shared" si="146"/>
        <v>0</v>
      </c>
      <c r="AD384" s="420">
        <f t="shared" si="146"/>
        <v>0</v>
      </c>
      <c r="AE384" s="420">
        <f t="shared" si="146"/>
        <v>0</v>
      </c>
      <c r="AF384" s="420">
        <f t="shared" si="146"/>
        <v>0</v>
      </c>
      <c r="AG384" s="420">
        <f t="shared" si="146"/>
        <v>0</v>
      </c>
      <c r="AH384" s="420">
        <f t="shared" si="146"/>
        <v>0</v>
      </c>
      <c r="AI384" s="322"/>
      <c r="AJ384" s="479"/>
      <c r="AK384" s="378" t="str">
        <f>_xll.BLUEMATRIX2("/servlet/excelData",E384,$B$1,$B384&amp;":"&amp;E$115&amp;":"&amp;$AI$114)</f>
        <v>#</v>
      </c>
      <c r="AL384" s="378" t="str">
        <f>_xll.BLUEMATRIX2("/servlet/excelData",F384,$B$1,$B384&amp;":"&amp;F$115&amp;":"&amp;$AI$114)</f>
        <v>#</v>
      </c>
      <c r="AM384" s="378" t="str">
        <f>_xll.BLUEMATRIX2("/servlet/excelData",G384,$B$1,$B384&amp;":"&amp;G$115&amp;":"&amp;$AI$114)</f>
        <v>#</v>
      </c>
      <c r="AN384" s="378" t="str">
        <f>_xll.BLUEMATRIX2("/servlet/excelData",H384,$B$1,$B384&amp;":"&amp;H$115&amp;":"&amp;$AI$114)</f>
        <v>#</v>
      </c>
      <c r="AO384" s="378" t="str">
        <f>_xll.BLUEMATRIX2("/servlet/excelData",I384,$B$1,$B384&amp;":"&amp;I$115&amp;":"&amp;$AI$114)</f>
        <v>#</v>
      </c>
      <c r="AP384" s="378" t="str">
        <f>_xll.BLUEMATRIX2("/servlet/excelData",J384,$B$1,$B384&amp;":"&amp;J$115&amp;":"&amp;$AI$114)</f>
        <v>#</v>
      </c>
      <c r="AQ384" s="378" t="str">
        <f>_xll.BLUEMATRIX2("/servlet/excelData",K384,$B$1,$B384&amp;":"&amp;K$115&amp;":"&amp;$AI$114)</f>
        <v>#</v>
      </c>
      <c r="AR384" s="378" t="str">
        <f>_xll.BLUEMATRIX2("/servlet/excelData",L384,$B$1,$B384&amp;":"&amp;L$115&amp;":"&amp;$AI$114)</f>
        <v>#</v>
      </c>
      <c r="AS384" s="378" t="str">
        <f>_xll.BLUEMATRIX2("/servlet/excelData",M384,$B$1,$B384&amp;":"&amp;M$115&amp;":"&amp;$AI$114)</f>
        <v>#</v>
      </c>
      <c r="AT384" s="378" t="str">
        <f>_xll.BLUEMATRIX2("/servlet/excelData",N384,$B$1,$B384&amp;":"&amp;N$115&amp;":"&amp;$AI$114)</f>
        <v>#</v>
      </c>
      <c r="AU384" s="378" t="str">
        <f>_xll.BLUEMATRIX2("/servlet/excelData",O384,$B$1,$B384&amp;":"&amp;O$115&amp;":"&amp;$AI$114)</f>
        <v>#</v>
      </c>
      <c r="AV384" s="378" t="str">
        <f>_xll.BLUEMATRIX2("/servlet/excelData",P384,$B$1,$B384&amp;":"&amp;P$115&amp;":"&amp;$AI$114)</f>
        <v>#</v>
      </c>
      <c r="AW384" s="378" t="str">
        <f>_xll.BLUEMATRIX2("/servlet/excelData",Q384,$B$1,$B384&amp;":"&amp;Q$115&amp;":"&amp;$AI$114)</f>
        <v>#</v>
      </c>
    </row>
    <row r="385" spans="1:49" ht="12.95" customHeight="1">
      <c r="A385" s="348" t="s">
        <v>1140</v>
      </c>
      <c r="B385" s="350" t="s">
        <v>1141</v>
      </c>
      <c r="C385" s="322" t="s">
        <v>1142</v>
      </c>
      <c r="D385" s="420"/>
      <c r="E385" s="420"/>
      <c r="F385" s="420">
        <f t="shared" ref="F385:Q385" si="147">F256+F258+F259+F260</f>
        <v>0</v>
      </c>
      <c r="G385" s="420">
        <f t="shared" si="147"/>
        <v>0</v>
      </c>
      <c r="H385" s="420">
        <f t="shared" si="147"/>
        <v>0</v>
      </c>
      <c r="I385" s="420">
        <f t="shared" si="147"/>
        <v>-8.1609999999999996</v>
      </c>
      <c r="J385" s="420">
        <f t="shared" si="147"/>
        <v>-0.30099999999999927</v>
      </c>
      <c r="K385" s="420">
        <f t="shared" si="147"/>
        <v>-7.0469999999999997</v>
      </c>
      <c r="L385" s="420">
        <f t="shared" si="147"/>
        <v>54.499000000000002</v>
      </c>
      <c r="M385" s="420">
        <f t="shared" si="147"/>
        <v>-10.66</v>
      </c>
      <c r="N385" s="420">
        <f t="shared" si="147"/>
        <v>275.64666</v>
      </c>
      <c r="O385" s="420">
        <f t="shared" si="147"/>
        <v>-8.5961222999999993</v>
      </c>
      <c r="P385" s="420">
        <f t="shared" si="147"/>
        <v>-8.9931188750000004</v>
      </c>
      <c r="Q385" s="420">
        <f t="shared" si="147"/>
        <v>-9.3582404444699989</v>
      </c>
      <c r="R385" s="420"/>
      <c r="S385" s="420"/>
      <c r="T385" s="420">
        <f t="shared" ref="T385:AH385" si="148">T256+T258+T259+T260</f>
        <v>0</v>
      </c>
      <c r="U385" s="420">
        <f t="shared" si="148"/>
        <v>0</v>
      </c>
      <c r="V385" s="420">
        <f t="shared" si="148"/>
        <v>0</v>
      </c>
      <c r="W385" s="420">
        <f t="shared" si="148"/>
        <v>0</v>
      </c>
      <c r="X385" s="420">
        <f t="shared" si="148"/>
        <v>0</v>
      </c>
      <c r="Y385" s="420">
        <f t="shared" si="148"/>
        <v>0</v>
      </c>
      <c r="Z385" s="420">
        <f t="shared" si="148"/>
        <v>0</v>
      </c>
      <c r="AA385" s="420">
        <f t="shared" si="148"/>
        <v>0</v>
      </c>
      <c r="AB385" s="420">
        <f t="shared" si="148"/>
        <v>0</v>
      </c>
      <c r="AC385" s="420">
        <f t="shared" si="148"/>
        <v>0</v>
      </c>
      <c r="AD385" s="420">
        <f t="shared" si="148"/>
        <v>0</v>
      </c>
      <c r="AE385" s="420">
        <f t="shared" si="148"/>
        <v>0</v>
      </c>
      <c r="AF385" s="420">
        <f t="shared" si="148"/>
        <v>0</v>
      </c>
      <c r="AG385" s="420">
        <f t="shared" si="148"/>
        <v>0</v>
      </c>
      <c r="AH385" s="420">
        <f t="shared" si="148"/>
        <v>0</v>
      </c>
      <c r="AI385" s="322"/>
      <c r="AJ385" s="479"/>
      <c r="AK385" s="378" t="str">
        <f>_xll.BLUEMATRIX2("/servlet/excelData",E385,$B$1,$B385&amp;":"&amp;E$115&amp;":"&amp;$AI$114)</f>
        <v>#</v>
      </c>
      <c r="AL385" s="378" t="str">
        <f>_xll.BLUEMATRIX2("/servlet/excelData",F385,$B$1,$B385&amp;":"&amp;F$115&amp;":"&amp;$AI$114)</f>
        <v>#</v>
      </c>
      <c r="AM385" s="378" t="str">
        <f>_xll.BLUEMATRIX2("/servlet/excelData",G385,$B$1,$B385&amp;":"&amp;G$115&amp;":"&amp;$AI$114)</f>
        <v>#</v>
      </c>
      <c r="AN385" s="378" t="str">
        <f>_xll.BLUEMATRIX2("/servlet/excelData",H385,$B$1,$B385&amp;":"&amp;H$115&amp;":"&amp;$AI$114)</f>
        <v>#</v>
      </c>
      <c r="AO385" s="378" t="str">
        <f>_xll.BLUEMATRIX2("/servlet/excelData",I385,$B$1,$B385&amp;":"&amp;I$115&amp;":"&amp;$AI$114)</f>
        <v>#</v>
      </c>
      <c r="AP385" s="378" t="str">
        <f>_xll.BLUEMATRIX2("/servlet/excelData",J385,$B$1,$B385&amp;":"&amp;J$115&amp;":"&amp;$AI$114)</f>
        <v>#</v>
      </c>
      <c r="AQ385" s="378" t="str">
        <f>_xll.BLUEMATRIX2("/servlet/excelData",K385,$B$1,$B385&amp;":"&amp;K$115&amp;":"&amp;$AI$114)</f>
        <v>#</v>
      </c>
      <c r="AR385" s="378" t="str">
        <f>_xll.BLUEMATRIX2("/servlet/excelData",L385,$B$1,$B385&amp;":"&amp;L$115&amp;":"&amp;$AI$114)</f>
        <v>#</v>
      </c>
      <c r="AS385" s="378" t="str">
        <f>_xll.BLUEMATRIX2("/servlet/excelData",M385,$B$1,$B385&amp;":"&amp;M$115&amp;":"&amp;$AI$114)</f>
        <v>#</v>
      </c>
      <c r="AT385" s="378" t="str">
        <f>_xll.BLUEMATRIX2("/servlet/excelData",N385,$B$1,$B385&amp;":"&amp;N$115&amp;":"&amp;$AI$114)</f>
        <v>#</v>
      </c>
      <c r="AU385" s="378" t="str">
        <f>_xll.BLUEMATRIX2("/servlet/excelData",O385,$B$1,$B385&amp;":"&amp;O$115&amp;":"&amp;$AI$114)</f>
        <v>#</v>
      </c>
      <c r="AV385" s="378" t="str">
        <f>_xll.BLUEMATRIX2("/servlet/excelData",P385,$B$1,$B385&amp;":"&amp;P$115&amp;":"&amp;$AI$114)</f>
        <v>#</v>
      </c>
      <c r="AW385" s="378" t="str">
        <f>_xll.BLUEMATRIX2("/servlet/excelData",Q385,$B$1,$B385&amp;":"&amp;Q$115&amp;":"&amp;$AI$114)</f>
        <v>#</v>
      </c>
    </row>
    <row r="386" spans="1:49" ht="12.95" customHeight="1">
      <c r="A386" s="348" t="s">
        <v>1143</v>
      </c>
      <c r="B386" s="350" t="s">
        <v>1144</v>
      </c>
      <c r="C386" s="322" t="s">
        <v>1145</v>
      </c>
      <c r="D386" s="420"/>
      <c r="E386" s="420"/>
      <c r="F386" s="420">
        <f t="shared" ref="F386:Q386" si="149">F268+F269</f>
        <v>0</v>
      </c>
      <c r="G386" s="420">
        <f t="shared" si="149"/>
        <v>0</v>
      </c>
      <c r="H386" s="420">
        <f t="shared" si="149"/>
        <v>0</v>
      </c>
      <c r="I386" s="420">
        <f t="shared" si="149"/>
        <v>42.676000000000045</v>
      </c>
      <c r="J386" s="420">
        <f t="shared" si="149"/>
        <v>40.886999999999944</v>
      </c>
      <c r="K386" s="420">
        <f t="shared" si="149"/>
        <v>39.563999999999965</v>
      </c>
      <c r="L386" s="420">
        <f t="shared" si="149"/>
        <v>47.54099999999994</v>
      </c>
      <c r="M386" s="420">
        <f t="shared" si="149"/>
        <v>-150.0140000000001</v>
      </c>
      <c r="N386" s="420">
        <f t="shared" si="149"/>
        <v>-285</v>
      </c>
      <c r="O386" s="420">
        <f t="shared" si="149"/>
        <v>0</v>
      </c>
      <c r="P386" s="420">
        <f t="shared" si="149"/>
        <v>0</v>
      </c>
      <c r="Q386" s="420">
        <f t="shared" si="149"/>
        <v>0</v>
      </c>
      <c r="R386" s="420"/>
      <c r="S386" s="420"/>
      <c r="T386" s="420">
        <f t="shared" ref="T386:AH386" si="150">T268+T269</f>
        <v>0</v>
      </c>
      <c r="U386" s="420">
        <f t="shared" si="150"/>
        <v>0</v>
      </c>
      <c r="V386" s="420">
        <f t="shared" si="150"/>
        <v>0</v>
      </c>
      <c r="W386" s="420">
        <f t="shared" si="150"/>
        <v>0</v>
      </c>
      <c r="X386" s="420">
        <f t="shared" si="150"/>
        <v>0</v>
      </c>
      <c r="Y386" s="420">
        <f t="shared" si="150"/>
        <v>0</v>
      </c>
      <c r="Z386" s="420">
        <f t="shared" si="150"/>
        <v>0</v>
      </c>
      <c r="AA386" s="420">
        <f t="shared" si="150"/>
        <v>0</v>
      </c>
      <c r="AB386" s="420">
        <f t="shared" si="150"/>
        <v>0</v>
      </c>
      <c r="AC386" s="420">
        <f t="shared" si="150"/>
        <v>0</v>
      </c>
      <c r="AD386" s="420">
        <f t="shared" si="150"/>
        <v>0</v>
      </c>
      <c r="AE386" s="420">
        <f t="shared" si="150"/>
        <v>0</v>
      </c>
      <c r="AF386" s="420">
        <f t="shared" si="150"/>
        <v>0</v>
      </c>
      <c r="AG386" s="420">
        <f t="shared" si="150"/>
        <v>0</v>
      </c>
      <c r="AH386" s="420">
        <f t="shared" si="150"/>
        <v>0</v>
      </c>
      <c r="AI386" s="322"/>
      <c r="AJ386" s="479"/>
      <c r="AK386" s="378" t="str">
        <f>_xll.BLUEMATRIX2("/servlet/excelData",E386,$B$1,$B386&amp;":"&amp;E$115&amp;":"&amp;$AI$114)</f>
        <v>#</v>
      </c>
      <c r="AL386" s="378" t="str">
        <f>_xll.BLUEMATRIX2("/servlet/excelData",F386,$B$1,$B386&amp;":"&amp;F$115&amp;":"&amp;$AI$114)</f>
        <v>#</v>
      </c>
      <c r="AM386" s="378" t="str">
        <f>_xll.BLUEMATRIX2("/servlet/excelData",G386,$B$1,$B386&amp;":"&amp;G$115&amp;":"&amp;$AI$114)</f>
        <v>#</v>
      </c>
      <c r="AN386" s="378" t="str">
        <f>_xll.BLUEMATRIX2("/servlet/excelData",H386,$B$1,$B386&amp;":"&amp;H$115&amp;":"&amp;$AI$114)</f>
        <v>#</v>
      </c>
      <c r="AO386" s="378" t="str">
        <f>_xll.BLUEMATRIX2("/servlet/excelData",I386,$B$1,$B386&amp;":"&amp;I$115&amp;":"&amp;$AI$114)</f>
        <v>#</v>
      </c>
      <c r="AP386" s="378" t="str">
        <f>_xll.BLUEMATRIX2("/servlet/excelData",J386,$B$1,$B386&amp;":"&amp;J$115&amp;":"&amp;$AI$114)</f>
        <v>#</v>
      </c>
      <c r="AQ386" s="378" t="str">
        <f>_xll.BLUEMATRIX2("/servlet/excelData",K386,$B$1,$B386&amp;":"&amp;K$115&amp;":"&amp;$AI$114)</f>
        <v>#</v>
      </c>
      <c r="AR386" s="378" t="str">
        <f>_xll.BLUEMATRIX2("/servlet/excelData",L386,$B$1,$B386&amp;":"&amp;L$115&amp;":"&amp;$AI$114)</f>
        <v>#</v>
      </c>
      <c r="AS386" s="378" t="str">
        <f>_xll.BLUEMATRIX2("/servlet/excelData",M386,$B$1,$B386&amp;":"&amp;M$115&amp;":"&amp;$AI$114)</f>
        <v>#</v>
      </c>
      <c r="AT386" s="378" t="str">
        <f>_xll.BLUEMATRIX2("/servlet/excelData",N386,$B$1,$B386&amp;":"&amp;N$115&amp;":"&amp;$AI$114)</f>
        <v>#</v>
      </c>
      <c r="AU386" s="378" t="str">
        <f>_xll.BLUEMATRIX2("/servlet/excelData",O386,$B$1,$B386&amp;":"&amp;O$115&amp;":"&amp;$AI$114)</f>
        <v>#</v>
      </c>
      <c r="AV386" s="378" t="str">
        <f>_xll.BLUEMATRIX2("/servlet/excelData",P386,$B$1,$B386&amp;":"&amp;P$115&amp;":"&amp;$AI$114)</f>
        <v>#</v>
      </c>
      <c r="AW386" s="378" t="str">
        <f>_xll.BLUEMATRIX2("/servlet/excelData",Q386,$B$1,$B386&amp;":"&amp;Q$115&amp;":"&amp;$AI$114)</f>
        <v>#</v>
      </c>
    </row>
    <row r="387" spans="1:49" ht="12.95" customHeight="1">
      <c r="A387" s="348" t="s">
        <v>1146</v>
      </c>
      <c r="B387" s="350" t="s">
        <v>1147</v>
      </c>
      <c r="C387" s="322" t="s">
        <v>110</v>
      </c>
      <c r="D387" s="420"/>
      <c r="E387" s="420"/>
      <c r="F387" s="420">
        <f t="shared" ref="F387:Q387" si="151">F261+F262+F271+F272</f>
        <v>0</v>
      </c>
      <c r="G387" s="420">
        <f t="shared" si="151"/>
        <v>0</v>
      </c>
      <c r="H387" s="420">
        <f t="shared" si="151"/>
        <v>0</v>
      </c>
      <c r="I387" s="420">
        <f t="shared" si="151"/>
        <v>24.367999999999952</v>
      </c>
      <c r="J387" s="420">
        <f t="shared" si="151"/>
        <v>169.74600000000004</v>
      </c>
      <c r="K387" s="420">
        <f t="shared" si="151"/>
        <v>-37.747999999999962</v>
      </c>
      <c r="L387" s="420">
        <f t="shared" si="151"/>
        <v>5.3500000000000618</v>
      </c>
      <c r="M387" s="420">
        <f t="shared" si="151"/>
        <v>-54.145999999999894</v>
      </c>
      <c r="N387" s="420">
        <f t="shared" si="151"/>
        <v>-26.72411404815125</v>
      </c>
      <c r="O387" s="420">
        <f t="shared" si="151"/>
        <v>-21.935186810000655</v>
      </c>
      <c r="P387" s="420">
        <f t="shared" si="151"/>
        <v>-19.650921251912443</v>
      </c>
      <c r="Q387" s="420">
        <f t="shared" si="151"/>
        <v>-16.707393769213969</v>
      </c>
      <c r="R387" s="420"/>
      <c r="S387" s="420"/>
      <c r="T387" s="420">
        <f t="shared" ref="T387:AH387" si="152">T261+T262+T271+T272</f>
        <v>0</v>
      </c>
      <c r="U387" s="420">
        <f t="shared" si="152"/>
        <v>0</v>
      </c>
      <c r="V387" s="420">
        <f t="shared" si="152"/>
        <v>0</v>
      </c>
      <c r="W387" s="420">
        <f t="shared" si="152"/>
        <v>0</v>
      </c>
      <c r="X387" s="420">
        <f t="shared" si="152"/>
        <v>0</v>
      </c>
      <c r="Y387" s="420">
        <f t="shared" si="152"/>
        <v>0</v>
      </c>
      <c r="Z387" s="420">
        <f t="shared" si="152"/>
        <v>0</v>
      </c>
      <c r="AA387" s="420">
        <f t="shared" si="152"/>
        <v>0</v>
      </c>
      <c r="AB387" s="420">
        <f t="shared" si="152"/>
        <v>0</v>
      </c>
      <c r="AC387" s="420">
        <f t="shared" si="152"/>
        <v>0</v>
      </c>
      <c r="AD387" s="420">
        <f t="shared" si="152"/>
        <v>0</v>
      </c>
      <c r="AE387" s="420">
        <f t="shared" si="152"/>
        <v>0</v>
      </c>
      <c r="AF387" s="420">
        <f t="shared" si="152"/>
        <v>0</v>
      </c>
      <c r="AG387" s="420">
        <f t="shared" si="152"/>
        <v>0</v>
      </c>
      <c r="AH387" s="420">
        <f t="shared" si="152"/>
        <v>0</v>
      </c>
      <c r="AI387" s="322"/>
      <c r="AJ387" s="479"/>
      <c r="AK387" s="378" t="str">
        <f>_xll.BLUEMATRIX2("/servlet/excelData",E387,$B$1,$B387&amp;":"&amp;E$115&amp;":"&amp;$AI$114)</f>
        <v>#</v>
      </c>
      <c r="AL387" s="378" t="str">
        <f>_xll.BLUEMATRIX2("/servlet/excelData",F387,$B$1,$B387&amp;":"&amp;F$115&amp;":"&amp;$AI$114)</f>
        <v>#</v>
      </c>
      <c r="AM387" s="378" t="str">
        <f>_xll.BLUEMATRIX2("/servlet/excelData",G387,$B$1,$B387&amp;":"&amp;G$115&amp;":"&amp;$AI$114)</f>
        <v>#</v>
      </c>
      <c r="AN387" s="378" t="str">
        <f>_xll.BLUEMATRIX2("/servlet/excelData",H387,$B$1,$B387&amp;":"&amp;H$115&amp;":"&amp;$AI$114)</f>
        <v>#</v>
      </c>
      <c r="AO387" s="378" t="str">
        <f>_xll.BLUEMATRIX2("/servlet/excelData",I387,$B$1,$B387&amp;":"&amp;I$115&amp;":"&amp;$AI$114)</f>
        <v>#</v>
      </c>
      <c r="AP387" s="378" t="str">
        <f>_xll.BLUEMATRIX2("/servlet/excelData",J387,$B$1,$B387&amp;":"&amp;J$115&amp;":"&amp;$AI$114)</f>
        <v>#</v>
      </c>
      <c r="AQ387" s="378" t="str">
        <f>_xll.BLUEMATRIX2("/servlet/excelData",K387,$B$1,$B387&amp;":"&amp;K$115&amp;":"&amp;$AI$114)</f>
        <v>#</v>
      </c>
      <c r="AR387" s="378" t="str">
        <f>_xll.BLUEMATRIX2("/servlet/excelData",L387,$B$1,$B387&amp;":"&amp;L$115&amp;":"&amp;$AI$114)</f>
        <v>#</v>
      </c>
      <c r="AS387" s="378" t="str">
        <f>_xll.BLUEMATRIX2("/servlet/excelData",M387,$B$1,$B387&amp;":"&amp;M$115&amp;":"&amp;$AI$114)</f>
        <v>#</v>
      </c>
      <c r="AT387" s="378" t="str">
        <f>_xll.BLUEMATRIX2("/servlet/excelData",N387,$B$1,$B387&amp;":"&amp;N$115&amp;":"&amp;$AI$114)</f>
        <v>#</v>
      </c>
      <c r="AU387" s="378" t="str">
        <f>_xll.BLUEMATRIX2("/servlet/excelData",O387,$B$1,$B387&amp;":"&amp;O$115&amp;":"&amp;$AI$114)</f>
        <v>#</v>
      </c>
      <c r="AV387" s="378" t="str">
        <f>_xll.BLUEMATRIX2("/servlet/excelData",P387,$B$1,$B387&amp;":"&amp;P$115&amp;":"&amp;$AI$114)</f>
        <v>#</v>
      </c>
      <c r="AW387" s="378" t="str">
        <f>_xll.BLUEMATRIX2("/servlet/excelData",Q387,$B$1,$B387&amp;":"&amp;Q$115&amp;":"&amp;$AI$114)</f>
        <v>#</v>
      </c>
    </row>
    <row r="388" spans="1:49" ht="12.95" customHeight="1">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c r="AA388" s="348"/>
      <c r="AB388" s="348"/>
      <c r="AC388" s="348"/>
      <c r="AD388" s="348"/>
      <c r="AE388" s="348"/>
      <c r="AF388" s="348"/>
      <c r="AG388" s="348"/>
      <c r="AH388" s="348"/>
      <c r="AI388" s="322"/>
      <c r="AJ388" s="472"/>
    </row>
    <row r="389" spans="1:49" ht="12.95" customHeight="1">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c r="AA389" s="348"/>
      <c r="AB389" s="348"/>
      <c r="AC389" s="348"/>
      <c r="AD389" s="348"/>
      <c r="AE389" s="348"/>
      <c r="AF389" s="348"/>
      <c r="AG389" s="348"/>
      <c r="AH389" s="348"/>
      <c r="AI389" s="322"/>
      <c r="AJ389" s="472"/>
    </row>
    <row r="390" spans="1:49" ht="12.95" customHeight="1">
      <c r="A390" s="322"/>
      <c r="B390" s="322"/>
      <c r="C390" s="322"/>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c r="Z390" s="322"/>
      <c r="AA390" s="322"/>
      <c r="AB390" s="322"/>
      <c r="AC390" s="322"/>
      <c r="AD390" s="322"/>
      <c r="AE390" s="322"/>
      <c r="AF390" s="322"/>
      <c r="AG390" s="322"/>
      <c r="AH390" s="322"/>
      <c r="AI390" s="322"/>
      <c r="AJ390" s="472"/>
    </row>
    <row r="391" spans="1:49" ht="12.95" customHeight="1">
      <c r="A391" s="374" t="s">
        <v>1148</v>
      </c>
      <c r="B391" s="374"/>
      <c r="C391" s="322"/>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c r="Z391" s="322"/>
      <c r="AA391" s="322"/>
      <c r="AB391" s="322"/>
      <c r="AC391" s="322"/>
      <c r="AD391" s="322"/>
      <c r="AE391" s="322"/>
      <c r="AF391" s="322"/>
      <c r="AG391" s="322"/>
      <c r="AH391" s="322"/>
      <c r="AI391" s="322"/>
      <c r="AJ391" s="472"/>
    </row>
    <row r="392" spans="1:49">
      <c r="A392" s="322"/>
      <c r="B392" s="322"/>
      <c r="C392" s="322"/>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c r="Z392" s="322"/>
      <c r="AA392" s="322"/>
      <c r="AB392" s="322"/>
      <c r="AC392" s="322"/>
      <c r="AD392" s="322"/>
      <c r="AE392" s="322"/>
      <c r="AF392" s="322"/>
      <c r="AG392" s="322"/>
      <c r="AH392" s="322"/>
      <c r="AI392" s="322"/>
      <c r="AJ392" s="472"/>
    </row>
  </sheetData>
  <dataValidations disablePrompts="1" count="8">
    <dataValidation type="list" allowBlank="1" showInputMessage="1" showErrorMessage="1" sqref="D109 D65658 D131194 D196730 D262266 D327802 D393338 D458874 D524410 D589946 D655482 D721018 D786554 D852090 D917626 D983162 JA109 JA65658 JA131194 JA196730 JA262266 JA327802 JA393338 JA458874 JA524410 JA589946 JA655482 JA721018 JA786554 JA852090 JA917626 JA983162 SW109 SW65658 SW131194 SW196730 SW262266 SW327802 SW393338 SW458874 SW524410 SW589946 SW655482 SW721018 SW786554 SW852090 SW917626 SW983162 ACS109 ACS65658 ACS131194 ACS196730 ACS262266 ACS327802 ACS393338 ACS458874 ACS524410 ACS589946 ACS655482 ACS721018 ACS786554 ACS852090 ACS917626 ACS983162 AMO109 AMO65658 AMO131194 AMO196730 AMO262266 AMO327802 AMO393338 AMO458874 AMO524410 AMO589946 AMO655482 AMO721018 AMO786554 AMO852090 AMO917626 AMO983162 AWK109 AWK65658 AWK131194 AWK196730 AWK262266 AWK327802 AWK393338 AWK458874 AWK524410 AWK589946 AWK655482 AWK721018 AWK786554 AWK852090 AWK917626 AWK983162 BGG109 BGG65658 BGG131194 BGG196730 BGG262266 BGG327802 BGG393338 BGG458874 BGG524410 BGG589946 BGG655482 BGG721018 BGG786554 BGG852090 BGG917626 BGG983162 BQC109 BQC65658 BQC131194 BQC196730 BQC262266 BQC327802 BQC393338 BQC458874 BQC524410 BQC589946 BQC655482 BQC721018 BQC786554 BQC852090 BQC917626 BQC983162 BZY109 BZY65658 BZY131194 BZY196730 BZY262266 BZY327802 BZY393338 BZY458874 BZY524410 BZY589946 BZY655482 BZY721018 BZY786554 BZY852090 BZY917626 BZY983162 CJU109 CJU65658 CJU131194 CJU196730 CJU262266 CJU327802 CJU393338 CJU458874 CJU524410 CJU589946 CJU655482 CJU721018 CJU786554 CJU852090 CJU917626 CJU983162 CTQ109 CTQ65658 CTQ131194 CTQ196730 CTQ262266 CTQ327802 CTQ393338 CTQ458874 CTQ524410 CTQ589946 CTQ655482 CTQ721018 CTQ786554 CTQ852090 CTQ917626 CTQ983162 DDM109 DDM65658 DDM131194 DDM196730 DDM262266 DDM327802 DDM393338 DDM458874 DDM524410 DDM589946 DDM655482 DDM721018 DDM786554 DDM852090 DDM917626 DDM983162 DNI109 DNI65658 DNI131194 DNI196730 DNI262266 DNI327802 DNI393338 DNI458874 DNI524410 DNI589946 DNI655482 DNI721018 DNI786554 DNI852090 DNI917626 DNI983162 DXE109 DXE65658 DXE131194 DXE196730 DXE262266 DXE327802 DXE393338 DXE458874 DXE524410 DXE589946 DXE655482 DXE721018 DXE786554 DXE852090 DXE917626 DXE983162 EHA109 EHA65658 EHA131194 EHA196730 EHA262266 EHA327802 EHA393338 EHA458874 EHA524410 EHA589946 EHA655482 EHA721018 EHA786554 EHA852090 EHA917626 EHA983162 EQW109 EQW65658 EQW131194 EQW196730 EQW262266 EQW327802 EQW393338 EQW458874 EQW524410 EQW589946 EQW655482 EQW721018 EQW786554 EQW852090 EQW917626 EQW983162 FAS109 FAS65658 FAS131194 FAS196730 FAS262266 FAS327802 FAS393338 FAS458874 FAS524410 FAS589946 FAS655482 FAS721018 FAS786554 FAS852090 FAS917626 FAS983162 FKO109 FKO65658 FKO131194 FKO196730 FKO262266 FKO327802 FKO393338 FKO458874 FKO524410 FKO589946 FKO655482 FKO721018 FKO786554 FKO852090 FKO917626 FKO983162 FUK109 FUK65658 FUK131194 FUK196730 FUK262266 FUK327802 FUK393338 FUK458874 FUK524410 FUK589946 FUK655482 FUK721018 FUK786554 FUK852090 FUK917626 FUK983162 GEG109 GEG65658 GEG131194 GEG196730 GEG262266 GEG327802 GEG393338 GEG458874 GEG524410 GEG589946 GEG655482 GEG721018 GEG786554 GEG852090 GEG917626 GEG983162 GOC109 GOC65658 GOC131194 GOC196730 GOC262266 GOC327802 GOC393338 GOC458874 GOC524410 GOC589946 GOC655482 GOC721018 GOC786554 GOC852090 GOC917626 GOC983162 GXY109 GXY65658 GXY131194 GXY196730 GXY262266 GXY327802 GXY393338 GXY458874 GXY524410 GXY589946 GXY655482 GXY721018 GXY786554 GXY852090 GXY917626 GXY983162 HHU109 HHU65658 HHU131194 HHU196730 HHU262266 HHU327802 HHU393338 HHU458874 HHU524410 HHU589946 HHU655482 HHU721018 HHU786554 HHU852090 HHU917626 HHU983162 HRQ109 HRQ65658 HRQ131194 HRQ196730 HRQ262266 HRQ327802 HRQ393338 HRQ458874 HRQ524410 HRQ589946 HRQ655482 HRQ721018 HRQ786554 HRQ852090 HRQ917626 HRQ983162 IBM109 IBM65658 IBM131194 IBM196730 IBM262266 IBM327802 IBM393338 IBM458874 IBM524410 IBM589946 IBM655482 IBM721018 IBM786554 IBM852090 IBM917626 IBM983162 ILI109 ILI65658 ILI131194 ILI196730 ILI262266 ILI327802 ILI393338 ILI458874 ILI524410 ILI589946 ILI655482 ILI721018 ILI786554 ILI852090 ILI917626 ILI983162 IVE109 IVE65658 IVE131194 IVE196730 IVE262266 IVE327802 IVE393338 IVE458874 IVE524410 IVE589946 IVE655482 IVE721018 IVE786554 IVE852090 IVE917626 IVE983162 JFA109 JFA65658 JFA131194 JFA196730 JFA262266 JFA327802 JFA393338 JFA458874 JFA524410 JFA589946 JFA655482 JFA721018 JFA786554 JFA852090 JFA917626 JFA983162 JOW109 JOW65658 JOW131194 JOW196730 JOW262266 JOW327802 JOW393338 JOW458874 JOW524410 JOW589946 JOW655482 JOW721018 JOW786554 JOW852090 JOW917626 JOW983162 JYS109 JYS65658 JYS131194 JYS196730 JYS262266 JYS327802 JYS393338 JYS458874 JYS524410 JYS589946 JYS655482 JYS721018 JYS786554 JYS852090 JYS917626 JYS983162 KIO109 KIO65658 KIO131194 KIO196730 KIO262266 KIO327802 KIO393338 KIO458874 KIO524410 KIO589946 KIO655482 KIO721018 KIO786554 KIO852090 KIO917626 KIO983162 KSK109 KSK65658 KSK131194 KSK196730 KSK262266 KSK327802 KSK393338 KSK458874 KSK524410 KSK589946 KSK655482 KSK721018 KSK786554 KSK852090 KSK917626 KSK983162 LCG109 LCG65658 LCG131194 LCG196730 LCG262266 LCG327802 LCG393338 LCG458874 LCG524410 LCG589946 LCG655482 LCG721018 LCG786554 LCG852090 LCG917626 LCG983162 LMC109 LMC65658 LMC131194 LMC196730 LMC262266 LMC327802 LMC393338 LMC458874 LMC524410 LMC589946 LMC655482 LMC721018 LMC786554 LMC852090 LMC917626 LMC983162 LVY109 LVY65658 LVY131194 LVY196730 LVY262266 LVY327802 LVY393338 LVY458874 LVY524410 LVY589946 LVY655482 LVY721018 LVY786554 LVY852090 LVY917626 LVY983162 MFU109 MFU65658 MFU131194 MFU196730 MFU262266 MFU327802 MFU393338 MFU458874 MFU524410 MFU589946 MFU655482 MFU721018 MFU786554 MFU852090 MFU917626 MFU983162 MPQ109 MPQ65658 MPQ131194 MPQ196730 MPQ262266 MPQ327802 MPQ393338 MPQ458874 MPQ524410 MPQ589946 MPQ655482 MPQ721018 MPQ786554 MPQ852090 MPQ917626 MPQ983162 MZM109 MZM65658 MZM131194 MZM196730 MZM262266 MZM327802 MZM393338 MZM458874 MZM524410 MZM589946 MZM655482 MZM721018 MZM786554 MZM852090 MZM917626 MZM983162 NJI109 NJI65658 NJI131194 NJI196730 NJI262266 NJI327802 NJI393338 NJI458874 NJI524410 NJI589946 NJI655482 NJI721018 NJI786554 NJI852090 NJI917626 NJI983162 NTE109 NTE65658 NTE131194 NTE196730 NTE262266 NTE327802 NTE393338 NTE458874 NTE524410 NTE589946 NTE655482 NTE721018 NTE786554 NTE852090 NTE917626 NTE983162 ODA109 ODA65658 ODA131194 ODA196730 ODA262266 ODA327802 ODA393338 ODA458874 ODA524410 ODA589946 ODA655482 ODA721018 ODA786554 ODA852090 ODA917626 ODA983162 OMW109 OMW65658 OMW131194 OMW196730 OMW262266 OMW327802 OMW393338 OMW458874 OMW524410 OMW589946 OMW655482 OMW721018 OMW786554 OMW852090 OMW917626 OMW983162 OWS109 OWS65658 OWS131194 OWS196730 OWS262266 OWS327802 OWS393338 OWS458874 OWS524410 OWS589946 OWS655482 OWS721018 OWS786554 OWS852090 OWS917626 OWS983162 PGO109 PGO65658 PGO131194 PGO196730 PGO262266 PGO327802 PGO393338 PGO458874 PGO524410 PGO589946 PGO655482 PGO721018 PGO786554 PGO852090 PGO917626 PGO983162 PQK109 PQK65658 PQK131194 PQK196730 PQK262266 PQK327802 PQK393338 PQK458874 PQK524410 PQK589946 PQK655482 PQK721018 PQK786554 PQK852090 PQK917626 PQK983162 QAG109 QAG65658 QAG131194 QAG196730 QAG262266 QAG327802 QAG393338 QAG458874 QAG524410 QAG589946 QAG655482 QAG721018 QAG786554 QAG852090 QAG917626 QAG983162 QKC109 QKC65658 QKC131194 QKC196730 QKC262266 QKC327802 QKC393338 QKC458874 QKC524410 QKC589946 QKC655482 QKC721018 QKC786554 QKC852090 QKC917626 QKC983162 QTY109 QTY65658 QTY131194 QTY196730 QTY262266 QTY327802 QTY393338 QTY458874 QTY524410 QTY589946 QTY655482 QTY721018 QTY786554 QTY852090 QTY917626 QTY983162 RDU109 RDU65658 RDU131194 RDU196730 RDU262266 RDU327802 RDU393338 RDU458874 RDU524410 RDU589946 RDU655482 RDU721018 RDU786554 RDU852090 RDU917626 RDU983162 RNQ109 RNQ65658 RNQ131194 RNQ196730 RNQ262266 RNQ327802 RNQ393338 RNQ458874 RNQ524410 RNQ589946 RNQ655482 RNQ721018 RNQ786554 RNQ852090 RNQ917626 RNQ983162 RXM109 RXM65658 RXM131194 RXM196730 RXM262266 RXM327802 RXM393338 RXM458874 RXM524410 RXM589946 RXM655482 RXM721018 RXM786554 RXM852090 RXM917626 RXM983162 SHI109 SHI65658 SHI131194 SHI196730 SHI262266 SHI327802 SHI393338 SHI458874 SHI524410 SHI589946 SHI655482 SHI721018 SHI786554 SHI852090 SHI917626 SHI983162 SRE109 SRE65658 SRE131194 SRE196730 SRE262266 SRE327802 SRE393338 SRE458874 SRE524410 SRE589946 SRE655482 SRE721018 SRE786554 SRE852090 SRE917626 SRE983162 TBA109 TBA65658 TBA131194 TBA196730 TBA262266 TBA327802 TBA393338 TBA458874 TBA524410 TBA589946 TBA655482 TBA721018 TBA786554 TBA852090 TBA917626 TBA983162 TKW109 TKW65658 TKW131194 TKW196730 TKW262266 TKW327802 TKW393338 TKW458874 TKW524410 TKW589946 TKW655482 TKW721018 TKW786554 TKW852090 TKW917626 TKW983162 TUS109 TUS65658 TUS131194 TUS196730 TUS262266 TUS327802 TUS393338 TUS458874 TUS524410 TUS589946 TUS655482 TUS721018 TUS786554 TUS852090 TUS917626 TUS983162 UEO109 UEO65658 UEO131194 UEO196730 UEO262266 UEO327802 UEO393338 UEO458874 UEO524410 UEO589946 UEO655482 UEO721018 UEO786554 UEO852090 UEO917626 UEO983162 UOK109 UOK65658 UOK131194 UOK196730 UOK262266 UOK327802 UOK393338 UOK458874 UOK524410 UOK589946 UOK655482 UOK721018 UOK786554 UOK852090 UOK917626 UOK983162 UYG109 UYG65658 UYG131194 UYG196730 UYG262266 UYG327802 UYG393338 UYG458874 UYG524410 UYG589946 UYG655482 UYG721018 UYG786554 UYG852090 UYG917626 UYG983162 VIC109 VIC65658 VIC131194 VIC196730 VIC262266 VIC327802 VIC393338 VIC458874 VIC524410 VIC589946 VIC655482 VIC721018 VIC786554 VIC852090 VIC917626 VIC983162 VRY109 VRY65658 VRY131194 VRY196730 VRY262266 VRY327802 VRY393338 VRY458874 VRY524410 VRY589946 VRY655482 VRY721018 VRY786554 VRY852090 VRY917626 VRY983162 WBU109 WBU65658 WBU131194 WBU196730 WBU262266 WBU327802 WBU393338 WBU458874 WBU524410 WBU589946 WBU655482 WBU721018 WBU786554 WBU852090 WBU917626 WBU983162 WLQ109 WLQ65658 WLQ131194 WLQ196730 WLQ262266 WLQ327802 WLQ393338 WLQ458874 WLQ524410 WLQ589946 WLQ655482 WLQ721018 WLQ786554 WLQ852090 WLQ917626 WLQ983162 WVM109 WVM65658 WVM131194 WVM196730 WVM262266 WVM327802 WVM393338 WVM458874 WVM524410 WVM589946 WVM655482 WVM721018 WVM786554 WVM852090 WVM917626 WVM983162" xr:uid="{00000000-0002-0000-0000-000000000000}">
      <formula1>"AS44,AS45,AS51"</formula1>
    </dataValidation>
    <dataValidation type="list" allowBlank="1" showInputMessage="1" showErrorMessage="1" sqref="D91:D100 D65640:D65649 D131176:D131185 D196712:D196721 D262248:D262257 D327784:D327793 D393320:D393329 D458856:D458865 D524392:D524401 D589928:D589937 D655464:D655473 D721000:D721009 D786536:D786545 D852072:D852081 D917608:D917617 D983144:D983153 JA91:JA100 JA65640:JA65649 JA131176:JA131185 JA196712:JA196721 JA262248:JA262257 JA327784:JA327793 JA393320:JA393329 JA458856:JA458865 JA524392:JA524401 JA589928:JA589937 JA655464:JA655473 JA721000:JA721009 JA786536:JA786545 JA852072:JA852081 JA917608:JA917617 JA983144:JA983153 SW91:SW100 SW65640:SW65649 SW131176:SW131185 SW196712:SW196721 SW262248:SW262257 SW327784:SW327793 SW393320:SW393329 SW458856:SW458865 SW524392:SW524401 SW589928:SW589937 SW655464:SW655473 SW721000:SW721009 SW786536:SW786545 SW852072:SW852081 SW917608:SW917617 SW983144:SW983153 ACS91:ACS100 ACS65640:ACS65649 ACS131176:ACS131185 ACS196712:ACS196721 ACS262248:ACS262257 ACS327784:ACS327793 ACS393320:ACS393329 ACS458856:ACS458865 ACS524392:ACS524401 ACS589928:ACS589937 ACS655464:ACS655473 ACS721000:ACS721009 ACS786536:ACS786545 ACS852072:ACS852081 ACS917608:ACS917617 ACS983144:ACS983153 AMO91:AMO100 AMO65640:AMO65649 AMO131176:AMO131185 AMO196712:AMO196721 AMO262248:AMO262257 AMO327784:AMO327793 AMO393320:AMO393329 AMO458856:AMO458865 AMO524392:AMO524401 AMO589928:AMO589937 AMO655464:AMO655473 AMO721000:AMO721009 AMO786536:AMO786545 AMO852072:AMO852081 AMO917608:AMO917617 AMO983144:AMO983153 AWK91:AWK100 AWK65640:AWK65649 AWK131176:AWK131185 AWK196712:AWK196721 AWK262248:AWK262257 AWK327784:AWK327793 AWK393320:AWK393329 AWK458856:AWK458865 AWK524392:AWK524401 AWK589928:AWK589937 AWK655464:AWK655473 AWK721000:AWK721009 AWK786536:AWK786545 AWK852072:AWK852081 AWK917608:AWK917617 AWK983144:AWK983153 BGG91:BGG100 BGG65640:BGG65649 BGG131176:BGG131185 BGG196712:BGG196721 BGG262248:BGG262257 BGG327784:BGG327793 BGG393320:BGG393329 BGG458856:BGG458865 BGG524392:BGG524401 BGG589928:BGG589937 BGG655464:BGG655473 BGG721000:BGG721009 BGG786536:BGG786545 BGG852072:BGG852081 BGG917608:BGG917617 BGG983144:BGG983153 BQC91:BQC100 BQC65640:BQC65649 BQC131176:BQC131185 BQC196712:BQC196721 BQC262248:BQC262257 BQC327784:BQC327793 BQC393320:BQC393329 BQC458856:BQC458865 BQC524392:BQC524401 BQC589928:BQC589937 BQC655464:BQC655473 BQC721000:BQC721009 BQC786536:BQC786545 BQC852072:BQC852081 BQC917608:BQC917617 BQC983144:BQC983153 BZY91:BZY100 BZY65640:BZY65649 BZY131176:BZY131185 BZY196712:BZY196721 BZY262248:BZY262257 BZY327784:BZY327793 BZY393320:BZY393329 BZY458856:BZY458865 BZY524392:BZY524401 BZY589928:BZY589937 BZY655464:BZY655473 BZY721000:BZY721009 BZY786536:BZY786545 BZY852072:BZY852081 BZY917608:BZY917617 BZY983144:BZY983153 CJU91:CJU100 CJU65640:CJU65649 CJU131176:CJU131185 CJU196712:CJU196721 CJU262248:CJU262257 CJU327784:CJU327793 CJU393320:CJU393329 CJU458856:CJU458865 CJU524392:CJU524401 CJU589928:CJU589937 CJU655464:CJU655473 CJU721000:CJU721009 CJU786536:CJU786545 CJU852072:CJU852081 CJU917608:CJU917617 CJU983144:CJU983153 CTQ91:CTQ100 CTQ65640:CTQ65649 CTQ131176:CTQ131185 CTQ196712:CTQ196721 CTQ262248:CTQ262257 CTQ327784:CTQ327793 CTQ393320:CTQ393329 CTQ458856:CTQ458865 CTQ524392:CTQ524401 CTQ589928:CTQ589937 CTQ655464:CTQ655473 CTQ721000:CTQ721009 CTQ786536:CTQ786545 CTQ852072:CTQ852081 CTQ917608:CTQ917617 CTQ983144:CTQ983153 DDM91:DDM100 DDM65640:DDM65649 DDM131176:DDM131185 DDM196712:DDM196721 DDM262248:DDM262257 DDM327784:DDM327793 DDM393320:DDM393329 DDM458856:DDM458865 DDM524392:DDM524401 DDM589928:DDM589937 DDM655464:DDM655473 DDM721000:DDM721009 DDM786536:DDM786545 DDM852072:DDM852081 DDM917608:DDM917617 DDM983144:DDM983153 DNI91:DNI100 DNI65640:DNI65649 DNI131176:DNI131185 DNI196712:DNI196721 DNI262248:DNI262257 DNI327784:DNI327793 DNI393320:DNI393329 DNI458856:DNI458865 DNI524392:DNI524401 DNI589928:DNI589937 DNI655464:DNI655473 DNI721000:DNI721009 DNI786536:DNI786545 DNI852072:DNI852081 DNI917608:DNI917617 DNI983144:DNI983153 DXE91:DXE100 DXE65640:DXE65649 DXE131176:DXE131185 DXE196712:DXE196721 DXE262248:DXE262257 DXE327784:DXE327793 DXE393320:DXE393329 DXE458856:DXE458865 DXE524392:DXE524401 DXE589928:DXE589937 DXE655464:DXE655473 DXE721000:DXE721009 DXE786536:DXE786545 DXE852072:DXE852081 DXE917608:DXE917617 DXE983144:DXE983153 EHA91:EHA100 EHA65640:EHA65649 EHA131176:EHA131185 EHA196712:EHA196721 EHA262248:EHA262257 EHA327784:EHA327793 EHA393320:EHA393329 EHA458856:EHA458865 EHA524392:EHA524401 EHA589928:EHA589937 EHA655464:EHA655473 EHA721000:EHA721009 EHA786536:EHA786545 EHA852072:EHA852081 EHA917608:EHA917617 EHA983144:EHA983153 EQW91:EQW100 EQW65640:EQW65649 EQW131176:EQW131185 EQW196712:EQW196721 EQW262248:EQW262257 EQW327784:EQW327793 EQW393320:EQW393329 EQW458856:EQW458865 EQW524392:EQW524401 EQW589928:EQW589937 EQW655464:EQW655473 EQW721000:EQW721009 EQW786536:EQW786545 EQW852072:EQW852081 EQW917608:EQW917617 EQW983144:EQW983153 FAS91:FAS100 FAS65640:FAS65649 FAS131176:FAS131185 FAS196712:FAS196721 FAS262248:FAS262257 FAS327784:FAS327793 FAS393320:FAS393329 FAS458856:FAS458865 FAS524392:FAS524401 FAS589928:FAS589937 FAS655464:FAS655473 FAS721000:FAS721009 FAS786536:FAS786545 FAS852072:FAS852081 FAS917608:FAS917617 FAS983144:FAS983153 FKO91:FKO100 FKO65640:FKO65649 FKO131176:FKO131185 FKO196712:FKO196721 FKO262248:FKO262257 FKO327784:FKO327793 FKO393320:FKO393329 FKO458856:FKO458865 FKO524392:FKO524401 FKO589928:FKO589937 FKO655464:FKO655473 FKO721000:FKO721009 FKO786536:FKO786545 FKO852072:FKO852081 FKO917608:FKO917617 FKO983144:FKO983153 FUK91:FUK100 FUK65640:FUK65649 FUK131176:FUK131185 FUK196712:FUK196721 FUK262248:FUK262257 FUK327784:FUK327793 FUK393320:FUK393329 FUK458856:FUK458865 FUK524392:FUK524401 FUK589928:FUK589937 FUK655464:FUK655473 FUK721000:FUK721009 FUK786536:FUK786545 FUK852072:FUK852081 FUK917608:FUK917617 FUK983144:FUK983153 GEG91:GEG100 GEG65640:GEG65649 GEG131176:GEG131185 GEG196712:GEG196721 GEG262248:GEG262257 GEG327784:GEG327793 GEG393320:GEG393329 GEG458856:GEG458865 GEG524392:GEG524401 GEG589928:GEG589937 GEG655464:GEG655473 GEG721000:GEG721009 GEG786536:GEG786545 GEG852072:GEG852081 GEG917608:GEG917617 GEG983144:GEG983153 GOC91:GOC100 GOC65640:GOC65649 GOC131176:GOC131185 GOC196712:GOC196721 GOC262248:GOC262257 GOC327784:GOC327793 GOC393320:GOC393329 GOC458856:GOC458865 GOC524392:GOC524401 GOC589928:GOC589937 GOC655464:GOC655473 GOC721000:GOC721009 GOC786536:GOC786545 GOC852072:GOC852081 GOC917608:GOC917617 GOC983144:GOC983153 GXY91:GXY100 GXY65640:GXY65649 GXY131176:GXY131185 GXY196712:GXY196721 GXY262248:GXY262257 GXY327784:GXY327793 GXY393320:GXY393329 GXY458856:GXY458865 GXY524392:GXY524401 GXY589928:GXY589937 GXY655464:GXY655473 GXY721000:GXY721009 GXY786536:GXY786545 GXY852072:GXY852081 GXY917608:GXY917617 GXY983144:GXY983153 HHU91:HHU100 HHU65640:HHU65649 HHU131176:HHU131185 HHU196712:HHU196721 HHU262248:HHU262257 HHU327784:HHU327793 HHU393320:HHU393329 HHU458856:HHU458865 HHU524392:HHU524401 HHU589928:HHU589937 HHU655464:HHU655473 HHU721000:HHU721009 HHU786536:HHU786545 HHU852072:HHU852081 HHU917608:HHU917617 HHU983144:HHU983153 HRQ91:HRQ100 HRQ65640:HRQ65649 HRQ131176:HRQ131185 HRQ196712:HRQ196721 HRQ262248:HRQ262257 HRQ327784:HRQ327793 HRQ393320:HRQ393329 HRQ458856:HRQ458865 HRQ524392:HRQ524401 HRQ589928:HRQ589937 HRQ655464:HRQ655473 HRQ721000:HRQ721009 HRQ786536:HRQ786545 HRQ852072:HRQ852081 HRQ917608:HRQ917617 HRQ983144:HRQ983153 IBM91:IBM100 IBM65640:IBM65649 IBM131176:IBM131185 IBM196712:IBM196721 IBM262248:IBM262257 IBM327784:IBM327793 IBM393320:IBM393329 IBM458856:IBM458865 IBM524392:IBM524401 IBM589928:IBM589937 IBM655464:IBM655473 IBM721000:IBM721009 IBM786536:IBM786545 IBM852072:IBM852081 IBM917608:IBM917617 IBM983144:IBM983153 ILI91:ILI100 ILI65640:ILI65649 ILI131176:ILI131185 ILI196712:ILI196721 ILI262248:ILI262257 ILI327784:ILI327793 ILI393320:ILI393329 ILI458856:ILI458865 ILI524392:ILI524401 ILI589928:ILI589937 ILI655464:ILI655473 ILI721000:ILI721009 ILI786536:ILI786545 ILI852072:ILI852081 ILI917608:ILI917617 ILI983144:ILI983153 IVE91:IVE100 IVE65640:IVE65649 IVE131176:IVE131185 IVE196712:IVE196721 IVE262248:IVE262257 IVE327784:IVE327793 IVE393320:IVE393329 IVE458856:IVE458865 IVE524392:IVE524401 IVE589928:IVE589937 IVE655464:IVE655473 IVE721000:IVE721009 IVE786536:IVE786545 IVE852072:IVE852081 IVE917608:IVE917617 IVE983144:IVE983153 JFA91:JFA100 JFA65640:JFA65649 JFA131176:JFA131185 JFA196712:JFA196721 JFA262248:JFA262257 JFA327784:JFA327793 JFA393320:JFA393329 JFA458856:JFA458865 JFA524392:JFA524401 JFA589928:JFA589937 JFA655464:JFA655473 JFA721000:JFA721009 JFA786536:JFA786545 JFA852072:JFA852081 JFA917608:JFA917617 JFA983144:JFA983153 JOW91:JOW100 JOW65640:JOW65649 JOW131176:JOW131185 JOW196712:JOW196721 JOW262248:JOW262257 JOW327784:JOW327793 JOW393320:JOW393329 JOW458856:JOW458865 JOW524392:JOW524401 JOW589928:JOW589937 JOW655464:JOW655473 JOW721000:JOW721009 JOW786536:JOW786545 JOW852072:JOW852081 JOW917608:JOW917617 JOW983144:JOW983153 JYS91:JYS100 JYS65640:JYS65649 JYS131176:JYS131185 JYS196712:JYS196721 JYS262248:JYS262257 JYS327784:JYS327793 JYS393320:JYS393329 JYS458856:JYS458865 JYS524392:JYS524401 JYS589928:JYS589937 JYS655464:JYS655473 JYS721000:JYS721009 JYS786536:JYS786545 JYS852072:JYS852081 JYS917608:JYS917617 JYS983144:JYS983153 KIO91:KIO100 KIO65640:KIO65649 KIO131176:KIO131185 KIO196712:KIO196721 KIO262248:KIO262257 KIO327784:KIO327793 KIO393320:KIO393329 KIO458856:KIO458865 KIO524392:KIO524401 KIO589928:KIO589937 KIO655464:KIO655473 KIO721000:KIO721009 KIO786536:KIO786545 KIO852072:KIO852081 KIO917608:KIO917617 KIO983144:KIO983153 KSK91:KSK100 KSK65640:KSK65649 KSK131176:KSK131185 KSK196712:KSK196721 KSK262248:KSK262257 KSK327784:KSK327793 KSK393320:KSK393329 KSK458856:KSK458865 KSK524392:KSK524401 KSK589928:KSK589937 KSK655464:KSK655473 KSK721000:KSK721009 KSK786536:KSK786545 KSK852072:KSK852081 KSK917608:KSK917617 KSK983144:KSK983153 LCG91:LCG100 LCG65640:LCG65649 LCG131176:LCG131185 LCG196712:LCG196721 LCG262248:LCG262257 LCG327784:LCG327793 LCG393320:LCG393329 LCG458856:LCG458865 LCG524392:LCG524401 LCG589928:LCG589937 LCG655464:LCG655473 LCG721000:LCG721009 LCG786536:LCG786545 LCG852072:LCG852081 LCG917608:LCG917617 LCG983144:LCG983153 LMC91:LMC100 LMC65640:LMC65649 LMC131176:LMC131185 LMC196712:LMC196721 LMC262248:LMC262257 LMC327784:LMC327793 LMC393320:LMC393329 LMC458856:LMC458865 LMC524392:LMC524401 LMC589928:LMC589937 LMC655464:LMC655473 LMC721000:LMC721009 LMC786536:LMC786545 LMC852072:LMC852081 LMC917608:LMC917617 LMC983144:LMC983153 LVY91:LVY100 LVY65640:LVY65649 LVY131176:LVY131185 LVY196712:LVY196721 LVY262248:LVY262257 LVY327784:LVY327793 LVY393320:LVY393329 LVY458856:LVY458865 LVY524392:LVY524401 LVY589928:LVY589937 LVY655464:LVY655473 LVY721000:LVY721009 LVY786536:LVY786545 LVY852072:LVY852081 LVY917608:LVY917617 LVY983144:LVY983153 MFU91:MFU100 MFU65640:MFU65649 MFU131176:MFU131185 MFU196712:MFU196721 MFU262248:MFU262257 MFU327784:MFU327793 MFU393320:MFU393329 MFU458856:MFU458865 MFU524392:MFU524401 MFU589928:MFU589937 MFU655464:MFU655473 MFU721000:MFU721009 MFU786536:MFU786545 MFU852072:MFU852081 MFU917608:MFU917617 MFU983144:MFU983153 MPQ91:MPQ100 MPQ65640:MPQ65649 MPQ131176:MPQ131185 MPQ196712:MPQ196721 MPQ262248:MPQ262257 MPQ327784:MPQ327793 MPQ393320:MPQ393329 MPQ458856:MPQ458865 MPQ524392:MPQ524401 MPQ589928:MPQ589937 MPQ655464:MPQ655473 MPQ721000:MPQ721009 MPQ786536:MPQ786545 MPQ852072:MPQ852081 MPQ917608:MPQ917617 MPQ983144:MPQ983153 MZM91:MZM100 MZM65640:MZM65649 MZM131176:MZM131185 MZM196712:MZM196721 MZM262248:MZM262257 MZM327784:MZM327793 MZM393320:MZM393329 MZM458856:MZM458865 MZM524392:MZM524401 MZM589928:MZM589937 MZM655464:MZM655473 MZM721000:MZM721009 MZM786536:MZM786545 MZM852072:MZM852081 MZM917608:MZM917617 MZM983144:MZM983153 NJI91:NJI100 NJI65640:NJI65649 NJI131176:NJI131185 NJI196712:NJI196721 NJI262248:NJI262257 NJI327784:NJI327793 NJI393320:NJI393329 NJI458856:NJI458865 NJI524392:NJI524401 NJI589928:NJI589937 NJI655464:NJI655473 NJI721000:NJI721009 NJI786536:NJI786545 NJI852072:NJI852081 NJI917608:NJI917617 NJI983144:NJI983153 NTE91:NTE100 NTE65640:NTE65649 NTE131176:NTE131185 NTE196712:NTE196721 NTE262248:NTE262257 NTE327784:NTE327793 NTE393320:NTE393329 NTE458856:NTE458865 NTE524392:NTE524401 NTE589928:NTE589937 NTE655464:NTE655473 NTE721000:NTE721009 NTE786536:NTE786545 NTE852072:NTE852081 NTE917608:NTE917617 NTE983144:NTE983153 ODA91:ODA100 ODA65640:ODA65649 ODA131176:ODA131185 ODA196712:ODA196721 ODA262248:ODA262257 ODA327784:ODA327793 ODA393320:ODA393329 ODA458856:ODA458865 ODA524392:ODA524401 ODA589928:ODA589937 ODA655464:ODA655473 ODA721000:ODA721009 ODA786536:ODA786545 ODA852072:ODA852081 ODA917608:ODA917617 ODA983144:ODA983153 OMW91:OMW100 OMW65640:OMW65649 OMW131176:OMW131185 OMW196712:OMW196721 OMW262248:OMW262257 OMW327784:OMW327793 OMW393320:OMW393329 OMW458856:OMW458865 OMW524392:OMW524401 OMW589928:OMW589937 OMW655464:OMW655473 OMW721000:OMW721009 OMW786536:OMW786545 OMW852072:OMW852081 OMW917608:OMW917617 OMW983144:OMW983153 OWS91:OWS100 OWS65640:OWS65649 OWS131176:OWS131185 OWS196712:OWS196721 OWS262248:OWS262257 OWS327784:OWS327793 OWS393320:OWS393329 OWS458856:OWS458865 OWS524392:OWS524401 OWS589928:OWS589937 OWS655464:OWS655473 OWS721000:OWS721009 OWS786536:OWS786545 OWS852072:OWS852081 OWS917608:OWS917617 OWS983144:OWS983153 PGO91:PGO100 PGO65640:PGO65649 PGO131176:PGO131185 PGO196712:PGO196721 PGO262248:PGO262257 PGO327784:PGO327793 PGO393320:PGO393329 PGO458856:PGO458865 PGO524392:PGO524401 PGO589928:PGO589937 PGO655464:PGO655473 PGO721000:PGO721009 PGO786536:PGO786545 PGO852072:PGO852081 PGO917608:PGO917617 PGO983144:PGO983153 PQK91:PQK100 PQK65640:PQK65649 PQK131176:PQK131185 PQK196712:PQK196721 PQK262248:PQK262257 PQK327784:PQK327793 PQK393320:PQK393329 PQK458856:PQK458865 PQK524392:PQK524401 PQK589928:PQK589937 PQK655464:PQK655473 PQK721000:PQK721009 PQK786536:PQK786545 PQK852072:PQK852081 PQK917608:PQK917617 PQK983144:PQK983153 QAG91:QAG100 QAG65640:QAG65649 QAG131176:QAG131185 QAG196712:QAG196721 QAG262248:QAG262257 QAG327784:QAG327793 QAG393320:QAG393329 QAG458856:QAG458865 QAG524392:QAG524401 QAG589928:QAG589937 QAG655464:QAG655473 QAG721000:QAG721009 QAG786536:QAG786545 QAG852072:QAG852081 QAG917608:QAG917617 QAG983144:QAG983153 QKC91:QKC100 QKC65640:QKC65649 QKC131176:QKC131185 QKC196712:QKC196721 QKC262248:QKC262257 QKC327784:QKC327793 QKC393320:QKC393329 QKC458856:QKC458865 QKC524392:QKC524401 QKC589928:QKC589937 QKC655464:QKC655473 QKC721000:QKC721009 QKC786536:QKC786545 QKC852072:QKC852081 QKC917608:QKC917617 QKC983144:QKC983153 QTY91:QTY100 QTY65640:QTY65649 QTY131176:QTY131185 QTY196712:QTY196721 QTY262248:QTY262257 QTY327784:QTY327793 QTY393320:QTY393329 QTY458856:QTY458865 QTY524392:QTY524401 QTY589928:QTY589937 QTY655464:QTY655473 QTY721000:QTY721009 QTY786536:QTY786545 QTY852072:QTY852081 QTY917608:QTY917617 QTY983144:QTY983153 RDU91:RDU100 RDU65640:RDU65649 RDU131176:RDU131185 RDU196712:RDU196721 RDU262248:RDU262257 RDU327784:RDU327793 RDU393320:RDU393329 RDU458856:RDU458865 RDU524392:RDU524401 RDU589928:RDU589937 RDU655464:RDU655473 RDU721000:RDU721009 RDU786536:RDU786545 RDU852072:RDU852081 RDU917608:RDU917617 RDU983144:RDU983153 RNQ91:RNQ100 RNQ65640:RNQ65649 RNQ131176:RNQ131185 RNQ196712:RNQ196721 RNQ262248:RNQ262257 RNQ327784:RNQ327793 RNQ393320:RNQ393329 RNQ458856:RNQ458865 RNQ524392:RNQ524401 RNQ589928:RNQ589937 RNQ655464:RNQ655473 RNQ721000:RNQ721009 RNQ786536:RNQ786545 RNQ852072:RNQ852081 RNQ917608:RNQ917617 RNQ983144:RNQ983153 RXM91:RXM100 RXM65640:RXM65649 RXM131176:RXM131185 RXM196712:RXM196721 RXM262248:RXM262257 RXM327784:RXM327793 RXM393320:RXM393329 RXM458856:RXM458865 RXM524392:RXM524401 RXM589928:RXM589937 RXM655464:RXM655473 RXM721000:RXM721009 RXM786536:RXM786545 RXM852072:RXM852081 RXM917608:RXM917617 RXM983144:RXM983153 SHI91:SHI100 SHI65640:SHI65649 SHI131176:SHI131185 SHI196712:SHI196721 SHI262248:SHI262257 SHI327784:SHI327793 SHI393320:SHI393329 SHI458856:SHI458865 SHI524392:SHI524401 SHI589928:SHI589937 SHI655464:SHI655473 SHI721000:SHI721009 SHI786536:SHI786545 SHI852072:SHI852081 SHI917608:SHI917617 SHI983144:SHI983153 SRE91:SRE100 SRE65640:SRE65649 SRE131176:SRE131185 SRE196712:SRE196721 SRE262248:SRE262257 SRE327784:SRE327793 SRE393320:SRE393329 SRE458856:SRE458865 SRE524392:SRE524401 SRE589928:SRE589937 SRE655464:SRE655473 SRE721000:SRE721009 SRE786536:SRE786545 SRE852072:SRE852081 SRE917608:SRE917617 SRE983144:SRE983153 TBA91:TBA100 TBA65640:TBA65649 TBA131176:TBA131185 TBA196712:TBA196721 TBA262248:TBA262257 TBA327784:TBA327793 TBA393320:TBA393329 TBA458856:TBA458865 TBA524392:TBA524401 TBA589928:TBA589937 TBA655464:TBA655473 TBA721000:TBA721009 TBA786536:TBA786545 TBA852072:TBA852081 TBA917608:TBA917617 TBA983144:TBA983153 TKW91:TKW100 TKW65640:TKW65649 TKW131176:TKW131185 TKW196712:TKW196721 TKW262248:TKW262257 TKW327784:TKW327793 TKW393320:TKW393329 TKW458856:TKW458865 TKW524392:TKW524401 TKW589928:TKW589937 TKW655464:TKW655473 TKW721000:TKW721009 TKW786536:TKW786545 TKW852072:TKW852081 TKW917608:TKW917617 TKW983144:TKW983153 TUS91:TUS100 TUS65640:TUS65649 TUS131176:TUS131185 TUS196712:TUS196721 TUS262248:TUS262257 TUS327784:TUS327793 TUS393320:TUS393329 TUS458856:TUS458865 TUS524392:TUS524401 TUS589928:TUS589937 TUS655464:TUS655473 TUS721000:TUS721009 TUS786536:TUS786545 TUS852072:TUS852081 TUS917608:TUS917617 TUS983144:TUS983153 UEO91:UEO100 UEO65640:UEO65649 UEO131176:UEO131185 UEO196712:UEO196721 UEO262248:UEO262257 UEO327784:UEO327793 UEO393320:UEO393329 UEO458856:UEO458865 UEO524392:UEO524401 UEO589928:UEO589937 UEO655464:UEO655473 UEO721000:UEO721009 UEO786536:UEO786545 UEO852072:UEO852081 UEO917608:UEO917617 UEO983144:UEO983153 UOK91:UOK100 UOK65640:UOK65649 UOK131176:UOK131185 UOK196712:UOK196721 UOK262248:UOK262257 UOK327784:UOK327793 UOK393320:UOK393329 UOK458856:UOK458865 UOK524392:UOK524401 UOK589928:UOK589937 UOK655464:UOK655473 UOK721000:UOK721009 UOK786536:UOK786545 UOK852072:UOK852081 UOK917608:UOK917617 UOK983144:UOK983153 UYG91:UYG100 UYG65640:UYG65649 UYG131176:UYG131185 UYG196712:UYG196721 UYG262248:UYG262257 UYG327784:UYG327793 UYG393320:UYG393329 UYG458856:UYG458865 UYG524392:UYG524401 UYG589928:UYG589937 UYG655464:UYG655473 UYG721000:UYG721009 UYG786536:UYG786545 UYG852072:UYG852081 UYG917608:UYG917617 UYG983144:UYG983153 VIC91:VIC100 VIC65640:VIC65649 VIC131176:VIC131185 VIC196712:VIC196721 VIC262248:VIC262257 VIC327784:VIC327793 VIC393320:VIC393329 VIC458856:VIC458865 VIC524392:VIC524401 VIC589928:VIC589937 VIC655464:VIC655473 VIC721000:VIC721009 VIC786536:VIC786545 VIC852072:VIC852081 VIC917608:VIC917617 VIC983144:VIC983153 VRY91:VRY100 VRY65640:VRY65649 VRY131176:VRY131185 VRY196712:VRY196721 VRY262248:VRY262257 VRY327784:VRY327793 VRY393320:VRY393329 VRY458856:VRY458865 VRY524392:VRY524401 VRY589928:VRY589937 VRY655464:VRY655473 VRY721000:VRY721009 VRY786536:VRY786545 VRY852072:VRY852081 VRY917608:VRY917617 VRY983144:VRY983153 WBU91:WBU100 WBU65640:WBU65649 WBU131176:WBU131185 WBU196712:WBU196721 WBU262248:WBU262257 WBU327784:WBU327793 WBU393320:WBU393329 WBU458856:WBU458865 WBU524392:WBU524401 WBU589928:WBU589937 WBU655464:WBU655473 WBU721000:WBU721009 WBU786536:WBU786545 WBU852072:WBU852081 WBU917608:WBU917617 WBU983144:WBU983153 WLQ91:WLQ100 WLQ65640:WLQ65649 WLQ131176:WLQ131185 WLQ196712:WLQ196721 WLQ262248:WLQ262257 WLQ327784:WLQ327793 WLQ393320:WLQ393329 WLQ458856:WLQ458865 WLQ524392:WLQ524401 WLQ589928:WLQ589937 WLQ655464:WLQ655473 WLQ721000:WLQ721009 WLQ786536:WLQ786545 WLQ852072:WLQ852081 WLQ917608:WLQ917617 WLQ983144:WLQ983153 WVM91:WVM100 WVM65640:WVM65649 WVM131176:WVM131185 WVM196712:WVM196721 WVM262248:WVM262257 WVM327784:WVM327793 WVM393320:WVM393329 WVM458856:WVM458865 WVM524392:WVM524401 WVM589928:WVM589937 WVM655464:WVM655473 WVM721000:WVM721009 WVM786536:WVM786545 WVM852072:WVM852081 WVM917608:WVM917617 WVM983144:WVM983153" xr:uid="{00000000-0002-0000-0000-000001000000}">
      <formula1>"000s,m,US$m,$m,US$/t,$/t,%,US$/bbl,US$/mmbtu,$/GJ,A$/US$,USc/lb,US$/oz"</formula1>
    </dataValidation>
    <dataValidation type="list" allowBlank="1" showInputMessage="1" showErrorMessage="1" sqref="D10 D65567 D131103 D196639 D262175 D327711 D393247 D458783 D524319 D589855 D655391 D720927 D786463 D851999 D917535 D983071 JA10 JA65567 JA131103 JA196639 JA262175 JA327711 JA393247 JA458783 JA524319 JA589855 JA655391 JA720927 JA786463 JA851999 JA917535 JA983071 SW10 SW65567 SW131103 SW196639 SW262175 SW327711 SW393247 SW458783 SW524319 SW589855 SW655391 SW720927 SW786463 SW851999 SW917535 SW983071 ACS10 ACS65567 ACS131103 ACS196639 ACS262175 ACS327711 ACS393247 ACS458783 ACS524319 ACS589855 ACS655391 ACS720927 ACS786463 ACS851999 ACS917535 ACS983071 AMO10 AMO65567 AMO131103 AMO196639 AMO262175 AMO327711 AMO393247 AMO458783 AMO524319 AMO589855 AMO655391 AMO720927 AMO786463 AMO851999 AMO917535 AMO983071 AWK10 AWK65567 AWK131103 AWK196639 AWK262175 AWK327711 AWK393247 AWK458783 AWK524319 AWK589855 AWK655391 AWK720927 AWK786463 AWK851999 AWK917535 AWK983071 BGG10 BGG65567 BGG131103 BGG196639 BGG262175 BGG327711 BGG393247 BGG458783 BGG524319 BGG589855 BGG655391 BGG720927 BGG786463 BGG851999 BGG917535 BGG983071 BQC10 BQC65567 BQC131103 BQC196639 BQC262175 BQC327711 BQC393247 BQC458783 BQC524319 BQC589855 BQC655391 BQC720927 BQC786463 BQC851999 BQC917535 BQC983071 BZY10 BZY65567 BZY131103 BZY196639 BZY262175 BZY327711 BZY393247 BZY458783 BZY524319 BZY589855 BZY655391 BZY720927 BZY786463 BZY851999 BZY917535 BZY983071 CJU10 CJU65567 CJU131103 CJU196639 CJU262175 CJU327711 CJU393247 CJU458783 CJU524319 CJU589855 CJU655391 CJU720927 CJU786463 CJU851999 CJU917535 CJU983071 CTQ10 CTQ65567 CTQ131103 CTQ196639 CTQ262175 CTQ327711 CTQ393247 CTQ458783 CTQ524319 CTQ589855 CTQ655391 CTQ720927 CTQ786463 CTQ851999 CTQ917535 CTQ983071 DDM10 DDM65567 DDM131103 DDM196639 DDM262175 DDM327711 DDM393247 DDM458783 DDM524319 DDM589855 DDM655391 DDM720927 DDM786463 DDM851999 DDM917535 DDM983071 DNI10 DNI65567 DNI131103 DNI196639 DNI262175 DNI327711 DNI393247 DNI458783 DNI524319 DNI589855 DNI655391 DNI720927 DNI786463 DNI851999 DNI917535 DNI983071 DXE10 DXE65567 DXE131103 DXE196639 DXE262175 DXE327711 DXE393247 DXE458783 DXE524319 DXE589855 DXE655391 DXE720927 DXE786463 DXE851999 DXE917535 DXE983071 EHA10 EHA65567 EHA131103 EHA196639 EHA262175 EHA327711 EHA393247 EHA458783 EHA524319 EHA589855 EHA655391 EHA720927 EHA786463 EHA851999 EHA917535 EHA983071 EQW10 EQW65567 EQW131103 EQW196639 EQW262175 EQW327711 EQW393247 EQW458783 EQW524319 EQW589855 EQW655391 EQW720927 EQW786463 EQW851999 EQW917535 EQW983071 FAS10 FAS65567 FAS131103 FAS196639 FAS262175 FAS327711 FAS393247 FAS458783 FAS524319 FAS589855 FAS655391 FAS720927 FAS786463 FAS851999 FAS917535 FAS983071 FKO10 FKO65567 FKO131103 FKO196639 FKO262175 FKO327711 FKO393247 FKO458783 FKO524319 FKO589855 FKO655391 FKO720927 FKO786463 FKO851999 FKO917535 FKO983071 FUK10 FUK65567 FUK131103 FUK196639 FUK262175 FUK327711 FUK393247 FUK458783 FUK524319 FUK589855 FUK655391 FUK720927 FUK786463 FUK851999 FUK917535 FUK983071 GEG10 GEG65567 GEG131103 GEG196639 GEG262175 GEG327711 GEG393247 GEG458783 GEG524319 GEG589855 GEG655391 GEG720927 GEG786463 GEG851999 GEG917535 GEG983071 GOC10 GOC65567 GOC131103 GOC196639 GOC262175 GOC327711 GOC393247 GOC458783 GOC524319 GOC589855 GOC655391 GOC720927 GOC786463 GOC851999 GOC917535 GOC983071 GXY10 GXY65567 GXY131103 GXY196639 GXY262175 GXY327711 GXY393247 GXY458783 GXY524319 GXY589855 GXY655391 GXY720927 GXY786463 GXY851999 GXY917535 GXY983071 HHU10 HHU65567 HHU131103 HHU196639 HHU262175 HHU327711 HHU393247 HHU458783 HHU524319 HHU589855 HHU655391 HHU720927 HHU786463 HHU851999 HHU917535 HHU983071 HRQ10 HRQ65567 HRQ131103 HRQ196639 HRQ262175 HRQ327711 HRQ393247 HRQ458783 HRQ524319 HRQ589855 HRQ655391 HRQ720927 HRQ786463 HRQ851999 HRQ917535 HRQ983071 IBM10 IBM65567 IBM131103 IBM196639 IBM262175 IBM327711 IBM393247 IBM458783 IBM524319 IBM589855 IBM655391 IBM720927 IBM786463 IBM851999 IBM917535 IBM983071 ILI10 ILI65567 ILI131103 ILI196639 ILI262175 ILI327711 ILI393247 ILI458783 ILI524319 ILI589855 ILI655391 ILI720927 ILI786463 ILI851999 ILI917535 ILI983071 IVE10 IVE65567 IVE131103 IVE196639 IVE262175 IVE327711 IVE393247 IVE458783 IVE524319 IVE589855 IVE655391 IVE720927 IVE786463 IVE851999 IVE917535 IVE983071 JFA10 JFA65567 JFA131103 JFA196639 JFA262175 JFA327711 JFA393247 JFA458783 JFA524319 JFA589855 JFA655391 JFA720927 JFA786463 JFA851999 JFA917535 JFA983071 JOW10 JOW65567 JOW131103 JOW196639 JOW262175 JOW327711 JOW393247 JOW458783 JOW524319 JOW589855 JOW655391 JOW720927 JOW786463 JOW851999 JOW917535 JOW983071 JYS10 JYS65567 JYS131103 JYS196639 JYS262175 JYS327711 JYS393247 JYS458783 JYS524319 JYS589855 JYS655391 JYS720927 JYS786463 JYS851999 JYS917535 JYS983071 KIO10 KIO65567 KIO131103 KIO196639 KIO262175 KIO327711 KIO393247 KIO458783 KIO524319 KIO589855 KIO655391 KIO720927 KIO786463 KIO851999 KIO917535 KIO983071 KSK10 KSK65567 KSK131103 KSK196639 KSK262175 KSK327711 KSK393247 KSK458783 KSK524319 KSK589855 KSK655391 KSK720927 KSK786463 KSK851999 KSK917535 KSK983071 LCG10 LCG65567 LCG131103 LCG196639 LCG262175 LCG327711 LCG393247 LCG458783 LCG524319 LCG589855 LCG655391 LCG720927 LCG786463 LCG851999 LCG917535 LCG983071 LMC10 LMC65567 LMC131103 LMC196639 LMC262175 LMC327711 LMC393247 LMC458783 LMC524319 LMC589855 LMC655391 LMC720927 LMC786463 LMC851999 LMC917535 LMC983071 LVY10 LVY65567 LVY131103 LVY196639 LVY262175 LVY327711 LVY393247 LVY458783 LVY524319 LVY589855 LVY655391 LVY720927 LVY786463 LVY851999 LVY917535 LVY983071 MFU10 MFU65567 MFU131103 MFU196639 MFU262175 MFU327711 MFU393247 MFU458783 MFU524319 MFU589855 MFU655391 MFU720927 MFU786463 MFU851999 MFU917535 MFU983071 MPQ10 MPQ65567 MPQ131103 MPQ196639 MPQ262175 MPQ327711 MPQ393247 MPQ458783 MPQ524319 MPQ589855 MPQ655391 MPQ720927 MPQ786463 MPQ851999 MPQ917535 MPQ983071 MZM10 MZM65567 MZM131103 MZM196639 MZM262175 MZM327711 MZM393247 MZM458783 MZM524319 MZM589855 MZM655391 MZM720927 MZM786463 MZM851999 MZM917535 MZM983071 NJI10 NJI65567 NJI131103 NJI196639 NJI262175 NJI327711 NJI393247 NJI458783 NJI524319 NJI589855 NJI655391 NJI720927 NJI786463 NJI851999 NJI917535 NJI983071 NTE10 NTE65567 NTE131103 NTE196639 NTE262175 NTE327711 NTE393247 NTE458783 NTE524319 NTE589855 NTE655391 NTE720927 NTE786463 NTE851999 NTE917535 NTE983071 ODA10 ODA65567 ODA131103 ODA196639 ODA262175 ODA327711 ODA393247 ODA458783 ODA524319 ODA589855 ODA655391 ODA720927 ODA786463 ODA851999 ODA917535 ODA983071 OMW10 OMW65567 OMW131103 OMW196639 OMW262175 OMW327711 OMW393247 OMW458783 OMW524319 OMW589855 OMW655391 OMW720927 OMW786463 OMW851999 OMW917535 OMW983071 OWS10 OWS65567 OWS131103 OWS196639 OWS262175 OWS327711 OWS393247 OWS458783 OWS524319 OWS589855 OWS655391 OWS720927 OWS786463 OWS851999 OWS917535 OWS983071 PGO10 PGO65567 PGO131103 PGO196639 PGO262175 PGO327711 PGO393247 PGO458783 PGO524319 PGO589855 PGO655391 PGO720927 PGO786463 PGO851999 PGO917535 PGO983071 PQK10 PQK65567 PQK131103 PQK196639 PQK262175 PQK327711 PQK393247 PQK458783 PQK524319 PQK589855 PQK655391 PQK720927 PQK786463 PQK851999 PQK917535 PQK983071 QAG10 QAG65567 QAG131103 QAG196639 QAG262175 QAG327711 QAG393247 QAG458783 QAG524319 QAG589855 QAG655391 QAG720927 QAG786463 QAG851999 QAG917535 QAG983071 QKC10 QKC65567 QKC131103 QKC196639 QKC262175 QKC327711 QKC393247 QKC458783 QKC524319 QKC589855 QKC655391 QKC720927 QKC786463 QKC851999 QKC917535 QKC983071 QTY10 QTY65567 QTY131103 QTY196639 QTY262175 QTY327711 QTY393247 QTY458783 QTY524319 QTY589855 QTY655391 QTY720927 QTY786463 QTY851999 QTY917535 QTY983071 RDU10 RDU65567 RDU131103 RDU196639 RDU262175 RDU327711 RDU393247 RDU458783 RDU524319 RDU589855 RDU655391 RDU720927 RDU786463 RDU851999 RDU917535 RDU983071 RNQ10 RNQ65567 RNQ131103 RNQ196639 RNQ262175 RNQ327711 RNQ393247 RNQ458783 RNQ524319 RNQ589855 RNQ655391 RNQ720927 RNQ786463 RNQ851999 RNQ917535 RNQ983071 RXM10 RXM65567 RXM131103 RXM196639 RXM262175 RXM327711 RXM393247 RXM458783 RXM524319 RXM589855 RXM655391 RXM720927 RXM786463 RXM851999 RXM917535 RXM983071 SHI10 SHI65567 SHI131103 SHI196639 SHI262175 SHI327711 SHI393247 SHI458783 SHI524319 SHI589855 SHI655391 SHI720927 SHI786463 SHI851999 SHI917535 SHI983071 SRE10 SRE65567 SRE131103 SRE196639 SRE262175 SRE327711 SRE393247 SRE458783 SRE524319 SRE589855 SRE655391 SRE720927 SRE786463 SRE851999 SRE917535 SRE983071 TBA10 TBA65567 TBA131103 TBA196639 TBA262175 TBA327711 TBA393247 TBA458783 TBA524319 TBA589855 TBA655391 TBA720927 TBA786463 TBA851999 TBA917535 TBA983071 TKW10 TKW65567 TKW131103 TKW196639 TKW262175 TKW327711 TKW393247 TKW458783 TKW524319 TKW589855 TKW655391 TKW720927 TKW786463 TKW851999 TKW917535 TKW983071 TUS10 TUS65567 TUS131103 TUS196639 TUS262175 TUS327711 TUS393247 TUS458783 TUS524319 TUS589855 TUS655391 TUS720927 TUS786463 TUS851999 TUS917535 TUS983071 UEO10 UEO65567 UEO131103 UEO196639 UEO262175 UEO327711 UEO393247 UEO458783 UEO524319 UEO589855 UEO655391 UEO720927 UEO786463 UEO851999 UEO917535 UEO983071 UOK10 UOK65567 UOK131103 UOK196639 UOK262175 UOK327711 UOK393247 UOK458783 UOK524319 UOK589855 UOK655391 UOK720927 UOK786463 UOK851999 UOK917535 UOK983071 UYG10 UYG65567 UYG131103 UYG196639 UYG262175 UYG327711 UYG393247 UYG458783 UYG524319 UYG589855 UYG655391 UYG720927 UYG786463 UYG851999 UYG917535 UYG983071 VIC10 VIC65567 VIC131103 VIC196639 VIC262175 VIC327711 VIC393247 VIC458783 VIC524319 VIC589855 VIC655391 VIC720927 VIC786463 VIC851999 VIC917535 VIC983071 VRY10 VRY65567 VRY131103 VRY196639 VRY262175 VRY327711 VRY393247 VRY458783 VRY524319 VRY589855 VRY655391 VRY720927 VRY786463 VRY851999 VRY917535 VRY983071 WBU10 WBU65567 WBU131103 WBU196639 WBU262175 WBU327711 WBU393247 WBU458783 WBU524319 WBU589855 WBU655391 WBU720927 WBU786463 WBU851999 WBU917535 WBU983071 WLQ10 WLQ65567 WLQ131103 WLQ196639 WLQ262175 WLQ327711 WLQ393247 WLQ458783 WLQ524319 WLQ589855 WLQ655391 WLQ720927 WLQ786463 WLQ851999 WLQ917535 WLQ983071 WVM10 WVM65567 WVM131103 WVM196639 WVM262175 WVM327711 WVM393247 WVM458783 WVM524319 WVM589855 WVM655391 WVM720927 WVM786463 WVM851999 WVM917535 WVM983071" xr:uid="{00000000-0002-0000-0000-000002000000}">
      <formula1>"$,C$,Euro,GBP,NZD,US$"</formula1>
    </dataValidation>
    <dataValidation type="list" allowBlank="1" showInputMessage="1" showErrorMessage="1" sqref="D9 D65566 D131102 D196638 D262174 D327710 D393246 D458782 D524318 D589854 D655390 D720926 D786462 D851998 D917534 D983070 JA9 JA65566 JA131102 JA196638 JA262174 JA327710 JA393246 JA458782 JA524318 JA589854 JA655390 JA720926 JA786462 JA851998 JA917534 JA983070 SW9 SW65566 SW131102 SW196638 SW262174 SW327710 SW393246 SW458782 SW524318 SW589854 SW655390 SW720926 SW786462 SW851998 SW917534 SW983070 ACS9 ACS65566 ACS131102 ACS196638 ACS262174 ACS327710 ACS393246 ACS458782 ACS524318 ACS589854 ACS655390 ACS720926 ACS786462 ACS851998 ACS917534 ACS983070 AMO9 AMO65566 AMO131102 AMO196638 AMO262174 AMO327710 AMO393246 AMO458782 AMO524318 AMO589854 AMO655390 AMO720926 AMO786462 AMO851998 AMO917534 AMO983070 AWK9 AWK65566 AWK131102 AWK196638 AWK262174 AWK327710 AWK393246 AWK458782 AWK524318 AWK589854 AWK655390 AWK720926 AWK786462 AWK851998 AWK917534 AWK983070 BGG9 BGG65566 BGG131102 BGG196638 BGG262174 BGG327710 BGG393246 BGG458782 BGG524318 BGG589854 BGG655390 BGG720926 BGG786462 BGG851998 BGG917534 BGG983070 BQC9 BQC65566 BQC131102 BQC196638 BQC262174 BQC327710 BQC393246 BQC458782 BQC524318 BQC589854 BQC655390 BQC720926 BQC786462 BQC851998 BQC917534 BQC983070 BZY9 BZY65566 BZY131102 BZY196638 BZY262174 BZY327710 BZY393246 BZY458782 BZY524318 BZY589854 BZY655390 BZY720926 BZY786462 BZY851998 BZY917534 BZY983070 CJU9 CJU65566 CJU131102 CJU196638 CJU262174 CJU327710 CJU393246 CJU458782 CJU524318 CJU589854 CJU655390 CJU720926 CJU786462 CJU851998 CJU917534 CJU983070 CTQ9 CTQ65566 CTQ131102 CTQ196638 CTQ262174 CTQ327710 CTQ393246 CTQ458782 CTQ524318 CTQ589854 CTQ655390 CTQ720926 CTQ786462 CTQ851998 CTQ917534 CTQ983070 DDM9 DDM65566 DDM131102 DDM196638 DDM262174 DDM327710 DDM393246 DDM458782 DDM524318 DDM589854 DDM655390 DDM720926 DDM786462 DDM851998 DDM917534 DDM983070 DNI9 DNI65566 DNI131102 DNI196638 DNI262174 DNI327710 DNI393246 DNI458782 DNI524318 DNI589854 DNI655390 DNI720926 DNI786462 DNI851998 DNI917534 DNI983070 DXE9 DXE65566 DXE131102 DXE196638 DXE262174 DXE327710 DXE393246 DXE458782 DXE524318 DXE589854 DXE655390 DXE720926 DXE786462 DXE851998 DXE917534 DXE983070 EHA9 EHA65566 EHA131102 EHA196638 EHA262174 EHA327710 EHA393246 EHA458782 EHA524318 EHA589854 EHA655390 EHA720926 EHA786462 EHA851998 EHA917534 EHA983070 EQW9 EQW65566 EQW131102 EQW196638 EQW262174 EQW327710 EQW393246 EQW458782 EQW524318 EQW589854 EQW655390 EQW720926 EQW786462 EQW851998 EQW917534 EQW983070 FAS9 FAS65566 FAS131102 FAS196638 FAS262174 FAS327710 FAS393246 FAS458782 FAS524318 FAS589854 FAS655390 FAS720926 FAS786462 FAS851998 FAS917534 FAS983070 FKO9 FKO65566 FKO131102 FKO196638 FKO262174 FKO327710 FKO393246 FKO458782 FKO524318 FKO589854 FKO655390 FKO720926 FKO786462 FKO851998 FKO917534 FKO983070 FUK9 FUK65566 FUK131102 FUK196638 FUK262174 FUK327710 FUK393246 FUK458782 FUK524318 FUK589854 FUK655390 FUK720926 FUK786462 FUK851998 FUK917534 FUK983070 GEG9 GEG65566 GEG131102 GEG196638 GEG262174 GEG327710 GEG393246 GEG458782 GEG524318 GEG589854 GEG655390 GEG720926 GEG786462 GEG851998 GEG917534 GEG983070 GOC9 GOC65566 GOC131102 GOC196638 GOC262174 GOC327710 GOC393246 GOC458782 GOC524318 GOC589854 GOC655390 GOC720926 GOC786462 GOC851998 GOC917534 GOC983070 GXY9 GXY65566 GXY131102 GXY196638 GXY262174 GXY327710 GXY393246 GXY458782 GXY524318 GXY589854 GXY655390 GXY720926 GXY786462 GXY851998 GXY917534 GXY983070 HHU9 HHU65566 HHU131102 HHU196638 HHU262174 HHU327710 HHU393246 HHU458782 HHU524318 HHU589854 HHU655390 HHU720926 HHU786462 HHU851998 HHU917534 HHU983070 HRQ9 HRQ65566 HRQ131102 HRQ196638 HRQ262174 HRQ327710 HRQ393246 HRQ458782 HRQ524318 HRQ589854 HRQ655390 HRQ720926 HRQ786462 HRQ851998 HRQ917534 HRQ983070 IBM9 IBM65566 IBM131102 IBM196638 IBM262174 IBM327710 IBM393246 IBM458782 IBM524318 IBM589854 IBM655390 IBM720926 IBM786462 IBM851998 IBM917534 IBM983070 ILI9 ILI65566 ILI131102 ILI196638 ILI262174 ILI327710 ILI393246 ILI458782 ILI524318 ILI589854 ILI655390 ILI720926 ILI786462 ILI851998 ILI917534 ILI983070 IVE9 IVE65566 IVE131102 IVE196638 IVE262174 IVE327710 IVE393246 IVE458782 IVE524318 IVE589854 IVE655390 IVE720926 IVE786462 IVE851998 IVE917534 IVE983070 JFA9 JFA65566 JFA131102 JFA196638 JFA262174 JFA327710 JFA393246 JFA458782 JFA524318 JFA589854 JFA655390 JFA720926 JFA786462 JFA851998 JFA917534 JFA983070 JOW9 JOW65566 JOW131102 JOW196638 JOW262174 JOW327710 JOW393246 JOW458782 JOW524318 JOW589854 JOW655390 JOW720926 JOW786462 JOW851998 JOW917534 JOW983070 JYS9 JYS65566 JYS131102 JYS196638 JYS262174 JYS327710 JYS393246 JYS458782 JYS524318 JYS589854 JYS655390 JYS720926 JYS786462 JYS851998 JYS917534 JYS983070 KIO9 KIO65566 KIO131102 KIO196638 KIO262174 KIO327710 KIO393246 KIO458782 KIO524318 KIO589854 KIO655390 KIO720926 KIO786462 KIO851998 KIO917534 KIO983070 KSK9 KSK65566 KSK131102 KSK196638 KSK262174 KSK327710 KSK393246 KSK458782 KSK524318 KSK589854 KSK655390 KSK720926 KSK786462 KSK851998 KSK917534 KSK983070 LCG9 LCG65566 LCG131102 LCG196638 LCG262174 LCG327710 LCG393246 LCG458782 LCG524318 LCG589854 LCG655390 LCG720926 LCG786462 LCG851998 LCG917534 LCG983070 LMC9 LMC65566 LMC131102 LMC196638 LMC262174 LMC327710 LMC393246 LMC458782 LMC524318 LMC589854 LMC655390 LMC720926 LMC786462 LMC851998 LMC917534 LMC983070 LVY9 LVY65566 LVY131102 LVY196638 LVY262174 LVY327710 LVY393246 LVY458782 LVY524318 LVY589854 LVY655390 LVY720926 LVY786462 LVY851998 LVY917534 LVY983070 MFU9 MFU65566 MFU131102 MFU196638 MFU262174 MFU327710 MFU393246 MFU458782 MFU524318 MFU589854 MFU655390 MFU720926 MFU786462 MFU851998 MFU917534 MFU983070 MPQ9 MPQ65566 MPQ131102 MPQ196638 MPQ262174 MPQ327710 MPQ393246 MPQ458782 MPQ524318 MPQ589854 MPQ655390 MPQ720926 MPQ786462 MPQ851998 MPQ917534 MPQ983070 MZM9 MZM65566 MZM131102 MZM196638 MZM262174 MZM327710 MZM393246 MZM458782 MZM524318 MZM589854 MZM655390 MZM720926 MZM786462 MZM851998 MZM917534 MZM983070 NJI9 NJI65566 NJI131102 NJI196638 NJI262174 NJI327710 NJI393246 NJI458782 NJI524318 NJI589854 NJI655390 NJI720926 NJI786462 NJI851998 NJI917534 NJI983070 NTE9 NTE65566 NTE131102 NTE196638 NTE262174 NTE327710 NTE393246 NTE458782 NTE524318 NTE589854 NTE655390 NTE720926 NTE786462 NTE851998 NTE917534 NTE983070 ODA9 ODA65566 ODA131102 ODA196638 ODA262174 ODA327710 ODA393246 ODA458782 ODA524318 ODA589854 ODA655390 ODA720926 ODA786462 ODA851998 ODA917534 ODA983070 OMW9 OMW65566 OMW131102 OMW196638 OMW262174 OMW327710 OMW393246 OMW458782 OMW524318 OMW589854 OMW655390 OMW720926 OMW786462 OMW851998 OMW917534 OMW983070 OWS9 OWS65566 OWS131102 OWS196638 OWS262174 OWS327710 OWS393246 OWS458782 OWS524318 OWS589854 OWS655390 OWS720926 OWS786462 OWS851998 OWS917534 OWS983070 PGO9 PGO65566 PGO131102 PGO196638 PGO262174 PGO327710 PGO393246 PGO458782 PGO524318 PGO589854 PGO655390 PGO720926 PGO786462 PGO851998 PGO917534 PGO983070 PQK9 PQK65566 PQK131102 PQK196638 PQK262174 PQK327710 PQK393246 PQK458782 PQK524318 PQK589854 PQK655390 PQK720926 PQK786462 PQK851998 PQK917534 PQK983070 QAG9 QAG65566 QAG131102 QAG196638 QAG262174 QAG327710 QAG393246 QAG458782 QAG524318 QAG589854 QAG655390 QAG720926 QAG786462 QAG851998 QAG917534 QAG983070 QKC9 QKC65566 QKC131102 QKC196638 QKC262174 QKC327710 QKC393246 QKC458782 QKC524318 QKC589854 QKC655390 QKC720926 QKC786462 QKC851998 QKC917534 QKC983070 QTY9 QTY65566 QTY131102 QTY196638 QTY262174 QTY327710 QTY393246 QTY458782 QTY524318 QTY589854 QTY655390 QTY720926 QTY786462 QTY851998 QTY917534 QTY983070 RDU9 RDU65566 RDU131102 RDU196638 RDU262174 RDU327710 RDU393246 RDU458782 RDU524318 RDU589854 RDU655390 RDU720926 RDU786462 RDU851998 RDU917534 RDU983070 RNQ9 RNQ65566 RNQ131102 RNQ196638 RNQ262174 RNQ327710 RNQ393246 RNQ458782 RNQ524318 RNQ589854 RNQ655390 RNQ720926 RNQ786462 RNQ851998 RNQ917534 RNQ983070 RXM9 RXM65566 RXM131102 RXM196638 RXM262174 RXM327710 RXM393246 RXM458782 RXM524318 RXM589854 RXM655390 RXM720926 RXM786462 RXM851998 RXM917534 RXM983070 SHI9 SHI65566 SHI131102 SHI196638 SHI262174 SHI327710 SHI393246 SHI458782 SHI524318 SHI589854 SHI655390 SHI720926 SHI786462 SHI851998 SHI917534 SHI983070 SRE9 SRE65566 SRE131102 SRE196638 SRE262174 SRE327710 SRE393246 SRE458782 SRE524318 SRE589854 SRE655390 SRE720926 SRE786462 SRE851998 SRE917534 SRE983070 TBA9 TBA65566 TBA131102 TBA196638 TBA262174 TBA327710 TBA393246 TBA458782 TBA524318 TBA589854 TBA655390 TBA720926 TBA786462 TBA851998 TBA917534 TBA983070 TKW9 TKW65566 TKW131102 TKW196638 TKW262174 TKW327710 TKW393246 TKW458782 TKW524318 TKW589854 TKW655390 TKW720926 TKW786462 TKW851998 TKW917534 TKW983070 TUS9 TUS65566 TUS131102 TUS196638 TUS262174 TUS327710 TUS393246 TUS458782 TUS524318 TUS589854 TUS655390 TUS720926 TUS786462 TUS851998 TUS917534 TUS983070 UEO9 UEO65566 UEO131102 UEO196638 UEO262174 UEO327710 UEO393246 UEO458782 UEO524318 UEO589854 UEO655390 UEO720926 UEO786462 UEO851998 UEO917534 UEO983070 UOK9 UOK65566 UOK131102 UOK196638 UOK262174 UOK327710 UOK393246 UOK458782 UOK524318 UOK589854 UOK655390 UOK720926 UOK786462 UOK851998 UOK917534 UOK983070 UYG9 UYG65566 UYG131102 UYG196638 UYG262174 UYG327710 UYG393246 UYG458782 UYG524318 UYG589854 UYG655390 UYG720926 UYG786462 UYG851998 UYG917534 UYG983070 VIC9 VIC65566 VIC131102 VIC196638 VIC262174 VIC327710 VIC393246 VIC458782 VIC524318 VIC589854 VIC655390 VIC720926 VIC786462 VIC851998 VIC917534 VIC983070 VRY9 VRY65566 VRY131102 VRY196638 VRY262174 VRY327710 VRY393246 VRY458782 VRY524318 VRY589854 VRY655390 VRY720926 VRY786462 VRY851998 VRY917534 VRY983070 WBU9 WBU65566 WBU131102 WBU196638 WBU262174 WBU327710 WBU393246 WBU458782 WBU524318 WBU589854 WBU655390 WBU720926 WBU786462 WBU851998 WBU917534 WBU983070 WLQ9 WLQ65566 WLQ131102 WLQ196638 WLQ262174 WLQ327710 WLQ393246 WLQ458782 WLQ524318 WLQ589854 WLQ655390 WLQ720926 WLQ786462 WLQ851998 WLQ917534 WLQ983070 WVM9 WVM65566 WVM131102 WVM196638 WVM262174 WVM327710 WVM393246 WVM458782 WVM524318 WVM589854 WVM655390 WVM720926 WVM786462 WVM851998 WVM917534 WVM983070" xr:uid="{00000000-0002-0000-0000-000003000000}">
      <formula1>"1000,1000000,1000000000"</formula1>
    </dataValidation>
    <dataValidation type="list" allowBlank="1" showInputMessage="1" showErrorMessage="1" sqref="D14 D65571 D131107 D196643 D262179 D327715 D393251 D458787 D524323 D589859 D655395 D720931 D786467 D852003 D917539 D983075 JA14 JA65571 JA131107 JA196643 JA262179 JA327715 JA393251 JA458787 JA524323 JA589859 JA655395 JA720931 JA786467 JA852003 JA917539 JA983075 SW14 SW65571 SW131107 SW196643 SW262179 SW327715 SW393251 SW458787 SW524323 SW589859 SW655395 SW720931 SW786467 SW852003 SW917539 SW983075 ACS14 ACS65571 ACS131107 ACS196643 ACS262179 ACS327715 ACS393251 ACS458787 ACS524323 ACS589859 ACS655395 ACS720931 ACS786467 ACS852003 ACS917539 ACS983075 AMO14 AMO65571 AMO131107 AMO196643 AMO262179 AMO327715 AMO393251 AMO458787 AMO524323 AMO589859 AMO655395 AMO720931 AMO786467 AMO852003 AMO917539 AMO983075 AWK14 AWK65571 AWK131107 AWK196643 AWK262179 AWK327715 AWK393251 AWK458787 AWK524323 AWK589859 AWK655395 AWK720931 AWK786467 AWK852003 AWK917539 AWK983075 BGG14 BGG65571 BGG131107 BGG196643 BGG262179 BGG327715 BGG393251 BGG458787 BGG524323 BGG589859 BGG655395 BGG720931 BGG786467 BGG852003 BGG917539 BGG983075 BQC14 BQC65571 BQC131107 BQC196643 BQC262179 BQC327715 BQC393251 BQC458787 BQC524323 BQC589859 BQC655395 BQC720931 BQC786467 BQC852003 BQC917539 BQC983075 BZY14 BZY65571 BZY131107 BZY196643 BZY262179 BZY327715 BZY393251 BZY458787 BZY524323 BZY589859 BZY655395 BZY720931 BZY786467 BZY852003 BZY917539 BZY983075 CJU14 CJU65571 CJU131107 CJU196643 CJU262179 CJU327715 CJU393251 CJU458787 CJU524323 CJU589859 CJU655395 CJU720931 CJU786467 CJU852003 CJU917539 CJU983075 CTQ14 CTQ65571 CTQ131107 CTQ196643 CTQ262179 CTQ327715 CTQ393251 CTQ458787 CTQ524323 CTQ589859 CTQ655395 CTQ720931 CTQ786467 CTQ852003 CTQ917539 CTQ983075 DDM14 DDM65571 DDM131107 DDM196643 DDM262179 DDM327715 DDM393251 DDM458787 DDM524323 DDM589859 DDM655395 DDM720931 DDM786467 DDM852003 DDM917539 DDM983075 DNI14 DNI65571 DNI131107 DNI196643 DNI262179 DNI327715 DNI393251 DNI458787 DNI524323 DNI589859 DNI655395 DNI720931 DNI786467 DNI852003 DNI917539 DNI983075 DXE14 DXE65571 DXE131107 DXE196643 DXE262179 DXE327715 DXE393251 DXE458787 DXE524323 DXE589859 DXE655395 DXE720931 DXE786467 DXE852003 DXE917539 DXE983075 EHA14 EHA65571 EHA131107 EHA196643 EHA262179 EHA327715 EHA393251 EHA458787 EHA524323 EHA589859 EHA655395 EHA720931 EHA786467 EHA852003 EHA917539 EHA983075 EQW14 EQW65571 EQW131107 EQW196643 EQW262179 EQW327715 EQW393251 EQW458787 EQW524323 EQW589859 EQW655395 EQW720931 EQW786467 EQW852003 EQW917539 EQW983075 FAS14 FAS65571 FAS131107 FAS196643 FAS262179 FAS327715 FAS393251 FAS458787 FAS524323 FAS589859 FAS655395 FAS720931 FAS786467 FAS852003 FAS917539 FAS983075 FKO14 FKO65571 FKO131107 FKO196643 FKO262179 FKO327715 FKO393251 FKO458787 FKO524323 FKO589859 FKO655395 FKO720931 FKO786467 FKO852003 FKO917539 FKO983075 FUK14 FUK65571 FUK131107 FUK196643 FUK262179 FUK327715 FUK393251 FUK458787 FUK524323 FUK589859 FUK655395 FUK720931 FUK786467 FUK852003 FUK917539 FUK983075 GEG14 GEG65571 GEG131107 GEG196643 GEG262179 GEG327715 GEG393251 GEG458787 GEG524323 GEG589859 GEG655395 GEG720931 GEG786467 GEG852003 GEG917539 GEG983075 GOC14 GOC65571 GOC131107 GOC196643 GOC262179 GOC327715 GOC393251 GOC458787 GOC524323 GOC589859 GOC655395 GOC720931 GOC786467 GOC852003 GOC917539 GOC983075 GXY14 GXY65571 GXY131107 GXY196643 GXY262179 GXY327715 GXY393251 GXY458787 GXY524323 GXY589859 GXY655395 GXY720931 GXY786467 GXY852003 GXY917539 GXY983075 HHU14 HHU65571 HHU131107 HHU196643 HHU262179 HHU327715 HHU393251 HHU458787 HHU524323 HHU589859 HHU655395 HHU720931 HHU786467 HHU852003 HHU917539 HHU983075 HRQ14 HRQ65571 HRQ131107 HRQ196643 HRQ262179 HRQ327715 HRQ393251 HRQ458787 HRQ524323 HRQ589859 HRQ655395 HRQ720931 HRQ786467 HRQ852003 HRQ917539 HRQ983075 IBM14 IBM65571 IBM131107 IBM196643 IBM262179 IBM327715 IBM393251 IBM458787 IBM524323 IBM589859 IBM655395 IBM720931 IBM786467 IBM852003 IBM917539 IBM983075 ILI14 ILI65571 ILI131107 ILI196643 ILI262179 ILI327715 ILI393251 ILI458787 ILI524323 ILI589859 ILI655395 ILI720931 ILI786467 ILI852003 ILI917539 ILI983075 IVE14 IVE65571 IVE131107 IVE196643 IVE262179 IVE327715 IVE393251 IVE458787 IVE524323 IVE589859 IVE655395 IVE720931 IVE786467 IVE852003 IVE917539 IVE983075 JFA14 JFA65571 JFA131107 JFA196643 JFA262179 JFA327715 JFA393251 JFA458787 JFA524323 JFA589859 JFA655395 JFA720931 JFA786467 JFA852003 JFA917539 JFA983075 JOW14 JOW65571 JOW131107 JOW196643 JOW262179 JOW327715 JOW393251 JOW458787 JOW524323 JOW589859 JOW655395 JOW720931 JOW786467 JOW852003 JOW917539 JOW983075 JYS14 JYS65571 JYS131107 JYS196643 JYS262179 JYS327715 JYS393251 JYS458787 JYS524323 JYS589859 JYS655395 JYS720931 JYS786467 JYS852003 JYS917539 JYS983075 KIO14 KIO65571 KIO131107 KIO196643 KIO262179 KIO327715 KIO393251 KIO458787 KIO524323 KIO589859 KIO655395 KIO720931 KIO786467 KIO852003 KIO917539 KIO983075 KSK14 KSK65571 KSK131107 KSK196643 KSK262179 KSK327715 KSK393251 KSK458787 KSK524323 KSK589859 KSK655395 KSK720931 KSK786467 KSK852003 KSK917539 KSK983075 LCG14 LCG65571 LCG131107 LCG196643 LCG262179 LCG327715 LCG393251 LCG458787 LCG524323 LCG589859 LCG655395 LCG720931 LCG786467 LCG852003 LCG917539 LCG983075 LMC14 LMC65571 LMC131107 LMC196643 LMC262179 LMC327715 LMC393251 LMC458787 LMC524323 LMC589859 LMC655395 LMC720931 LMC786467 LMC852003 LMC917539 LMC983075 LVY14 LVY65571 LVY131107 LVY196643 LVY262179 LVY327715 LVY393251 LVY458787 LVY524323 LVY589859 LVY655395 LVY720931 LVY786467 LVY852003 LVY917539 LVY983075 MFU14 MFU65571 MFU131107 MFU196643 MFU262179 MFU327715 MFU393251 MFU458787 MFU524323 MFU589859 MFU655395 MFU720931 MFU786467 MFU852003 MFU917539 MFU983075 MPQ14 MPQ65571 MPQ131107 MPQ196643 MPQ262179 MPQ327715 MPQ393251 MPQ458787 MPQ524323 MPQ589859 MPQ655395 MPQ720931 MPQ786467 MPQ852003 MPQ917539 MPQ983075 MZM14 MZM65571 MZM131107 MZM196643 MZM262179 MZM327715 MZM393251 MZM458787 MZM524323 MZM589859 MZM655395 MZM720931 MZM786467 MZM852003 MZM917539 MZM983075 NJI14 NJI65571 NJI131107 NJI196643 NJI262179 NJI327715 NJI393251 NJI458787 NJI524323 NJI589859 NJI655395 NJI720931 NJI786467 NJI852003 NJI917539 NJI983075 NTE14 NTE65571 NTE131107 NTE196643 NTE262179 NTE327715 NTE393251 NTE458787 NTE524323 NTE589859 NTE655395 NTE720931 NTE786467 NTE852003 NTE917539 NTE983075 ODA14 ODA65571 ODA131107 ODA196643 ODA262179 ODA327715 ODA393251 ODA458787 ODA524323 ODA589859 ODA655395 ODA720931 ODA786467 ODA852003 ODA917539 ODA983075 OMW14 OMW65571 OMW131107 OMW196643 OMW262179 OMW327715 OMW393251 OMW458787 OMW524323 OMW589859 OMW655395 OMW720931 OMW786467 OMW852003 OMW917539 OMW983075 OWS14 OWS65571 OWS131107 OWS196643 OWS262179 OWS327715 OWS393251 OWS458787 OWS524323 OWS589859 OWS655395 OWS720931 OWS786467 OWS852003 OWS917539 OWS983075 PGO14 PGO65571 PGO131107 PGO196643 PGO262179 PGO327715 PGO393251 PGO458787 PGO524323 PGO589859 PGO655395 PGO720931 PGO786467 PGO852003 PGO917539 PGO983075 PQK14 PQK65571 PQK131107 PQK196643 PQK262179 PQK327715 PQK393251 PQK458787 PQK524323 PQK589859 PQK655395 PQK720931 PQK786467 PQK852003 PQK917539 PQK983075 QAG14 QAG65571 QAG131107 QAG196643 QAG262179 QAG327715 QAG393251 QAG458787 QAG524323 QAG589859 QAG655395 QAG720931 QAG786467 QAG852003 QAG917539 QAG983075 QKC14 QKC65571 QKC131107 QKC196643 QKC262179 QKC327715 QKC393251 QKC458787 QKC524323 QKC589859 QKC655395 QKC720931 QKC786467 QKC852003 QKC917539 QKC983075 QTY14 QTY65571 QTY131107 QTY196643 QTY262179 QTY327715 QTY393251 QTY458787 QTY524323 QTY589859 QTY655395 QTY720931 QTY786467 QTY852003 QTY917539 QTY983075 RDU14 RDU65571 RDU131107 RDU196643 RDU262179 RDU327715 RDU393251 RDU458787 RDU524323 RDU589859 RDU655395 RDU720931 RDU786467 RDU852003 RDU917539 RDU983075 RNQ14 RNQ65571 RNQ131107 RNQ196643 RNQ262179 RNQ327715 RNQ393251 RNQ458787 RNQ524323 RNQ589859 RNQ655395 RNQ720931 RNQ786467 RNQ852003 RNQ917539 RNQ983075 RXM14 RXM65571 RXM131107 RXM196643 RXM262179 RXM327715 RXM393251 RXM458787 RXM524323 RXM589859 RXM655395 RXM720931 RXM786467 RXM852003 RXM917539 RXM983075 SHI14 SHI65571 SHI131107 SHI196643 SHI262179 SHI327715 SHI393251 SHI458787 SHI524323 SHI589859 SHI655395 SHI720931 SHI786467 SHI852003 SHI917539 SHI983075 SRE14 SRE65571 SRE131107 SRE196643 SRE262179 SRE327715 SRE393251 SRE458787 SRE524323 SRE589859 SRE655395 SRE720931 SRE786467 SRE852003 SRE917539 SRE983075 TBA14 TBA65571 TBA131107 TBA196643 TBA262179 TBA327715 TBA393251 TBA458787 TBA524323 TBA589859 TBA655395 TBA720931 TBA786467 TBA852003 TBA917539 TBA983075 TKW14 TKW65571 TKW131107 TKW196643 TKW262179 TKW327715 TKW393251 TKW458787 TKW524323 TKW589859 TKW655395 TKW720931 TKW786467 TKW852003 TKW917539 TKW983075 TUS14 TUS65571 TUS131107 TUS196643 TUS262179 TUS327715 TUS393251 TUS458787 TUS524323 TUS589859 TUS655395 TUS720931 TUS786467 TUS852003 TUS917539 TUS983075 UEO14 UEO65571 UEO131107 UEO196643 UEO262179 UEO327715 UEO393251 UEO458787 UEO524323 UEO589859 UEO655395 UEO720931 UEO786467 UEO852003 UEO917539 UEO983075 UOK14 UOK65571 UOK131107 UOK196643 UOK262179 UOK327715 UOK393251 UOK458787 UOK524323 UOK589859 UOK655395 UOK720931 UOK786467 UOK852003 UOK917539 UOK983075 UYG14 UYG65571 UYG131107 UYG196643 UYG262179 UYG327715 UYG393251 UYG458787 UYG524323 UYG589859 UYG655395 UYG720931 UYG786467 UYG852003 UYG917539 UYG983075 VIC14 VIC65571 VIC131107 VIC196643 VIC262179 VIC327715 VIC393251 VIC458787 VIC524323 VIC589859 VIC655395 VIC720931 VIC786467 VIC852003 VIC917539 VIC983075 VRY14 VRY65571 VRY131107 VRY196643 VRY262179 VRY327715 VRY393251 VRY458787 VRY524323 VRY589859 VRY655395 VRY720931 VRY786467 VRY852003 VRY917539 VRY983075 WBU14 WBU65571 WBU131107 WBU196643 WBU262179 WBU327715 WBU393251 WBU458787 WBU524323 WBU589859 WBU655395 WBU720931 WBU786467 WBU852003 WBU917539 WBU983075 WLQ14 WLQ65571 WLQ131107 WLQ196643 WLQ262179 WLQ327715 WLQ393251 WLQ458787 WLQ524323 WLQ589859 WLQ655395 WLQ720931 WLQ786467 WLQ852003 WLQ917539 WLQ983075 WVM14 WVM65571 WVM131107 WVM196643 WVM262179 WVM327715 WVM393251 WVM458787 WVM524323 WVM589859 WVM655395 WVM720931 WVM786467 WVM852003 WVM917539 WVM983075" xr:uid="{00000000-0002-0000-0000-000004000000}">
      <formula1>"Positive,Neutral,Negative,Speculative Buy,Suspended,Not Rated"</formula1>
    </dataValidation>
    <dataValidation type="list" allowBlank="1" showInputMessage="1" showErrorMessage="1" sqref="D65614 D65616 D131150 D131152 D196686 D196688 D262222 D262224 D327758 D327760 D393294 D393296 D458830 D458832 D524366 D524368 D589902 D589904 D655438 D655440 D720974 D720976 D786510 D786512 D852046 D852048 D917582 D917584 D983118 D983120 JA57 JA59 JA65614 JA65616 JA131150 JA131152 JA196686 JA196688 JA262222 JA262224 JA327758 JA327760 JA393294 JA393296 JA458830 JA458832 JA524366 JA524368 JA589902 JA589904 JA655438 JA655440 JA720974 JA720976 JA786510 JA786512 JA852046 JA852048 JA917582 JA917584 JA983118 JA983120 SW57 SW59 SW65614 SW65616 SW131150 SW131152 SW196686 SW196688 SW262222 SW262224 SW327758 SW327760 SW393294 SW393296 SW458830 SW458832 SW524366 SW524368 SW589902 SW589904 SW655438 SW655440 SW720974 SW720976 SW786510 SW786512 SW852046 SW852048 SW917582 SW917584 SW983118 SW983120 ACS57 ACS59 ACS65614 ACS65616 ACS131150 ACS131152 ACS196686 ACS196688 ACS262222 ACS262224 ACS327758 ACS327760 ACS393294 ACS393296 ACS458830 ACS458832 ACS524366 ACS524368 ACS589902 ACS589904 ACS655438 ACS655440 ACS720974 ACS720976 ACS786510 ACS786512 ACS852046 ACS852048 ACS917582 ACS917584 ACS983118 ACS983120 AMO57 AMO59 AMO65614 AMO65616 AMO131150 AMO131152 AMO196686 AMO196688 AMO262222 AMO262224 AMO327758 AMO327760 AMO393294 AMO393296 AMO458830 AMO458832 AMO524366 AMO524368 AMO589902 AMO589904 AMO655438 AMO655440 AMO720974 AMO720976 AMO786510 AMO786512 AMO852046 AMO852048 AMO917582 AMO917584 AMO983118 AMO983120 AWK57 AWK59 AWK65614 AWK65616 AWK131150 AWK131152 AWK196686 AWK196688 AWK262222 AWK262224 AWK327758 AWK327760 AWK393294 AWK393296 AWK458830 AWK458832 AWK524366 AWK524368 AWK589902 AWK589904 AWK655438 AWK655440 AWK720974 AWK720976 AWK786510 AWK786512 AWK852046 AWK852048 AWK917582 AWK917584 AWK983118 AWK983120 BGG57 BGG59 BGG65614 BGG65616 BGG131150 BGG131152 BGG196686 BGG196688 BGG262222 BGG262224 BGG327758 BGG327760 BGG393294 BGG393296 BGG458830 BGG458832 BGG524366 BGG524368 BGG589902 BGG589904 BGG655438 BGG655440 BGG720974 BGG720976 BGG786510 BGG786512 BGG852046 BGG852048 BGG917582 BGG917584 BGG983118 BGG983120 BQC57 BQC59 BQC65614 BQC65616 BQC131150 BQC131152 BQC196686 BQC196688 BQC262222 BQC262224 BQC327758 BQC327760 BQC393294 BQC393296 BQC458830 BQC458832 BQC524366 BQC524368 BQC589902 BQC589904 BQC655438 BQC655440 BQC720974 BQC720976 BQC786510 BQC786512 BQC852046 BQC852048 BQC917582 BQC917584 BQC983118 BQC983120 BZY57 BZY59 BZY65614 BZY65616 BZY131150 BZY131152 BZY196686 BZY196688 BZY262222 BZY262224 BZY327758 BZY327760 BZY393294 BZY393296 BZY458830 BZY458832 BZY524366 BZY524368 BZY589902 BZY589904 BZY655438 BZY655440 BZY720974 BZY720976 BZY786510 BZY786512 BZY852046 BZY852048 BZY917582 BZY917584 BZY983118 BZY983120 CJU57 CJU59 CJU65614 CJU65616 CJU131150 CJU131152 CJU196686 CJU196688 CJU262222 CJU262224 CJU327758 CJU327760 CJU393294 CJU393296 CJU458830 CJU458832 CJU524366 CJU524368 CJU589902 CJU589904 CJU655438 CJU655440 CJU720974 CJU720976 CJU786510 CJU786512 CJU852046 CJU852048 CJU917582 CJU917584 CJU983118 CJU983120 CTQ57 CTQ59 CTQ65614 CTQ65616 CTQ131150 CTQ131152 CTQ196686 CTQ196688 CTQ262222 CTQ262224 CTQ327758 CTQ327760 CTQ393294 CTQ393296 CTQ458830 CTQ458832 CTQ524366 CTQ524368 CTQ589902 CTQ589904 CTQ655438 CTQ655440 CTQ720974 CTQ720976 CTQ786510 CTQ786512 CTQ852046 CTQ852048 CTQ917582 CTQ917584 CTQ983118 CTQ983120 DDM57 DDM59 DDM65614 DDM65616 DDM131150 DDM131152 DDM196686 DDM196688 DDM262222 DDM262224 DDM327758 DDM327760 DDM393294 DDM393296 DDM458830 DDM458832 DDM524366 DDM524368 DDM589902 DDM589904 DDM655438 DDM655440 DDM720974 DDM720976 DDM786510 DDM786512 DDM852046 DDM852048 DDM917582 DDM917584 DDM983118 DDM983120 DNI57 DNI59 DNI65614 DNI65616 DNI131150 DNI131152 DNI196686 DNI196688 DNI262222 DNI262224 DNI327758 DNI327760 DNI393294 DNI393296 DNI458830 DNI458832 DNI524366 DNI524368 DNI589902 DNI589904 DNI655438 DNI655440 DNI720974 DNI720976 DNI786510 DNI786512 DNI852046 DNI852048 DNI917582 DNI917584 DNI983118 DNI983120 DXE57 DXE59 DXE65614 DXE65616 DXE131150 DXE131152 DXE196686 DXE196688 DXE262222 DXE262224 DXE327758 DXE327760 DXE393294 DXE393296 DXE458830 DXE458832 DXE524366 DXE524368 DXE589902 DXE589904 DXE655438 DXE655440 DXE720974 DXE720976 DXE786510 DXE786512 DXE852046 DXE852048 DXE917582 DXE917584 DXE983118 DXE983120 EHA57 EHA59 EHA65614 EHA65616 EHA131150 EHA131152 EHA196686 EHA196688 EHA262222 EHA262224 EHA327758 EHA327760 EHA393294 EHA393296 EHA458830 EHA458832 EHA524366 EHA524368 EHA589902 EHA589904 EHA655438 EHA655440 EHA720974 EHA720976 EHA786510 EHA786512 EHA852046 EHA852048 EHA917582 EHA917584 EHA983118 EHA983120 EQW57 EQW59 EQW65614 EQW65616 EQW131150 EQW131152 EQW196686 EQW196688 EQW262222 EQW262224 EQW327758 EQW327760 EQW393294 EQW393296 EQW458830 EQW458832 EQW524366 EQW524368 EQW589902 EQW589904 EQW655438 EQW655440 EQW720974 EQW720976 EQW786510 EQW786512 EQW852046 EQW852048 EQW917582 EQW917584 EQW983118 EQW983120 FAS57 FAS59 FAS65614 FAS65616 FAS131150 FAS131152 FAS196686 FAS196688 FAS262222 FAS262224 FAS327758 FAS327760 FAS393294 FAS393296 FAS458830 FAS458832 FAS524366 FAS524368 FAS589902 FAS589904 FAS655438 FAS655440 FAS720974 FAS720976 FAS786510 FAS786512 FAS852046 FAS852048 FAS917582 FAS917584 FAS983118 FAS983120 FKO57 FKO59 FKO65614 FKO65616 FKO131150 FKO131152 FKO196686 FKO196688 FKO262222 FKO262224 FKO327758 FKO327760 FKO393294 FKO393296 FKO458830 FKO458832 FKO524366 FKO524368 FKO589902 FKO589904 FKO655438 FKO655440 FKO720974 FKO720976 FKO786510 FKO786512 FKO852046 FKO852048 FKO917582 FKO917584 FKO983118 FKO983120 FUK57 FUK59 FUK65614 FUK65616 FUK131150 FUK131152 FUK196686 FUK196688 FUK262222 FUK262224 FUK327758 FUK327760 FUK393294 FUK393296 FUK458830 FUK458832 FUK524366 FUK524368 FUK589902 FUK589904 FUK655438 FUK655440 FUK720974 FUK720976 FUK786510 FUK786512 FUK852046 FUK852048 FUK917582 FUK917584 FUK983118 FUK983120 GEG57 GEG59 GEG65614 GEG65616 GEG131150 GEG131152 GEG196686 GEG196688 GEG262222 GEG262224 GEG327758 GEG327760 GEG393294 GEG393296 GEG458830 GEG458832 GEG524366 GEG524368 GEG589902 GEG589904 GEG655438 GEG655440 GEG720974 GEG720976 GEG786510 GEG786512 GEG852046 GEG852048 GEG917582 GEG917584 GEG983118 GEG983120 GOC57 GOC59 GOC65614 GOC65616 GOC131150 GOC131152 GOC196686 GOC196688 GOC262222 GOC262224 GOC327758 GOC327760 GOC393294 GOC393296 GOC458830 GOC458832 GOC524366 GOC524368 GOC589902 GOC589904 GOC655438 GOC655440 GOC720974 GOC720976 GOC786510 GOC786512 GOC852046 GOC852048 GOC917582 GOC917584 GOC983118 GOC983120 GXY57 GXY59 GXY65614 GXY65616 GXY131150 GXY131152 GXY196686 GXY196688 GXY262222 GXY262224 GXY327758 GXY327760 GXY393294 GXY393296 GXY458830 GXY458832 GXY524366 GXY524368 GXY589902 GXY589904 GXY655438 GXY655440 GXY720974 GXY720976 GXY786510 GXY786512 GXY852046 GXY852048 GXY917582 GXY917584 GXY983118 GXY983120 HHU57 HHU59 HHU65614 HHU65616 HHU131150 HHU131152 HHU196686 HHU196688 HHU262222 HHU262224 HHU327758 HHU327760 HHU393294 HHU393296 HHU458830 HHU458832 HHU524366 HHU524368 HHU589902 HHU589904 HHU655438 HHU655440 HHU720974 HHU720976 HHU786510 HHU786512 HHU852046 HHU852048 HHU917582 HHU917584 HHU983118 HHU983120 HRQ57 HRQ59 HRQ65614 HRQ65616 HRQ131150 HRQ131152 HRQ196686 HRQ196688 HRQ262222 HRQ262224 HRQ327758 HRQ327760 HRQ393294 HRQ393296 HRQ458830 HRQ458832 HRQ524366 HRQ524368 HRQ589902 HRQ589904 HRQ655438 HRQ655440 HRQ720974 HRQ720976 HRQ786510 HRQ786512 HRQ852046 HRQ852048 HRQ917582 HRQ917584 HRQ983118 HRQ983120 IBM57 IBM59 IBM65614 IBM65616 IBM131150 IBM131152 IBM196686 IBM196688 IBM262222 IBM262224 IBM327758 IBM327760 IBM393294 IBM393296 IBM458830 IBM458832 IBM524366 IBM524368 IBM589902 IBM589904 IBM655438 IBM655440 IBM720974 IBM720976 IBM786510 IBM786512 IBM852046 IBM852048 IBM917582 IBM917584 IBM983118 IBM983120 ILI57 ILI59 ILI65614 ILI65616 ILI131150 ILI131152 ILI196686 ILI196688 ILI262222 ILI262224 ILI327758 ILI327760 ILI393294 ILI393296 ILI458830 ILI458832 ILI524366 ILI524368 ILI589902 ILI589904 ILI655438 ILI655440 ILI720974 ILI720976 ILI786510 ILI786512 ILI852046 ILI852048 ILI917582 ILI917584 ILI983118 ILI983120 IVE57 IVE59 IVE65614 IVE65616 IVE131150 IVE131152 IVE196686 IVE196688 IVE262222 IVE262224 IVE327758 IVE327760 IVE393294 IVE393296 IVE458830 IVE458832 IVE524366 IVE524368 IVE589902 IVE589904 IVE655438 IVE655440 IVE720974 IVE720976 IVE786510 IVE786512 IVE852046 IVE852048 IVE917582 IVE917584 IVE983118 IVE983120 JFA57 JFA59 JFA65614 JFA65616 JFA131150 JFA131152 JFA196686 JFA196688 JFA262222 JFA262224 JFA327758 JFA327760 JFA393294 JFA393296 JFA458830 JFA458832 JFA524366 JFA524368 JFA589902 JFA589904 JFA655438 JFA655440 JFA720974 JFA720976 JFA786510 JFA786512 JFA852046 JFA852048 JFA917582 JFA917584 JFA983118 JFA983120 JOW57 JOW59 JOW65614 JOW65616 JOW131150 JOW131152 JOW196686 JOW196688 JOW262222 JOW262224 JOW327758 JOW327760 JOW393294 JOW393296 JOW458830 JOW458832 JOW524366 JOW524368 JOW589902 JOW589904 JOW655438 JOW655440 JOW720974 JOW720976 JOW786510 JOW786512 JOW852046 JOW852048 JOW917582 JOW917584 JOW983118 JOW983120 JYS57 JYS59 JYS65614 JYS65616 JYS131150 JYS131152 JYS196686 JYS196688 JYS262222 JYS262224 JYS327758 JYS327760 JYS393294 JYS393296 JYS458830 JYS458832 JYS524366 JYS524368 JYS589902 JYS589904 JYS655438 JYS655440 JYS720974 JYS720976 JYS786510 JYS786512 JYS852046 JYS852048 JYS917582 JYS917584 JYS983118 JYS983120 KIO57 KIO59 KIO65614 KIO65616 KIO131150 KIO131152 KIO196686 KIO196688 KIO262222 KIO262224 KIO327758 KIO327760 KIO393294 KIO393296 KIO458830 KIO458832 KIO524366 KIO524368 KIO589902 KIO589904 KIO655438 KIO655440 KIO720974 KIO720976 KIO786510 KIO786512 KIO852046 KIO852048 KIO917582 KIO917584 KIO983118 KIO983120 KSK57 KSK59 KSK65614 KSK65616 KSK131150 KSK131152 KSK196686 KSK196688 KSK262222 KSK262224 KSK327758 KSK327760 KSK393294 KSK393296 KSK458830 KSK458832 KSK524366 KSK524368 KSK589902 KSK589904 KSK655438 KSK655440 KSK720974 KSK720976 KSK786510 KSK786512 KSK852046 KSK852048 KSK917582 KSK917584 KSK983118 KSK983120 LCG57 LCG59 LCG65614 LCG65616 LCG131150 LCG131152 LCG196686 LCG196688 LCG262222 LCG262224 LCG327758 LCG327760 LCG393294 LCG393296 LCG458830 LCG458832 LCG524366 LCG524368 LCG589902 LCG589904 LCG655438 LCG655440 LCG720974 LCG720976 LCG786510 LCG786512 LCG852046 LCG852048 LCG917582 LCG917584 LCG983118 LCG983120 LMC57 LMC59 LMC65614 LMC65616 LMC131150 LMC131152 LMC196686 LMC196688 LMC262222 LMC262224 LMC327758 LMC327760 LMC393294 LMC393296 LMC458830 LMC458832 LMC524366 LMC524368 LMC589902 LMC589904 LMC655438 LMC655440 LMC720974 LMC720976 LMC786510 LMC786512 LMC852046 LMC852048 LMC917582 LMC917584 LMC983118 LMC983120 LVY57 LVY59 LVY65614 LVY65616 LVY131150 LVY131152 LVY196686 LVY196688 LVY262222 LVY262224 LVY327758 LVY327760 LVY393294 LVY393296 LVY458830 LVY458832 LVY524366 LVY524368 LVY589902 LVY589904 LVY655438 LVY655440 LVY720974 LVY720976 LVY786510 LVY786512 LVY852046 LVY852048 LVY917582 LVY917584 LVY983118 LVY983120 MFU57 MFU59 MFU65614 MFU65616 MFU131150 MFU131152 MFU196686 MFU196688 MFU262222 MFU262224 MFU327758 MFU327760 MFU393294 MFU393296 MFU458830 MFU458832 MFU524366 MFU524368 MFU589902 MFU589904 MFU655438 MFU655440 MFU720974 MFU720976 MFU786510 MFU786512 MFU852046 MFU852048 MFU917582 MFU917584 MFU983118 MFU983120 MPQ57 MPQ59 MPQ65614 MPQ65616 MPQ131150 MPQ131152 MPQ196686 MPQ196688 MPQ262222 MPQ262224 MPQ327758 MPQ327760 MPQ393294 MPQ393296 MPQ458830 MPQ458832 MPQ524366 MPQ524368 MPQ589902 MPQ589904 MPQ655438 MPQ655440 MPQ720974 MPQ720976 MPQ786510 MPQ786512 MPQ852046 MPQ852048 MPQ917582 MPQ917584 MPQ983118 MPQ983120 MZM57 MZM59 MZM65614 MZM65616 MZM131150 MZM131152 MZM196686 MZM196688 MZM262222 MZM262224 MZM327758 MZM327760 MZM393294 MZM393296 MZM458830 MZM458832 MZM524366 MZM524368 MZM589902 MZM589904 MZM655438 MZM655440 MZM720974 MZM720976 MZM786510 MZM786512 MZM852046 MZM852048 MZM917582 MZM917584 MZM983118 MZM983120 NJI57 NJI59 NJI65614 NJI65616 NJI131150 NJI131152 NJI196686 NJI196688 NJI262222 NJI262224 NJI327758 NJI327760 NJI393294 NJI393296 NJI458830 NJI458832 NJI524366 NJI524368 NJI589902 NJI589904 NJI655438 NJI655440 NJI720974 NJI720976 NJI786510 NJI786512 NJI852046 NJI852048 NJI917582 NJI917584 NJI983118 NJI983120 NTE57 NTE59 NTE65614 NTE65616 NTE131150 NTE131152 NTE196686 NTE196688 NTE262222 NTE262224 NTE327758 NTE327760 NTE393294 NTE393296 NTE458830 NTE458832 NTE524366 NTE524368 NTE589902 NTE589904 NTE655438 NTE655440 NTE720974 NTE720976 NTE786510 NTE786512 NTE852046 NTE852048 NTE917582 NTE917584 NTE983118 NTE983120 ODA57 ODA59 ODA65614 ODA65616 ODA131150 ODA131152 ODA196686 ODA196688 ODA262222 ODA262224 ODA327758 ODA327760 ODA393294 ODA393296 ODA458830 ODA458832 ODA524366 ODA524368 ODA589902 ODA589904 ODA655438 ODA655440 ODA720974 ODA720976 ODA786510 ODA786512 ODA852046 ODA852048 ODA917582 ODA917584 ODA983118 ODA983120 OMW57 OMW59 OMW65614 OMW65616 OMW131150 OMW131152 OMW196686 OMW196688 OMW262222 OMW262224 OMW327758 OMW327760 OMW393294 OMW393296 OMW458830 OMW458832 OMW524366 OMW524368 OMW589902 OMW589904 OMW655438 OMW655440 OMW720974 OMW720976 OMW786510 OMW786512 OMW852046 OMW852048 OMW917582 OMW917584 OMW983118 OMW983120 OWS57 OWS59 OWS65614 OWS65616 OWS131150 OWS131152 OWS196686 OWS196688 OWS262222 OWS262224 OWS327758 OWS327760 OWS393294 OWS393296 OWS458830 OWS458832 OWS524366 OWS524368 OWS589902 OWS589904 OWS655438 OWS655440 OWS720974 OWS720976 OWS786510 OWS786512 OWS852046 OWS852048 OWS917582 OWS917584 OWS983118 OWS983120 PGO57 PGO59 PGO65614 PGO65616 PGO131150 PGO131152 PGO196686 PGO196688 PGO262222 PGO262224 PGO327758 PGO327760 PGO393294 PGO393296 PGO458830 PGO458832 PGO524366 PGO524368 PGO589902 PGO589904 PGO655438 PGO655440 PGO720974 PGO720976 PGO786510 PGO786512 PGO852046 PGO852048 PGO917582 PGO917584 PGO983118 PGO983120 PQK57 PQK59 PQK65614 PQK65616 PQK131150 PQK131152 PQK196686 PQK196688 PQK262222 PQK262224 PQK327758 PQK327760 PQK393294 PQK393296 PQK458830 PQK458832 PQK524366 PQK524368 PQK589902 PQK589904 PQK655438 PQK655440 PQK720974 PQK720976 PQK786510 PQK786512 PQK852046 PQK852048 PQK917582 PQK917584 PQK983118 PQK983120 QAG57 QAG59 QAG65614 QAG65616 QAG131150 QAG131152 QAG196686 QAG196688 QAG262222 QAG262224 QAG327758 QAG327760 QAG393294 QAG393296 QAG458830 QAG458832 QAG524366 QAG524368 QAG589902 QAG589904 QAG655438 QAG655440 QAG720974 QAG720976 QAG786510 QAG786512 QAG852046 QAG852048 QAG917582 QAG917584 QAG983118 QAG983120 QKC57 QKC59 QKC65614 QKC65616 QKC131150 QKC131152 QKC196686 QKC196688 QKC262222 QKC262224 QKC327758 QKC327760 QKC393294 QKC393296 QKC458830 QKC458832 QKC524366 QKC524368 QKC589902 QKC589904 QKC655438 QKC655440 QKC720974 QKC720976 QKC786510 QKC786512 QKC852046 QKC852048 QKC917582 QKC917584 QKC983118 QKC983120 QTY57 QTY59 QTY65614 QTY65616 QTY131150 QTY131152 QTY196686 QTY196688 QTY262222 QTY262224 QTY327758 QTY327760 QTY393294 QTY393296 QTY458830 QTY458832 QTY524366 QTY524368 QTY589902 QTY589904 QTY655438 QTY655440 QTY720974 QTY720976 QTY786510 QTY786512 QTY852046 QTY852048 QTY917582 QTY917584 QTY983118 QTY983120 RDU57 RDU59 RDU65614 RDU65616 RDU131150 RDU131152 RDU196686 RDU196688 RDU262222 RDU262224 RDU327758 RDU327760 RDU393294 RDU393296 RDU458830 RDU458832 RDU524366 RDU524368 RDU589902 RDU589904 RDU655438 RDU655440 RDU720974 RDU720976 RDU786510 RDU786512 RDU852046 RDU852048 RDU917582 RDU917584 RDU983118 RDU983120 RNQ57 RNQ59 RNQ65614 RNQ65616 RNQ131150 RNQ131152 RNQ196686 RNQ196688 RNQ262222 RNQ262224 RNQ327758 RNQ327760 RNQ393294 RNQ393296 RNQ458830 RNQ458832 RNQ524366 RNQ524368 RNQ589902 RNQ589904 RNQ655438 RNQ655440 RNQ720974 RNQ720976 RNQ786510 RNQ786512 RNQ852046 RNQ852048 RNQ917582 RNQ917584 RNQ983118 RNQ983120 RXM57 RXM59 RXM65614 RXM65616 RXM131150 RXM131152 RXM196686 RXM196688 RXM262222 RXM262224 RXM327758 RXM327760 RXM393294 RXM393296 RXM458830 RXM458832 RXM524366 RXM524368 RXM589902 RXM589904 RXM655438 RXM655440 RXM720974 RXM720976 RXM786510 RXM786512 RXM852046 RXM852048 RXM917582 RXM917584 RXM983118 RXM983120 SHI57 SHI59 SHI65614 SHI65616 SHI131150 SHI131152 SHI196686 SHI196688 SHI262222 SHI262224 SHI327758 SHI327760 SHI393294 SHI393296 SHI458830 SHI458832 SHI524366 SHI524368 SHI589902 SHI589904 SHI655438 SHI655440 SHI720974 SHI720976 SHI786510 SHI786512 SHI852046 SHI852048 SHI917582 SHI917584 SHI983118 SHI983120 SRE57 SRE59 SRE65614 SRE65616 SRE131150 SRE131152 SRE196686 SRE196688 SRE262222 SRE262224 SRE327758 SRE327760 SRE393294 SRE393296 SRE458830 SRE458832 SRE524366 SRE524368 SRE589902 SRE589904 SRE655438 SRE655440 SRE720974 SRE720976 SRE786510 SRE786512 SRE852046 SRE852048 SRE917582 SRE917584 SRE983118 SRE983120 TBA57 TBA59 TBA65614 TBA65616 TBA131150 TBA131152 TBA196686 TBA196688 TBA262222 TBA262224 TBA327758 TBA327760 TBA393294 TBA393296 TBA458830 TBA458832 TBA524366 TBA524368 TBA589902 TBA589904 TBA655438 TBA655440 TBA720974 TBA720976 TBA786510 TBA786512 TBA852046 TBA852048 TBA917582 TBA917584 TBA983118 TBA983120 TKW57 TKW59 TKW65614 TKW65616 TKW131150 TKW131152 TKW196686 TKW196688 TKW262222 TKW262224 TKW327758 TKW327760 TKW393294 TKW393296 TKW458830 TKW458832 TKW524366 TKW524368 TKW589902 TKW589904 TKW655438 TKW655440 TKW720974 TKW720976 TKW786510 TKW786512 TKW852046 TKW852048 TKW917582 TKW917584 TKW983118 TKW983120 TUS57 TUS59 TUS65614 TUS65616 TUS131150 TUS131152 TUS196686 TUS196688 TUS262222 TUS262224 TUS327758 TUS327760 TUS393294 TUS393296 TUS458830 TUS458832 TUS524366 TUS524368 TUS589902 TUS589904 TUS655438 TUS655440 TUS720974 TUS720976 TUS786510 TUS786512 TUS852046 TUS852048 TUS917582 TUS917584 TUS983118 TUS983120 UEO57 UEO59 UEO65614 UEO65616 UEO131150 UEO131152 UEO196686 UEO196688 UEO262222 UEO262224 UEO327758 UEO327760 UEO393294 UEO393296 UEO458830 UEO458832 UEO524366 UEO524368 UEO589902 UEO589904 UEO655438 UEO655440 UEO720974 UEO720976 UEO786510 UEO786512 UEO852046 UEO852048 UEO917582 UEO917584 UEO983118 UEO983120 UOK57 UOK59 UOK65614 UOK65616 UOK131150 UOK131152 UOK196686 UOK196688 UOK262222 UOK262224 UOK327758 UOK327760 UOK393294 UOK393296 UOK458830 UOK458832 UOK524366 UOK524368 UOK589902 UOK589904 UOK655438 UOK655440 UOK720974 UOK720976 UOK786510 UOK786512 UOK852046 UOK852048 UOK917582 UOK917584 UOK983118 UOK983120 UYG57 UYG59 UYG65614 UYG65616 UYG131150 UYG131152 UYG196686 UYG196688 UYG262222 UYG262224 UYG327758 UYG327760 UYG393294 UYG393296 UYG458830 UYG458832 UYG524366 UYG524368 UYG589902 UYG589904 UYG655438 UYG655440 UYG720974 UYG720976 UYG786510 UYG786512 UYG852046 UYG852048 UYG917582 UYG917584 UYG983118 UYG983120 VIC57 VIC59 VIC65614 VIC65616 VIC131150 VIC131152 VIC196686 VIC196688 VIC262222 VIC262224 VIC327758 VIC327760 VIC393294 VIC393296 VIC458830 VIC458832 VIC524366 VIC524368 VIC589902 VIC589904 VIC655438 VIC655440 VIC720974 VIC720976 VIC786510 VIC786512 VIC852046 VIC852048 VIC917582 VIC917584 VIC983118 VIC983120 VRY57 VRY59 VRY65614 VRY65616 VRY131150 VRY131152 VRY196686 VRY196688 VRY262222 VRY262224 VRY327758 VRY327760 VRY393294 VRY393296 VRY458830 VRY458832 VRY524366 VRY524368 VRY589902 VRY589904 VRY655438 VRY655440 VRY720974 VRY720976 VRY786510 VRY786512 VRY852046 VRY852048 VRY917582 VRY917584 VRY983118 VRY983120 WBU57 WBU59 WBU65614 WBU65616 WBU131150 WBU131152 WBU196686 WBU196688 WBU262222 WBU262224 WBU327758 WBU327760 WBU393294 WBU393296 WBU458830 WBU458832 WBU524366 WBU524368 WBU589902 WBU589904 WBU655438 WBU655440 WBU720974 WBU720976 WBU786510 WBU786512 WBU852046 WBU852048 WBU917582 WBU917584 WBU983118 WBU983120 WLQ57 WLQ59 WLQ65614 WLQ65616 WLQ131150 WLQ131152 WLQ196686 WLQ196688 WLQ262222 WLQ262224 WLQ327758 WLQ327760 WLQ393294 WLQ393296 WLQ458830 WLQ458832 WLQ524366 WLQ524368 WLQ589902 WLQ589904 WLQ655438 WLQ655440 WLQ720974 WLQ720976 WLQ786510 WLQ786512 WLQ852046 WLQ852048 WLQ917582 WLQ917584 WLQ983118 WLQ983120 WVM57 WVM59 WVM65614 WVM65616 WVM131150 WVM131152 WVM196686 WVM196688 WVM262222 WVM262224 WVM327758 WVM327760 WVM393294 WVM393296 WVM458830 WVM458832 WVM524366 WVM524368 WVM589902 WVM589904 WVM655438 WVM655440 WVM720974 WVM720976 WVM786510 WVM786512 WVM852046 WVM852048 WVM917582 WVM917584 WVM983118 WVM983120" xr:uid="{00000000-0002-0000-0000-000005000000}">
      <formula1>"EBITDA,EBITA,EBIT,PBT,NPAT"</formula1>
    </dataValidation>
    <dataValidation type="list" allowBlank="1" showInputMessage="1" showErrorMessage="1" sqref="D59" xr:uid="{00000000-0002-0000-0000-000006000000}">
      <formula1>"Gross Profit Margin,EBITDA Margin,EBITA Margin,EBIT Margin,Operating Profit Margin,PBT Margin,NPAT Margin"</formula1>
    </dataValidation>
    <dataValidation type="list" allowBlank="1" showInputMessage="1" showErrorMessage="1" sqref="D57" xr:uid="{00000000-0002-0000-0000-000007000000}">
      <formula1>"Gross Profit,EBITDA,EBITA,EBIT,Operating Profit,PBT,NPAT"</formula1>
    </dataValidation>
  </dataValidations>
  <pageMargins left="0.70866141732283472" right="0.70866141732283472" top="0.74803149606299213" bottom="0.74803149606299213" header="0.31496062992125978" footer="0.31496062992125978"/>
  <pageSetup scale="13"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1"/>
  </sheetPr>
  <dimension ref="A1"/>
  <sheetViews>
    <sheetView workbookViewId="0">
      <selection activeCell="C43" sqref="C43"/>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3" tint="0.79998168889431442"/>
    <pageSetUpPr autoPageBreaks="0"/>
  </sheetPr>
  <dimension ref="A1:AN659"/>
  <sheetViews>
    <sheetView showGridLines="0" tabSelected="1" zoomScaleNormal="100" workbookViewId="0">
      <pane xSplit="3" ySplit="4" topLeftCell="D292" activePane="bottomRight" state="frozen"/>
      <selection activeCell="C43" sqref="C43"/>
      <selection pane="topRight" activeCell="C43" sqref="C43"/>
      <selection pane="bottomLeft" activeCell="C43" sqref="C43"/>
      <selection pane="bottomRight" activeCell="Q307" sqref="Q307"/>
    </sheetView>
  </sheetViews>
  <sheetFormatPr defaultColWidth="0" defaultRowHeight="11.25" outlineLevelRow="2" outlineLevelCol="1"/>
  <cols>
    <col min="1" max="1" width="13.5703125" style="1" customWidth="1"/>
    <col min="2" max="2" width="42.85546875" style="1" bestFit="1" customWidth="1"/>
    <col min="3" max="3" width="7.140625" style="36" bestFit="1" customWidth="1"/>
    <col min="4" max="4" width="9" style="1" bestFit="1" customWidth="1"/>
    <col min="5" max="12" width="8.7109375" style="1" customWidth="1" outlineLevel="1"/>
    <col min="13" max="40" width="8.7109375" style="1" customWidth="1"/>
    <col min="41" max="41" width="9.140625" style="1" hidden="1" customWidth="1"/>
    <col min="42" max="16384" width="9.140625" style="1" hidden="1"/>
  </cols>
  <sheetData>
    <row r="1" spans="1:40">
      <c r="E1" s="542" t="s">
        <v>0</v>
      </c>
      <c r="F1" s="542"/>
      <c r="G1" s="542"/>
      <c r="H1" s="542"/>
      <c r="I1" s="542"/>
      <c r="J1" s="542"/>
      <c r="K1" s="542"/>
      <c r="L1" s="542"/>
      <c r="M1" s="542"/>
      <c r="N1" s="542"/>
      <c r="O1" s="618" t="s">
        <v>1</v>
      </c>
      <c r="P1" s="618"/>
      <c r="S1" s="1" t="s">
        <v>2</v>
      </c>
      <c r="T1" s="568">
        <f>S325+T325</f>
        <v>233.7</v>
      </c>
      <c r="U1" s="1" t="s">
        <v>3</v>
      </c>
      <c r="V1" s="568">
        <f>U325+V325</f>
        <v>181.6</v>
      </c>
      <c r="W1" s="1" t="s">
        <v>4</v>
      </c>
      <c r="X1" s="568">
        <f>W325+X325</f>
        <v>183.18613519999997</v>
      </c>
      <c r="Y1" s="1" t="s">
        <v>5</v>
      </c>
      <c r="Z1" s="568">
        <f>Y325+Z325</f>
        <v>204.83214634399997</v>
      </c>
    </row>
    <row r="2" spans="1:40" s="649" customFormat="1">
      <c r="B2" s="649" t="s">
        <v>6</v>
      </c>
      <c r="C2" s="650">
        <f>SUM(E2:AL2)</f>
        <v>0</v>
      </c>
      <c r="E2" s="650">
        <f t="shared" ref="E2:AN2" si="0">E623</f>
        <v>0</v>
      </c>
      <c r="F2" s="650">
        <f t="shared" si="0"/>
        <v>0</v>
      </c>
      <c r="G2" s="650">
        <f t="shared" si="0"/>
        <v>0</v>
      </c>
      <c r="H2" s="650">
        <f t="shared" si="0"/>
        <v>0</v>
      </c>
      <c r="I2" s="650">
        <f t="shared" si="0"/>
        <v>0</v>
      </c>
      <c r="J2" s="650">
        <f t="shared" si="0"/>
        <v>0</v>
      </c>
      <c r="K2" s="650">
        <f t="shared" si="0"/>
        <v>0</v>
      </c>
      <c r="L2" s="650">
        <f t="shared" si="0"/>
        <v>0</v>
      </c>
      <c r="M2" s="650">
        <f t="shared" si="0"/>
        <v>0</v>
      </c>
      <c r="N2" s="650">
        <f t="shared" si="0"/>
        <v>0</v>
      </c>
      <c r="O2" s="650">
        <f t="shared" si="0"/>
        <v>0</v>
      </c>
      <c r="P2" s="650">
        <f t="shared" si="0"/>
        <v>0</v>
      </c>
      <c r="Q2" s="650">
        <f t="shared" si="0"/>
        <v>0</v>
      </c>
      <c r="R2" s="650">
        <f t="shared" si="0"/>
        <v>0</v>
      </c>
      <c r="S2" s="650">
        <f t="shared" si="0"/>
        <v>0</v>
      </c>
      <c r="T2" s="650">
        <f t="shared" si="0"/>
        <v>0</v>
      </c>
      <c r="U2" s="650">
        <f t="shared" si="0"/>
        <v>0</v>
      </c>
      <c r="V2" s="650">
        <f t="shared" si="0"/>
        <v>0</v>
      </c>
      <c r="W2" s="650">
        <f t="shared" si="0"/>
        <v>0</v>
      </c>
      <c r="X2" s="650">
        <f t="shared" si="0"/>
        <v>0</v>
      </c>
      <c r="Y2" s="650">
        <f t="shared" si="0"/>
        <v>0</v>
      </c>
      <c r="Z2" s="650">
        <f t="shared" si="0"/>
        <v>0</v>
      </c>
      <c r="AA2" s="650">
        <f t="shared" si="0"/>
        <v>0</v>
      </c>
      <c r="AB2" s="650">
        <f t="shared" si="0"/>
        <v>0</v>
      </c>
      <c r="AC2" s="650">
        <f t="shared" si="0"/>
        <v>0</v>
      </c>
      <c r="AD2" s="650">
        <f t="shared" si="0"/>
        <v>0</v>
      </c>
      <c r="AE2" s="650">
        <f t="shared" si="0"/>
        <v>0</v>
      </c>
      <c r="AF2" s="650">
        <f t="shared" si="0"/>
        <v>0</v>
      </c>
      <c r="AG2" s="650">
        <f t="shared" si="0"/>
        <v>0</v>
      </c>
      <c r="AH2" s="650">
        <f t="shared" si="0"/>
        <v>0</v>
      </c>
      <c r="AI2" s="650">
        <f t="shared" si="0"/>
        <v>0</v>
      </c>
      <c r="AJ2" s="650">
        <f t="shared" si="0"/>
        <v>0</v>
      </c>
      <c r="AK2" s="650">
        <f t="shared" si="0"/>
        <v>0</v>
      </c>
      <c r="AL2" s="650">
        <f t="shared" si="0"/>
        <v>0</v>
      </c>
      <c r="AM2" s="650">
        <f t="shared" si="0"/>
        <v>0</v>
      </c>
      <c r="AN2" s="650">
        <f t="shared" si="0"/>
        <v>0</v>
      </c>
    </row>
    <row r="3" spans="1:40" s="115" customFormat="1">
      <c r="A3" s="117" t="s">
        <v>7</v>
      </c>
      <c r="B3" s="116" t="s">
        <v>8</v>
      </c>
      <c r="C3" s="201">
        <f ca="1">D654</f>
        <v>0.65016617148967304</v>
      </c>
      <c r="D3" s="232" t="s">
        <v>9</v>
      </c>
      <c r="E3" s="234" t="str">
        <f t="shared" ref="E3:AN3" si="1">E8&amp;E10</f>
        <v>1H18A</v>
      </c>
      <c r="F3" s="233" t="str">
        <f t="shared" si="1"/>
        <v>2H18A</v>
      </c>
      <c r="G3" s="234" t="str">
        <f t="shared" si="1"/>
        <v>1H19A</v>
      </c>
      <c r="H3" s="233" t="str">
        <f t="shared" si="1"/>
        <v>2H19A</v>
      </c>
      <c r="I3" s="234" t="str">
        <f t="shared" si="1"/>
        <v>1H20A</v>
      </c>
      <c r="J3" s="233" t="str">
        <f t="shared" si="1"/>
        <v>2H20A</v>
      </c>
      <c r="K3" s="234" t="str">
        <f t="shared" si="1"/>
        <v>1H21A</v>
      </c>
      <c r="L3" s="233" t="str">
        <f t="shared" si="1"/>
        <v>2H21A</v>
      </c>
      <c r="M3" s="234" t="str">
        <f t="shared" si="1"/>
        <v>1H22A</v>
      </c>
      <c r="N3" s="233" t="str">
        <f t="shared" si="1"/>
        <v>2H22A</v>
      </c>
      <c r="O3" s="234" t="str">
        <f t="shared" si="1"/>
        <v>1H23A</v>
      </c>
      <c r="P3" s="233" t="str">
        <f t="shared" si="1"/>
        <v>2H23A</v>
      </c>
      <c r="Q3" s="234" t="str">
        <f t="shared" si="1"/>
        <v>1H24A</v>
      </c>
      <c r="R3" s="233" t="str">
        <f t="shared" si="1"/>
        <v>2H24A</v>
      </c>
      <c r="S3" s="234" t="str">
        <f t="shared" si="1"/>
        <v>1H25A</v>
      </c>
      <c r="T3" s="233" t="str">
        <f t="shared" si="1"/>
        <v>2H25A</v>
      </c>
      <c r="U3" s="234" t="str">
        <f t="shared" si="1"/>
        <v>1H26A</v>
      </c>
      <c r="V3" s="233" t="str">
        <f t="shared" si="1"/>
        <v>2H26E</v>
      </c>
      <c r="W3" s="234" t="str">
        <f t="shared" si="1"/>
        <v>1H27E</v>
      </c>
      <c r="X3" s="233" t="str">
        <f t="shared" si="1"/>
        <v>2H27E</v>
      </c>
      <c r="Y3" s="234" t="str">
        <f t="shared" si="1"/>
        <v>1H28E</v>
      </c>
      <c r="Z3" s="233" t="str">
        <f t="shared" si="1"/>
        <v>2H28E</v>
      </c>
      <c r="AA3" s="234" t="str">
        <f t="shared" si="1"/>
        <v>1H29E</v>
      </c>
      <c r="AB3" s="233" t="str">
        <f t="shared" si="1"/>
        <v>2H29E</v>
      </c>
      <c r="AC3" s="234" t="str">
        <f t="shared" si="1"/>
        <v>1H30E</v>
      </c>
      <c r="AD3" s="233" t="str">
        <f t="shared" si="1"/>
        <v>2H30E</v>
      </c>
      <c r="AE3" s="234" t="str">
        <f t="shared" si="1"/>
        <v>1H31E</v>
      </c>
      <c r="AF3" s="233" t="str">
        <f t="shared" si="1"/>
        <v>2H31E</v>
      </c>
      <c r="AG3" s="234" t="str">
        <f t="shared" si="1"/>
        <v>1H32E</v>
      </c>
      <c r="AH3" s="233" t="str">
        <f t="shared" si="1"/>
        <v>2H32E</v>
      </c>
      <c r="AI3" s="234" t="str">
        <f t="shared" si="1"/>
        <v>1H33E</v>
      </c>
      <c r="AJ3" s="233" t="str">
        <f t="shared" si="1"/>
        <v>2H33E</v>
      </c>
      <c r="AK3" s="234" t="str">
        <f t="shared" si="1"/>
        <v>1H34E</v>
      </c>
      <c r="AL3" s="233" t="str">
        <f t="shared" si="1"/>
        <v>2H34E</v>
      </c>
      <c r="AM3" s="234" t="str">
        <f t="shared" si="1"/>
        <v>1H35E</v>
      </c>
      <c r="AN3" s="233" t="str">
        <f t="shared" si="1"/>
        <v>2H35E</v>
      </c>
    </row>
    <row r="4" spans="1:40" s="36" customFormat="1">
      <c r="B4" s="109" t="s">
        <v>10</v>
      </c>
      <c r="C4" s="52"/>
      <c r="D4" s="37"/>
      <c r="E4" s="235">
        <v>43100</v>
      </c>
      <c r="F4" s="236">
        <f t="shared" ref="F4:AN4" si="2">EOMONTH(E4,6)</f>
        <v>43281</v>
      </c>
      <c r="G4" s="235">
        <f t="shared" si="2"/>
        <v>43465</v>
      </c>
      <c r="H4" s="236">
        <f t="shared" si="2"/>
        <v>43646</v>
      </c>
      <c r="I4" s="235">
        <f t="shared" si="2"/>
        <v>43830</v>
      </c>
      <c r="J4" s="236">
        <f t="shared" si="2"/>
        <v>44012</v>
      </c>
      <c r="K4" s="235">
        <f t="shared" si="2"/>
        <v>44196</v>
      </c>
      <c r="L4" s="236">
        <f t="shared" si="2"/>
        <v>44377</v>
      </c>
      <c r="M4" s="235">
        <f t="shared" si="2"/>
        <v>44561</v>
      </c>
      <c r="N4" s="236">
        <f t="shared" si="2"/>
        <v>44742</v>
      </c>
      <c r="O4" s="235">
        <f t="shared" si="2"/>
        <v>44926</v>
      </c>
      <c r="P4" s="236">
        <f t="shared" si="2"/>
        <v>45107</v>
      </c>
      <c r="Q4" s="235">
        <f t="shared" si="2"/>
        <v>45291</v>
      </c>
      <c r="R4" s="236">
        <f t="shared" si="2"/>
        <v>45473</v>
      </c>
      <c r="S4" s="235">
        <f t="shared" si="2"/>
        <v>45657</v>
      </c>
      <c r="T4" s="236">
        <f t="shared" si="2"/>
        <v>45838</v>
      </c>
      <c r="U4" s="235">
        <f t="shared" si="2"/>
        <v>46022</v>
      </c>
      <c r="V4" s="236">
        <f t="shared" si="2"/>
        <v>46203</v>
      </c>
      <c r="W4" s="235">
        <f t="shared" si="2"/>
        <v>46387</v>
      </c>
      <c r="X4" s="236">
        <f t="shared" si="2"/>
        <v>46568</v>
      </c>
      <c r="Y4" s="235">
        <f t="shared" si="2"/>
        <v>46752</v>
      </c>
      <c r="Z4" s="236">
        <f t="shared" si="2"/>
        <v>46934</v>
      </c>
      <c r="AA4" s="235">
        <f t="shared" si="2"/>
        <v>47118</v>
      </c>
      <c r="AB4" s="236">
        <f t="shared" si="2"/>
        <v>47299</v>
      </c>
      <c r="AC4" s="235">
        <f t="shared" si="2"/>
        <v>47483</v>
      </c>
      <c r="AD4" s="236">
        <f t="shared" si="2"/>
        <v>47664</v>
      </c>
      <c r="AE4" s="235">
        <f t="shared" si="2"/>
        <v>47848</v>
      </c>
      <c r="AF4" s="236">
        <f t="shared" si="2"/>
        <v>48029</v>
      </c>
      <c r="AG4" s="235">
        <f t="shared" si="2"/>
        <v>48213</v>
      </c>
      <c r="AH4" s="236">
        <f t="shared" si="2"/>
        <v>48395</v>
      </c>
      <c r="AI4" s="235">
        <f t="shared" si="2"/>
        <v>48579</v>
      </c>
      <c r="AJ4" s="236">
        <f t="shared" si="2"/>
        <v>48760</v>
      </c>
      <c r="AK4" s="235">
        <f t="shared" si="2"/>
        <v>48944</v>
      </c>
      <c r="AL4" s="236">
        <f t="shared" si="2"/>
        <v>49125</v>
      </c>
      <c r="AM4" s="235">
        <f t="shared" si="2"/>
        <v>49309</v>
      </c>
      <c r="AN4" s="236">
        <f t="shared" si="2"/>
        <v>49490</v>
      </c>
    </row>
    <row r="6" spans="1:40" s="36" customFormat="1">
      <c r="A6" s="109"/>
      <c r="B6" s="124" t="s">
        <v>11</v>
      </c>
      <c r="C6" s="110"/>
      <c r="D6" s="121"/>
      <c r="E6" s="113" t="str">
        <f t="array" ref="E6">_xlfn.IFS(AND(MONTH(E$4)&gt;=7,MONTH(E$4)&lt;=12),"1H",AND(MONTH(E$4)&gt;=1,MONTH(E$4)&lt;=6),"2H")</f>
        <v>1H</v>
      </c>
      <c r="F6" s="113" t="str">
        <f t="array" ref="F6">_xlfn.IFS(AND(MONTH(F$4)&gt;=7,MONTH(F$4)&lt;=12),"1H",AND(MONTH(F$4)&gt;=1,MONTH(F$4)&lt;=6),"2H")</f>
        <v>2H</v>
      </c>
      <c r="G6" s="113" t="str">
        <f t="array" ref="G6">_xlfn.IFS(AND(MONTH(G$4)&gt;=7,MONTH(G$4)&lt;=12),"1H",AND(MONTH(G$4)&gt;=1,MONTH(G$4)&lt;=6),"2H")</f>
        <v>1H</v>
      </c>
      <c r="H6" s="113" t="str">
        <f t="array" ref="H6">_xlfn.IFS(AND(MONTH(H$4)&gt;=7,MONTH(H$4)&lt;=12),"1H",AND(MONTH(H$4)&gt;=1,MONTH(H$4)&lt;=6),"2H")</f>
        <v>2H</v>
      </c>
      <c r="I6" s="113" t="str">
        <f t="array" ref="I6">_xlfn.IFS(AND(MONTH(I$4)&gt;=7,MONTH(I$4)&lt;=12),"1H",AND(MONTH(I$4)&gt;=1,MONTH(I$4)&lt;=6),"2H")</f>
        <v>1H</v>
      </c>
      <c r="J6" s="113" t="str">
        <f t="array" ref="J6">_xlfn.IFS(AND(MONTH(J$4)&gt;=7,MONTH(J$4)&lt;=12),"1H",AND(MONTH(J$4)&gt;=1,MONTH(J$4)&lt;=6),"2H")</f>
        <v>2H</v>
      </c>
      <c r="K6" s="113" t="str">
        <f t="array" ref="K6">_xlfn.IFS(AND(MONTH(K$4)&gt;=7,MONTH(K$4)&lt;=12),"1H",AND(MONTH(K$4)&gt;=1,MONTH(K$4)&lt;=6),"2H")</f>
        <v>1H</v>
      </c>
      <c r="L6" s="113" t="str">
        <f t="array" ref="L6">_xlfn.IFS(AND(MONTH(L$4)&gt;=7,MONTH(L$4)&lt;=12),"1H",AND(MONTH(L$4)&gt;=1,MONTH(L$4)&lt;=6),"2H")</f>
        <v>2H</v>
      </c>
      <c r="M6" s="113" t="str">
        <f t="array" ref="M6">_xlfn.IFS(AND(MONTH(M$4)&gt;=7,MONTH(M$4)&lt;=12),"1H",AND(MONTH(M$4)&gt;=1,MONTH(M$4)&lt;=6),"2H")</f>
        <v>1H</v>
      </c>
      <c r="N6" s="113" t="str">
        <f t="array" ref="N6">_xlfn.IFS(AND(MONTH(N$4)&gt;=7,MONTH(N$4)&lt;=12),"1H",AND(MONTH(N$4)&gt;=1,MONTH(N$4)&lt;=6),"2H")</f>
        <v>2H</v>
      </c>
      <c r="O6" s="113" t="str">
        <f t="array" ref="O6">_xlfn.IFS(AND(MONTH(O$4)&gt;=7,MONTH(O$4)&lt;=12),"1H",AND(MONTH(O$4)&gt;=1,MONTH(O$4)&lt;=6),"2H")</f>
        <v>1H</v>
      </c>
      <c r="P6" s="113" t="str">
        <f t="array" ref="P6">_xlfn.IFS(AND(MONTH(P$4)&gt;=7,MONTH(P$4)&lt;=12),"1H",AND(MONTH(P$4)&gt;=1,MONTH(P$4)&lt;=6),"2H")</f>
        <v>2H</v>
      </c>
      <c r="Q6" s="113" t="str">
        <f t="array" ref="Q6">_xlfn.IFS(AND(MONTH(Q$4)&gt;=7,MONTH(Q$4)&lt;=12),"1H",AND(MONTH(Q$4)&gt;=1,MONTH(Q$4)&lt;=6),"2H")</f>
        <v>1H</v>
      </c>
      <c r="R6" s="113" t="str">
        <f t="array" ref="R6">_xlfn.IFS(AND(MONTH(R$4)&gt;=7,MONTH(R$4)&lt;=12),"1H",AND(MONTH(R$4)&gt;=1,MONTH(R$4)&lt;=6),"2H")</f>
        <v>2H</v>
      </c>
      <c r="S6" s="113" t="str">
        <f t="array" ref="S6">_xlfn.IFS(AND(MONTH(S$4)&gt;=7,MONTH(S$4)&lt;=12),"1H",AND(MONTH(S$4)&gt;=1,MONTH(S$4)&lt;=6),"2H")</f>
        <v>1H</v>
      </c>
      <c r="T6" s="113" t="str">
        <f t="array" ref="T6">_xlfn.IFS(AND(MONTH(T$4)&gt;=7,MONTH(T$4)&lt;=12),"1H",AND(MONTH(T$4)&gt;=1,MONTH(T$4)&lt;=6),"2H")</f>
        <v>2H</v>
      </c>
      <c r="U6" s="113" t="str">
        <f t="array" ref="U6">_xlfn.IFS(AND(MONTH(U$4)&gt;=7,MONTH(U$4)&lt;=12),"1H",AND(MONTH(U$4)&gt;=1,MONTH(U$4)&lt;=6),"2H")</f>
        <v>1H</v>
      </c>
      <c r="V6" s="113" t="str">
        <f t="array" ref="V6">_xlfn.IFS(AND(MONTH(V$4)&gt;=7,MONTH(V$4)&lt;=12),"1H",AND(MONTH(V$4)&gt;=1,MONTH(V$4)&lt;=6),"2H")</f>
        <v>2H</v>
      </c>
      <c r="W6" s="113" t="str">
        <f t="array" ref="W6">_xlfn.IFS(AND(MONTH(W$4)&gt;=7,MONTH(W$4)&lt;=12),"1H",AND(MONTH(W$4)&gt;=1,MONTH(W$4)&lt;=6),"2H")</f>
        <v>1H</v>
      </c>
      <c r="X6" s="113" t="str">
        <f t="array" ref="X6">_xlfn.IFS(AND(MONTH(X$4)&gt;=7,MONTH(X$4)&lt;=12),"1H",AND(MONTH(X$4)&gt;=1,MONTH(X$4)&lt;=6),"2H")</f>
        <v>2H</v>
      </c>
      <c r="Y6" s="113" t="str">
        <f t="array" ref="Y6">_xlfn.IFS(AND(MONTH(Y$4)&gt;=7,MONTH(Y$4)&lt;=12),"1H",AND(MONTH(Y$4)&gt;=1,MONTH(Y$4)&lt;=6),"2H")</f>
        <v>1H</v>
      </c>
      <c r="Z6" s="113" t="str">
        <f t="array" ref="Z6">_xlfn.IFS(AND(MONTH(Z$4)&gt;=7,MONTH(Z$4)&lt;=12),"1H",AND(MONTH(Z$4)&gt;=1,MONTH(Z$4)&lt;=6),"2H")</f>
        <v>2H</v>
      </c>
      <c r="AA6" s="113" t="str">
        <f t="array" ref="AA6">_xlfn.IFS(AND(MONTH(AA$4)&gt;=7,MONTH(AA$4)&lt;=12),"1H",AND(MONTH(AA$4)&gt;=1,MONTH(AA$4)&lt;=6),"2H")</f>
        <v>1H</v>
      </c>
      <c r="AB6" s="113" t="str">
        <f t="array" ref="AB6">_xlfn.IFS(AND(MONTH(AB$4)&gt;=7,MONTH(AB$4)&lt;=12),"1H",AND(MONTH(AB$4)&gt;=1,MONTH(AB$4)&lt;=6),"2H")</f>
        <v>2H</v>
      </c>
      <c r="AC6" s="113" t="str">
        <f t="array" ref="AC6">_xlfn.IFS(AND(MONTH(AC$4)&gt;=7,MONTH(AC$4)&lt;=12),"1H",AND(MONTH(AC$4)&gt;=1,MONTH(AC$4)&lt;=6),"2H")</f>
        <v>1H</v>
      </c>
      <c r="AD6" s="113" t="str">
        <f t="array" ref="AD6">_xlfn.IFS(AND(MONTH(AD$4)&gt;=7,MONTH(AD$4)&lt;=12),"1H",AND(MONTH(AD$4)&gt;=1,MONTH(AD$4)&lt;=6),"2H")</f>
        <v>2H</v>
      </c>
      <c r="AE6" s="113" t="str">
        <f t="array" ref="AE6">_xlfn.IFS(AND(MONTH(AE$4)&gt;=7,MONTH(AE$4)&lt;=12),"1H",AND(MONTH(AE$4)&gt;=1,MONTH(AE$4)&lt;=6),"2H")</f>
        <v>1H</v>
      </c>
      <c r="AF6" s="113" t="str">
        <f t="array" ref="AF6">_xlfn.IFS(AND(MONTH(AF$4)&gt;=7,MONTH(AF$4)&lt;=12),"1H",AND(MONTH(AF$4)&gt;=1,MONTH(AF$4)&lt;=6),"2H")</f>
        <v>2H</v>
      </c>
      <c r="AG6" s="113" t="str">
        <f t="array" ref="AG6">_xlfn.IFS(AND(MONTH(AG$4)&gt;=7,MONTH(AG$4)&lt;=12),"1H",AND(MONTH(AG$4)&gt;=1,MONTH(AG$4)&lt;=6),"2H")</f>
        <v>1H</v>
      </c>
      <c r="AH6" s="113" t="str">
        <f t="array" ref="AH6">_xlfn.IFS(AND(MONTH(AH$4)&gt;=7,MONTH(AH$4)&lt;=12),"1H",AND(MONTH(AH$4)&gt;=1,MONTH(AH$4)&lt;=6),"2H")</f>
        <v>2H</v>
      </c>
      <c r="AI6" s="113" t="str">
        <f t="array" ref="AI6">_xlfn.IFS(AND(MONTH(AI$4)&gt;=7,MONTH(AI$4)&lt;=12),"1H",AND(MONTH(AI$4)&gt;=1,MONTH(AI$4)&lt;=6),"2H")</f>
        <v>1H</v>
      </c>
      <c r="AJ6" s="113" t="str">
        <f t="array" ref="AJ6">_xlfn.IFS(AND(MONTH(AJ$4)&gt;=7,MONTH(AJ$4)&lt;=12),"1H",AND(MONTH(AJ$4)&gt;=1,MONTH(AJ$4)&lt;=6),"2H")</f>
        <v>2H</v>
      </c>
      <c r="AK6" s="113" t="str">
        <f t="array" ref="AK6">_xlfn.IFS(AND(MONTH(AK$4)&gt;=7,MONTH(AK$4)&lt;=12),"1H",AND(MONTH(AK$4)&gt;=1,MONTH(AK$4)&lt;=6),"2H")</f>
        <v>1H</v>
      </c>
      <c r="AL6" s="113" t="str">
        <f t="array" ref="AL6">_xlfn.IFS(AND(MONTH(AL$4)&gt;=7,MONTH(AL$4)&lt;=12),"1H",AND(MONTH(AL$4)&gt;=1,MONTH(AL$4)&lt;=6),"2H")</f>
        <v>2H</v>
      </c>
      <c r="AM6" s="113" t="str">
        <f t="array" ref="AM6">_xlfn.IFS(AND(MONTH(AM$4)&gt;=7,MONTH(AM$4)&lt;=12),"1H",AND(MONTH(AM$4)&gt;=1,MONTH(AM$4)&lt;=6),"2H")</f>
        <v>1H</v>
      </c>
      <c r="AN6" s="113" t="str">
        <f t="array" ref="AN6">_xlfn.IFS(AND(MONTH(AN$4)&gt;=7,MONTH(AN$4)&lt;=12),"1H",AND(MONTH(AN$4)&gt;=1,MONTH(AN$4)&lt;=6),"2H")</f>
        <v>2H</v>
      </c>
    </row>
    <row r="7" spans="1:40" s="36" customFormat="1">
      <c r="A7" s="109"/>
      <c r="B7" s="124" t="s">
        <v>12</v>
      </c>
      <c r="C7" s="110"/>
      <c r="D7" s="122"/>
      <c r="E7" s="113">
        <f t="shared" ref="E7:AN7" si="3">IF(MONTH(E4)&gt;6,RIGHT(YEAR(E4),2)+1,RIGHT(YEAR(E4),2))</f>
        <v>18</v>
      </c>
      <c r="F7" s="113" t="str">
        <f t="shared" si="3"/>
        <v>18</v>
      </c>
      <c r="G7" s="113">
        <f t="shared" si="3"/>
        <v>19</v>
      </c>
      <c r="H7" s="113" t="str">
        <f t="shared" si="3"/>
        <v>19</v>
      </c>
      <c r="I7" s="113">
        <f t="shared" si="3"/>
        <v>20</v>
      </c>
      <c r="J7" s="113" t="str">
        <f t="shared" si="3"/>
        <v>20</v>
      </c>
      <c r="K7" s="113">
        <f t="shared" si="3"/>
        <v>21</v>
      </c>
      <c r="L7" s="113" t="str">
        <f t="shared" si="3"/>
        <v>21</v>
      </c>
      <c r="M7" s="113">
        <f t="shared" si="3"/>
        <v>22</v>
      </c>
      <c r="N7" s="113" t="str">
        <f t="shared" si="3"/>
        <v>22</v>
      </c>
      <c r="O7" s="113">
        <f t="shared" si="3"/>
        <v>23</v>
      </c>
      <c r="P7" s="113" t="str">
        <f t="shared" si="3"/>
        <v>23</v>
      </c>
      <c r="Q7" s="113">
        <f t="shared" si="3"/>
        <v>24</v>
      </c>
      <c r="R7" s="113" t="str">
        <f t="shared" si="3"/>
        <v>24</v>
      </c>
      <c r="S7" s="113">
        <f t="shared" si="3"/>
        <v>25</v>
      </c>
      <c r="T7" s="113" t="str">
        <f t="shared" si="3"/>
        <v>25</v>
      </c>
      <c r="U7" s="113">
        <f t="shared" si="3"/>
        <v>26</v>
      </c>
      <c r="V7" s="113" t="str">
        <f t="shared" si="3"/>
        <v>26</v>
      </c>
      <c r="W7" s="113">
        <f t="shared" si="3"/>
        <v>27</v>
      </c>
      <c r="X7" s="113" t="str">
        <f t="shared" si="3"/>
        <v>27</v>
      </c>
      <c r="Y7" s="113">
        <f t="shared" si="3"/>
        <v>28</v>
      </c>
      <c r="Z7" s="113" t="str">
        <f t="shared" si="3"/>
        <v>28</v>
      </c>
      <c r="AA7" s="113">
        <f t="shared" si="3"/>
        <v>29</v>
      </c>
      <c r="AB7" s="113" t="str">
        <f t="shared" si="3"/>
        <v>29</v>
      </c>
      <c r="AC7" s="113">
        <f t="shared" si="3"/>
        <v>30</v>
      </c>
      <c r="AD7" s="113" t="str">
        <f t="shared" si="3"/>
        <v>30</v>
      </c>
      <c r="AE7" s="113">
        <f t="shared" si="3"/>
        <v>31</v>
      </c>
      <c r="AF7" s="113" t="str">
        <f t="shared" si="3"/>
        <v>31</v>
      </c>
      <c r="AG7" s="113">
        <f t="shared" si="3"/>
        <v>32</v>
      </c>
      <c r="AH7" s="113" t="str">
        <f t="shared" si="3"/>
        <v>32</v>
      </c>
      <c r="AI7" s="113">
        <f t="shared" si="3"/>
        <v>33</v>
      </c>
      <c r="AJ7" s="113" t="str">
        <f t="shared" si="3"/>
        <v>33</v>
      </c>
      <c r="AK7" s="113">
        <f t="shared" si="3"/>
        <v>34</v>
      </c>
      <c r="AL7" s="113" t="str">
        <f t="shared" si="3"/>
        <v>34</v>
      </c>
      <c r="AM7" s="113">
        <f t="shared" si="3"/>
        <v>35</v>
      </c>
      <c r="AN7" s="113" t="str">
        <f t="shared" si="3"/>
        <v>35</v>
      </c>
    </row>
    <row r="8" spans="1:40" s="36" customFormat="1">
      <c r="A8" s="109"/>
      <c r="B8" s="124" t="s">
        <v>13</v>
      </c>
      <c r="C8" s="110"/>
      <c r="D8" s="122"/>
      <c r="E8" s="113" t="str">
        <f t="shared" ref="E8:AN8" si="4">E$6&amp;TEXT(E$7,"00")</f>
        <v>1H18</v>
      </c>
      <c r="F8" s="113" t="str">
        <f t="shared" si="4"/>
        <v>2H18</v>
      </c>
      <c r="G8" s="113" t="str">
        <f t="shared" si="4"/>
        <v>1H19</v>
      </c>
      <c r="H8" s="113" t="str">
        <f t="shared" si="4"/>
        <v>2H19</v>
      </c>
      <c r="I8" s="113" t="str">
        <f t="shared" si="4"/>
        <v>1H20</v>
      </c>
      <c r="J8" s="113" t="str">
        <f t="shared" si="4"/>
        <v>2H20</v>
      </c>
      <c r="K8" s="113" t="str">
        <f t="shared" si="4"/>
        <v>1H21</v>
      </c>
      <c r="L8" s="113" t="str">
        <f t="shared" si="4"/>
        <v>2H21</v>
      </c>
      <c r="M8" s="113" t="str">
        <f t="shared" si="4"/>
        <v>1H22</v>
      </c>
      <c r="N8" s="113" t="str">
        <f t="shared" si="4"/>
        <v>2H22</v>
      </c>
      <c r="O8" s="113" t="str">
        <f t="shared" si="4"/>
        <v>1H23</v>
      </c>
      <c r="P8" s="113" t="str">
        <f t="shared" si="4"/>
        <v>2H23</v>
      </c>
      <c r="Q8" s="113" t="str">
        <f t="shared" si="4"/>
        <v>1H24</v>
      </c>
      <c r="R8" s="113" t="str">
        <f t="shared" si="4"/>
        <v>2H24</v>
      </c>
      <c r="S8" s="113" t="str">
        <f t="shared" si="4"/>
        <v>1H25</v>
      </c>
      <c r="T8" s="113" t="str">
        <f t="shared" si="4"/>
        <v>2H25</v>
      </c>
      <c r="U8" s="113" t="str">
        <f t="shared" si="4"/>
        <v>1H26</v>
      </c>
      <c r="V8" s="113" t="str">
        <f t="shared" si="4"/>
        <v>2H26</v>
      </c>
      <c r="W8" s="113" t="str">
        <f t="shared" si="4"/>
        <v>1H27</v>
      </c>
      <c r="X8" s="113" t="str">
        <f t="shared" si="4"/>
        <v>2H27</v>
      </c>
      <c r="Y8" s="113" t="str">
        <f t="shared" si="4"/>
        <v>1H28</v>
      </c>
      <c r="Z8" s="113" t="str">
        <f t="shared" si="4"/>
        <v>2H28</v>
      </c>
      <c r="AA8" s="113" t="str">
        <f t="shared" si="4"/>
        <v>1H29</v>
      </c>
      <c r="AB8" s="113" t="str">
        <f t="shared" si="4"/>
        <v>2H29</v>
      </c>
      <c r="AC8" s="113" t="str">
        <f t="shared" si="4"/>
        <v>1H30</v>
      </c>
      <c r="AD8" s="113" t="str">
        <f t="shared" si="4"/>
        <v>2H30</v>
      </c>
      <c r="AE8" s="113" t="str">
        <f t="shared" si="4"/>
        <v>1H31</v>
      </c>
      <c r="AF8" s="113" t="str">
        <f t="shared" si="4"/>
        <v>2H31</v>
      </c>
      <c r="AG8" s="113" t="str">
        <f t="shared" si="4"/>
        <v>1H32</v>
      </c>
      <c r="AH8" s="113" t="str">
        <f t="shared" si="4"/>
        <v>2H32</v>
      </c>
      <c r="AI8" s="113" t="str">
        <f t="shared" si="4"/>
        <v>1H33</v>
      </c>
      <c r="AJ8" s="113" t="str">
        <f t="shared" si="4"/>
        <v>2H33</v>
      </c>
      <c r="AK8" s="113" t="str">
        <f t="shared" si="4"/>
        <v>1H34</v>
      </c>
      <c r="AL8" s="113" t="str">
        <f t="shared" si="4"/>
        <v>2H34</v>
      </c>
      <c r="AM8" s="113" t="str">
        <f t="shared" si="4"/>
        <v>1H35</v>
      </c>
      <c r="AN8" s="113" t="str">
        <f t="shared" si="4"/>
        <v>2H35</v>
      </c>
    </row>
    <row r="9" spans="1:40" s="111" customFormat="1">
      <c r="B9" s="124" t="s">
        <v>14</v>
      </c>
      <c r="C9" s="112"/>
      <c r="E9" s="113">
        <f t="array" ref="E9">_xlfn.IFS(MONTH(E$4)=12,YEAR(E$4)+1,MONTH(E$4)=6,YEAR(E$4))</f>
        <v>2018</v>
      </c>
      <c r="F9" s="113">
        <f t="array" ref="F9">_xlfn.IFS(MONTH(F$4)=12,YEAR(F$4)+1,MONTH(F$4)=6,YEAR(F$4))</f>
        <v>2018</v>
      </c>
      <c r="G9" s="113">
        <f t="array" ref="G9">_xlfn.IFS(MONTH(G$4)=12,YEAR(G$4)+1,MONTH(G$4)=6,YEAR(G$4))</f>
        <v>2019</v>
      </c>
      <c r="H9" s="113">
        <f t="array" ref="H9">_xlfn.IFS(MONTH(H$4)=12,YEAR(H$4)+1,MONTH(H$4)=6,YEAR(H$4))</f>
        <v>2019</v>
      </c>
      <c r="I9" s="113">
        <f t="array" ref="I9">_xlfn.IFS(MONTH(I$4)=12,YEAR(I$4)+1,MONTH(I$4)=6,YEAR(I$4))</f>
        <v>2020</v>
      </c>
      <c r="J9" s="113">
        <f t="array" ref="J9">_xlfn.IFS(MONTH(J$4)=12,YEAR(J$4)+1,MONTH(J$4)=6,YEAR(J$4))</f>
        <v>2020</v>
      </c>
      <c r="K9" s="113">
        <f t="array" ref="K9">_xlfn.IFS(MONTH(K$4)=12,YEAR(K$4)+1,MONTH(K$4)=6,YEAR(K$4))</f>
        <v>2021</v>
      </c>
      <c r="L9" s="113">
        <f t="array" ref="L9">_xlfn.IFS(MONTH(L$4)=12,YEAR(L$4)+1,MONTH(L$4)=6,YEAR(L$4))</f>
        <v>2021</v>
      </c>
      <c r="M9" s="113">
        <f t="array" ref="M9">_xlfn.IFS(MONTH(M$4)=12,YEAR(M$4)+1,MONTH(M$4)=6,YEAR(M$4))</f>
        <v>2022</v>
      </c>
      <c r="N9" s="113">
        <f t="array" ref="N9">_xlfn.IFS(MONTH(N$4)=12,YEAR(N$4)+1,MONTH(N$4)=6,YEAR(N$4))</f>
        <v>2022</v>
      </c>
      <c r="O9" s="113">
        <f t="array" ref="O9">_xlfn.IFS(MONTH(O$4)=12,YEAR(O$4)+1,MONTH(O$4)=6,YEAR(O$4))</f>
        <v>2023</v>
      </c>
      <c r="P9" s="113">
        <f t="array" ref="P9">_xlfn.IFS(MONTH(P$4)=12,YEAR(P$4)+1,MONTH(P$4)=6,YEAR(P$4))</f>
        <v>2023</v>
      </c>
      <c r="Q9" s="113">
        <f t="array" ref="Q9">_xlfn.IFS(MONTH(Q$4)=12,YEAR(Q$4)+1,MONTH(Q$4)=6,YEAR(Q$4))</f>
        <v>2024</v>
      </c>
      <c r="R9" s="113">
        <f t="array" ref="R9">_xlfn.IFS(MONTH(R$4)=12,YEAR(R$4)+1,MONTH(R$4)=6,YEAR(R$4))</f>
        <v>2024</v>
      </c>
      <c r="S9" s="113">
        <f t="array" ref="S9">_xlfn.IFS(MONTH(S$4)=12,YEAR(S$4)+1,MONTH(S$4)=6,YEAR(S$4))</f>
        <v>2025</v>
      </c>
      <c r="T9" s="113">
        <f t="array" ref="T9">_xlfn.IFS(MONTH(T$4)=12,YEAR(T$4)+1,MONTH(T$4)=6,YEAR(T$4))</f>
        <v>2025</v>
      </c>
      <c r="U9" s="113">
        <f t="array" ref="U9">_xlfn.IFS(MONTH(U$4)=12,YEAR(U$4)+1,MONTH(U$4)=6,YEAR(U$4))</f>
        <v>2026</v>
      </c>
      <c r="V9" s="113">
        <f t="array" ref="V9">_xlfn.IFS(MONTH(V$4)=12,YEAR(V$4)+1,MONTH(V$4)=6,YEAR(V$4))</f>
        <v>2026</v>
      </c>
      <c r="W9" s="113">
        <f t="array" ref="W9">_xlfn.IFS(MONTH(W$4)=12,YEAR(W$4)+1,MONTH(W$4)=6,YEAR(W$4))</f>
        <v>2027</v>
      </c>
      <c r="X9" s="113">
        <f t="array" ref="X9">_xlfn.IFS(MONTH(X$4)=12,YEAR(X$4)+1,MONTH(X$4)=6,YEAR(X$4))</f>
        <v>2027</v>
      </c>
      <c r="Y9" s="113">
        <f t="array" ref="Y9">_xlfn.IFS(MONTH(Y$4)=12,YEAR(Y$4)+1,MONTH(Y$4)=6,YEAR(Y$4))</f>
        <v>2028</v>
      </c>
      <c r="Z9" s="113">
        <f t="array" ref="Z9">_xlfn.IFS(MONTH(Z$4)=12,YEAR(Z$4)+1,MONTH(Z$4)=6,YEAR(Z$4))</f>
        <v>2028</v>
      </c>
      <c r="AA9" s="113">
        <f t="array" ref="AA9">_xlfn.IFS(MONTH(AA$4)=12,YEAR(AA$4)+1,MONTH(AA$4)=6,YEAR(AA$4))</f>
        <v>2029</v>
      </c>
      <c r="AB9" s="113">
        <f t="array" ref="AB9">_xlfn.IFS(MONTH(AB$4)=12,YEAR(AB$4)+1,MONTH(AB$4)=6,YEAR(AB$4))</f>
        <v>2029</v>
      </c>
      <c r="AC9" s="113">
        <f t="array" ref="AC9">_xlfn.IFS(MONTH(AC$4)=12,YEAR(AC$4)+1,MONTH(AC$4)=6,YEAR(AC$4))</f>
        <v>2030</v>
      </c>
      <c r="AD9" s="113">
        <f t="array" ref="AD9">_xlfn.IFS(MONTH(AD$4)=12,YEAR(AD$4)+1,MONTH(AD$4)=6,YEAR(AD$4))</f>
        <v>2030</v>
      </c>
      <c r="AE9" s="113">
        <f t="array" ref="AE9">_xlfn.IFS(MONTH(AE$4)=12,YEAR(AE$4)+1,MONTH(AE$4)=6,YEAR(AE$4))</f>
        <v>2031</v>
      </c>
      <c r="AF9" s="113">
        <f t="array" ref="AF9">_xlfn.IFS(MONTH(AF$4)=12,YEAR(AF$4)+1,MONTH(AF$4)=6,YEAR(AF$4))</f>
        <v>2031</v>
      </c>
      <c r="AG9" s="113">
        <f t="array" ref="AG9">_xlfn.IFS(MONTH(AG$4)=12,YEAR(AG$4)+1,MONTH(AG$4)=6,YEAR(AG$4))</f>
        <v>2032</v>
      </c>
      <c r="AH9" s="113">
        <f t="array" ref="AH9">_xlfn.IFS(MONTH(AH$4)=12,YEAR(AH$4)+1,MONTH(AH$4)=6,YEAR(AH$4))</f>
        <v>2032</v>
      </c>
      <c r="AI9" s="113">
        <f t="array" ref="AI9">_xlfn.IFS(MONTH(AI$4)=12,YEAR(AI$4)+1,MONTH(AI$4)=6,YEAR(AI$4))</f>
        <v>2033</v>
      </c>
      <c r="AJ9" s="113">
        <f t="array" ref="AJ9">_xlfn.IFS(MONTH(AJ$4)=12,YEAR(AJ$4)+1,MONTH(AJ$4)=6,YEAR(AJ$4))</f>
        <v>2033</v>
      </c>
      <c r="AK9" s="113">
        <f t="array" ref="AK9">_xlfn.IFS(MONTH(AK$4)=12,YEAR(AK$4)+1,MONTH(AK$4)=6,YEAR(AK$4))</f>
        <v>2034</v>
      </c>
      <c r="AL9" s="113">
        <f t="array" ref="AL9">_xlfn.IFS(MONTH(AL$4)=12,YEAR(AL$4)+1,MONTH(AL$4)=6,YEAR(AL$4))</f>
        <v>2034</v>
      </c>
      <c r="AM9" s="113">
        <f t="array" ref="AM9">_xlfn.IFS(MONTH(AM$4)=12,YEAR(AM$4)+1,MONTH(AM$4)=6,YEAR(AM$4))</f>
        <v>2035</v>
      </c>
      <c r="AN9" s="113">
        <f t="array" ref="AN9">_xlfn.IFS(MONTH(AN$4)=12,YEAR(AN$4)+1,MONTH(AN$4)=6,YEAR(AN$4))</f>
        <v>2035</v>
      </c>
    </row>
    <row r="10" spans="1:40">
      <c r="B10" s="49" t="s">
        <v>15</v>
      </c>
      <c r="E10" s="36" t="s">
        <v>16</v>
      </c>
      <c r="F10" s="36" t="s">
        <v>16</v>
      </c>
      <c r="G10" s="36" t="s">
        <v>16</v>
      </c>
      <c r="H10" s="36" t="s">
        <v>16</v>
      </c>
      <c r="I10" s="36" t="s">
        <v>16</v>
      </c>
      <c r="J10" s="36" t="s">
        <v>16</v>
      </c>
      <c r="K10" s="36" t="s">
        <v>16</v>
      </c>
      <c r="L10" s="36" t="s">
        <v>16</v>
      </c>
      <c r="M10" s="36" t="s">
        <v>16</v>
      </c>
      <c r="N10" s="36" t="s">
        <v>16</v>
      </c>
      <c r="O10" s="36" t="s">
        <v>16</v>
      </c>
      <c r="P10" s="36" t="s">
        <v>16</v>
      </c>
      <c r="Q10" s="36" t="s">
        <v>16</v>
      </c>
      <c r="R10" s="36" t="s">
        <v>16</v>
      </c>
      <c r="S10" s="36" t="s">
        <v>16</v>
      </c>
      <c r="T10" s="36" t="s">
        <v>16</v>
      </c>
      <c r="U10" s="36" t="s">
        <v>16</v>
      </c>
      <c r="V10" s="36" t="str">
        <f>IF(ISNUMBER(#REF!),"A","E")</f>
        <v>E</v>
      </c>
      <c r="W10" s="36" t="str">
        <f>IF(ISNUMBER(#REF!),"A","E")</f>
        <v>E</v>
      </c>
      <c r="X10" s="36" t="str">
        <f>IF(ISNUMBER(#REF!),"A","E")</f>
        <v>E</v>
      </c>
      <c r="Y10" s="36" t="str">
        <f>IF(ISNUMBER(#REF!),"A","E")</f>
        <v>E</v>
      </c>
      <c r="Z10" s="36" t="str">
        <f>IF(ISNUMBER(#REF!),"A","E")</f>
        <v>E</v>
      </c>
      <c r="AA10" s="36" t="str">
        <f>IF(ISNUMBER(#REF!),"A","E")</f>
        <v>E</v>
      </c>
      <c r="AB10" s="36" t="str">
        <f>IF(ISNUMBER(#REF!),"A","E")</f>
        <v>E</v>
      </c>
      <c r="AC10" s="36" t="str">
        <f>IF(ISNUMBER(#REF!),"A","E")</f>
        <v>E</v>
      </c>
      <c r="AD10" s="36" t="str">
        <f>IF(ISNUMBER(#REF!),"A","E")</f>
        <v>E</v>
      </c>
      <c r="AE10" s="36" t="str">
        <f>IF(ISNUMBER(#REF!),"A","E")</f>
        <v>E</v>
      </c>
      <c r="AF10" s="36" t="str">
        <f>IF(ISNUMBER(#REF!),"A","E")</f>
        <v>E</v>
      </c>
      <c r="AG10" s="36" t="str">
        <f>IF(ISNUMBER(#REF!),"A","E")</f>
        <v>E</v>
      </c>
      <c r="AH10" s="36" t="str">
        <f>IF(ISNUMBER(#REF!),"A","E")</f>
        <v>E</v>
      </c>
      <c r="AI10" s="36" t="str">
        <f>IF(ISNUMBER(#REF!),"A","E")</f>
        <v>E</v>
      </c>
      <c r="AJ10" s="36" t="str">
        <f>IF(ISNUMBER(#REF!),"A","E")</f>
        <v>E</v>
      </c>
      <c r="AK10" s="36" t="str">
        <f>IF(ISNUMBER(#REF!),"A","E")</f>
        <v>E</v>
      </c>
      <c r="AL10" s="36" t="str">
        <f>IF(ISNUMBER(#REF!),"A","E")</f>
        <v>E</v>
      </c>
      <c r="AM10" s="36" t="str">
        <f>IF(ISNUMBER(#REF!),"A","E")</f>
        <v>E</v>
      </c>
      <c r="AN10" s="36" t="str">
        <f>IF(ISNUMBER(#REF!),"A","E")</f>
        <v>E</v>
      </c>
    </row>
    <row r="12" spans="1:40" s="118" customFormat="1">
      <c r="A12" s="118" t="s">
        <v>7</v>
      </c>
      <c r="B12" s="120" t="s">
        <v>17</v>
      </c>
      <c r="C12" s="119"/>
    </row>
    <row r="13" spans="1:40" s="51" customFormat="1">
      <c r="A13" s="1"/>
      <c r="B13" s="1" t="s">
        <v>18</v>
      </c>
      <c r="C13" s="36"/>
      <c r="D13" s="1"/>
      <c r="E13" s="562">
        <f>E4-EOMONTH(E4,-6)</f>
        <v>184</v>
      </c>
      <c r="F13" s="562">
        <f t="shared" ref="F13:AN13" si="5">F4-E4</f>
        <v>181</v>
      </c>
      <c r="G13" s="562">
        <f t="shared" si="5"/>
        <v>184</v>
      </c>
      <c r="H13" s="562">
        <f t="shared" si="5"/>
        <v>181</v>
      </c>
      <c r="I13" s="562">
        <f t="shared" si="5"/>
        <v>184</v>
      </c>
      <c r="J13" s="562">
        <f t="shared" si="5"/>
        <v>182</v>
      </c>
      <c r="K13" s="562">
        <f t="shared" si="5"/>
        <v>184</v>
      </c>
      <c r="L13" s="562">
        <f t="shared" si="5"/>
        <v>181</v>
      </c>
      <c r="M13" s="562">
        <f t="shared" si="5"/>
        <v>184</v>
      </c>
      <c r="N13" s="562">
        <f t="shared" si="5"/>
        <v>181</v>
      </c>
      <c r="O13" s="562">
        <f t="shared" si="5"/>
        <v>184</v>
      </c>
      <c r="P13" s="562">
        <f t="shared" si="5"/>
        <v>181</v>
      </c>
      <c r="Q13" s="562">
        <f t="shared" si="5"/>
        <v>184</v>
      </c>
      <c r="R13" s="562">
        <f t="shared" si="5"/>
        <v>182</v>
      </c>
      <c r="S13" s="562">
        <f t="shared" si="5"/>
        <v>184</v>
      </c>
      <c r="T13" s="562">
        <f t="shared" si="5"/>
        <v>181</v>
      </c>
      <c r="U13" s="562">
        <f t="shared" si="5"/>
        <v>184</v>
      </c>
      <c r="V13" s="562">
        <f t="shared" si="5"/>
        <v>181</v>
      </c>
      <c r="W13" s="562">
        <f t="shared" si="5"/>
        <v>184</v>
      </c>
      <c r="X13" s="562">
        <f t="shared" si="5"/>
        <v>181</v>
      </c>
      <c r="Y13" s="562">
        <f t="shared" si="5"/>
        <v>184</v>
      </c>
      <c r="Z13" s="562">
        <f t="shared" si="5"/>
        <v>182</v>
      </c>
      <c r="AA13" s="562">
        <f t="shared" si="5"/>
        <v>184</v>
      </c>
      <c r="AB13" s="562">
        <f t="shared" si="5"/>
        <v>181</v>
      </c>
      <c r="AC13" s="562">
        <f t="shared" si="5"/>
        <v>184</v>
      </c>
      <c r="AD13" s="562">
        <f t="shared" si="5"/>
        <v>181</v>
      </c>
      <c r="AE13" s="562">
        <f t="shared" si="5"/>
        <v>184</v>
      </c>
      <c r="AF13" s="562">
        <f t="shared" si="5"/>
        <v>181</v>
      </c>
      <c r="AG13" s="562">
        <f t="shared" si="5"/>
        <v>184</v>
      </c>
      <c r="AH13" s="562">
        <f t="shared" si="5"/>
        <v>182</v>
      </c>
      <c r="AI13" s="562">
        <f t="shared" si="5"/>
        <v>184</v>
      </c>
      <c r="AJ13" s="562">
        <f t="shared" si="5"/>
        <v>181</v>
      </c>
      <c r="AK13" s="562">
        <f t="shared" si="5"/>
        <v>184</v>
      </c>
      <c r="AL13" s="562">
        <f t="shared" si="5"/>
        <v>181</v>
      </c>
      <c r="AM13" s="562">
        <f t="shared" si="5"/>
        <v>184</v>
      </c>
      <c r="AN13" s="562">
        <f t="shared" si="5"/>
        <v>181</v>
      </c>
    </row>
    <row r="14" spans="1:40" s="51" customFormat="1">
      <c r="A14" s="683" t="s">
        <v>80</v>
      </c>
      <c r="C14" s="55"/>
      <c r="E14" s="114"/>
      <c r="F14" s="114"/>
      <c r="G14" s="114"/>
      <c r="H14" s="114"/>
      <c r="I14" s="114"/>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row>
    <row r="15" spans="1:40">
      <c r="A15" s="683"/>
      <c r="B15" s="3" t="s">
        <v>19</v>
      </c>
      <c r="C15" s="104"/>
    </row>
    <row r="16" spans="1:40">
      <c r="A16" s="683"/>
      <c r="B16" s="49" t="s">
        <v>20</v>
      </c>
      <c r="C16" s="36" t="s">
        <v>21</v>
      </c>
      <c r="E16" s="141">
        <v>0.91410000000000002</v>
      </c>
      <c r="F16" s="99">
        <f>AVERAGE(0.9199,E16)</f>
        <v>0.91700000000000004</v>
      </c>
      <c r="G16" s="141">
        <v>0.92910000000000004</v>
      </c>
      <c r="H16" s="99">
        <f>AVERAGE(0.9398,G16)</f>
        <v>0.93445</v>
      </c>
      <c r="I16" s="141">
        <v>0.94489999999999996</v>
      </c>
      <c r="J16" s="99">
        <f>AVERAGE(0.9483,I16)</f>
        <v>0.9466</v>
      </c>
      <c r="K16" s="141">
        <v>0.93340000000000001</v>
      </c>
      <c r="L16" s="99">
        <f>AVERAGE(0.9323,K16)</f>
        <v>0.93284999999999996</v>
      </c>
      <c r="M16" s="141">
        <v>0.95250000000000001</v>
      </c>
      <c r="N16" s="545">
        <f>AVERAGE(0.9362,M16)</f>
        <v>0.94435000000000002</v>
      </c>
      <c r="O16" s="141">
        <v>0.90610000000000002</v>
      </c>
      <c r="P16" s="545">
        <v>0.92347713293027067</v>
      </c>
      <c r="Q16" s="141">
        <v>0.92459999999999998</v>
      </c>
      <c r="R16" s="545">
        <f>0.9232*2-Q16</f>
        <v>0.92180000000000006</v>
      </c>
      <c r="S16" s="50">
        <v>0.90620000000000001</v>
      </c>
      <c r="T16" s="125">
        <v>0.9032</v>
      </c>
      <c r="U16" s="125">
        <f t="shared" ref="U16:AN16" si="6">T16</f>
        <v>0.9032</v>
      </c>
      <c r="V16" s="125">
        <f t="shared" si="6"/>
        <v>0.9032</v>
      </c>
      <c r="W16" s="125">
        <f t="shared" si="6"/>
        <v>0.9032</v>
      </c>
      <c r="X16" s="125">
        <f t="shared" si="6"/>
        <v>0.9032</v>
      </c>
      <c r="Y16" s="125">
        <f t="shared" si="6"/>
        <v>0.9032</v>
      </c>
      <c r="Z16" s="125">
        <f t="shared" si="6"/>
        <v>0.9032</v>
      </c>
      <c r="AA16" s="125">
        <f t="shared" si="6"/>
        <v>0.9032</v>
      </c>
      <c r="AB16" s="125">
        <f t="shared" si="6"/>
        <v>0.9032</v>
      </c>
      <c r="AC16" s="125">
        <f t="shared" si="6"/>
        <v>0.9032</v>
      </c>
      <c r="AD16" s="125">
        <f t="shared" si="6"/>
        <v>0.9032</v>
      </c>
      <c r="AE16" s="125">
        <f t="shared" si="6"/>
        <v>0.9032</v>
      </c>
      <c r="AF16" s="125">
        <f t="shared" si="6"/>
        <v>0.9032</v>
      </c>
      <c r="AG16" s="125">
        <f t="shared" si="6"/>
        <v>0.9032</v>
      </c>
      <c r="AH16" s="125">
        <f t="shared" si="6"/>
        <v>0.9032</v>
      </c>
      <c r="AI16" s="125">
        <f t="shared" si="6"/>
        <v>0.9032</v>
      </c>
      <c r="AJ16" s="125">
        <f t="shared" si="6"/>
        <v>0.9032</v>
      </c>
      <c r="AK16" s="125">
        <f t="shared" si="6"/>
        <v>0.9032</v>
      </c>
      <c r="AL16" s="125">
        <f t="shared" si="6"/>
        <v>0.9032</v>
      </c>
      <c r="AM16" s="125">
        <f t="shared" si="6"/>
        <v>0.9032</v>
      </c>
      <c r="AN16" s="125">
        <f t="shared" si="6"/>
        <v>0.9032</v>
      </c>
    </row>
    <row r="17" spans="1:40">
      <c r="A17" s="683"/>
      <c r="B17" s="49" t="s">
        <v>22</v>
      </c>
      <c r="C17" s="36" t="s">
        <v>21</v>
      </c>
      <c r="E17" s="142">
        <f t="shared" ref="E17:Z17" si="7">1/E18</f>
        <v>0.93118434344388634</v>
      </c>
      <c r="F17" s="142">
        <f t="shared" si="7"/>
        <v>0.92372396111556654</v>
      </c>
      <c r="G17" s="142">
        <f t="shared" si="7"/>
        <v>0.93465747906968022</v>
      </c>
      <c r="H17" s="142">
        <f t="shared" si="7"/>
        <v>0.9514442307692319</v>
      </c>
      <c r="I17" s="142">
        <f t="shared" si="7"/>
        <v>0.94490000000000374</v>
      </c>
      <c r="J17" s="142">
        <f t="shared" si="7"/>
        <v>0.94778740916973558</v>
      </c>
      <c r="K17" s="142">
        <f t="shared" si="7"/>
        <v>0.92712118552172051</v>
      </c>
      <c r="L17" s="142">
        <f t="shared" si="7"/>
        <v>0.93052097009168788</v>
      </c>
      <c r="M17" s="142">
        <f t="shared" si="7"/>
        <v>0.93905908421919249</v>
      </c>
      <c r="N17" s="142">
        <f t="shared" si="7"/>
        <v>0.92780517594370959</v>
      </c>
      <c r="O17" s="142">
        <f t="shared" si="7"/>
        <v>0.90610000000000046</v>
      </c>
      <c r="P17" s="142">
        <f t="shared" si="7"/>
        <v>0.91774122180781992</v>
      </c>
      <c r="Q17" s="142">
        <f t="shared" si="7"/>
        <v>0.9172766796680123</v>
      </c>
      <c r="R17" s="142">
        <f t="shared" si="7"/>
        <v>0.9162537811387379</v>
      </c>
      <c r="S17" s="142">
        <f t="shared" si="7"/>
        <v>0.92184948851316628</v>
      </c>
      <c r="T17" s="142">
        <f t="shared" si="7"/>
        <v>0.92378236350894316</v>
      </c>
      <c r="U17" s="142">
        <f t="shared" si="7"/>
        <v>0.9244405712164051</v>
      </c>
      <c r="V17" s="142">
        <f t="shared" si="7"/>
        <v>0.92542207371811791</v>
      </c>
      <c r="W17" s="142">
        <f t="shared" si="7"/>
        <v>0.92639818441313193</v>
      </c>
      <c r="X17" s="142">
        <f t="shared" si="7"/>
        <v>0.92736894760902011</v>
      </c>
      <c r="Y17" s="142">
        <f t="shared" si="7"/>
        <v>0.92833440712921556</v>
      </c>
      <c r="Z17" s="142">
        <f t="shared" si="7"/>
        <v>0.92929460631960037</v>
      </c>
      <c r="AA17" s="142"/>
      <c r="AB17" s="142"/>
      <c r="AC17" s="142"/>
      <c r="AD17" s="142"/>
      <c r="AE17" s="142"/>
      <c r="AF17" s="142"/>
      <c r="AG17" s="142"/>
      <c r="AH17" s="142"/>
      <c r="AI17" s="142"/>
      <c r="AJ17" s="142"/>
      <c r="AK17" s="142"/>
      <c r="AL17" s="142"/>
      <c r="AM17" s="142"/>
      <c r="AN17" s="142"/>
    </row>
    <row r="18" spans="1:40">
      <c r="A18" s="683"/>
      <c r="B18" s="49" t="s">
        <v>22</v>
      </c>
      <c r="C18" s="36" t="s">
        <v>23</v>
      </c>
      <c r="E18" s="125">
        <v>1.0739012173482281</v>
      </c>
      <c r="F18" s="125">
        <v>1.0825744942161251</v>
      </c>
      <c r="G18" s="125">
        <v>1.069910659673273</v>
      </c>
      <c r="H18" s="125">
        <v>1.0510337523319799</v>
      </c>
      <c r="I18" s="125">
        <v>1.05831304899989</v>
      </c>
      <c r="J18" s="125">
        <v>1.0550889264038681</v>
      </c>
      <c r="K18" s="125">
        <v>1.0786076465691681</v>
      </c>
      <c r="L18" s="125">
        <v>1.0746668072418251</v>
      </c>
      <c r="M18" s="125">
        <v>1.0648957204130329</v>
      </c>
      <c r="N18" s="125">
        <v>1.077812482542855</v>
      </c>
      <c r="O18" s="125">
        <v>1.1036309458117199</v>
      </c>
      <c r="P18" s="125">
        <v>1.0896317788037699</v>
      </c>
      <c r="Q18" s="125">
        <v>1.090183607809508</v>
      </c>
      <c r="R18" s="125">
        <v>1.0914006802320431</v>
      </c>
      <c r="S18" s="125">
        <v>1.0847757822297881</v>
      </c>
      <c r="T18" s="125">
        <v>1.0825060528342929</v>
      </c>
      <c r="U18" s="125">
        <v>1.08173530147446</v>
      </c>
      <c r="V18" s="125">
        <v>1.08058801318867</v>
      </c>
      <c r="W18" s="125">
        <v>1.079449438508447</v>
      </c>
      <c r="X18" s="125">
        <v>1.0783194785400569</v>
      </c>
      <c r="Y18" s="125">
        <v>1.0771980358806299</v>
      </c>
      <c r="Z18" s="125">
        <v>1.076085014590177</v>
      </c>
      <c r="AA18" s="142"/>
      <c r="AB18" s="142"/>
      <c r="AC18" s="142"/>
      <c r="AD18" s="142"/>
      <c r="AE18" s="142"/>
      <c r="AF18" s="142"/>
      <c r="AG18" s="142"/>
      <c r="AH18" s="142"/>
      <c r="AI18" s="142"/>
      <c r="AJ18" s="142"/>
      <c r="AK18" s="142"/>
      <c r="AL18" s="142"/>
      <c r="AM18" s="142"/>
      <c r="AN18" s="142"/>
    </row>
    <row r="19" spans="1:40">
      <c r="B19" s="45"/>
      <c r="C19" s="104"/>
    </row>
    <row r="20" spans="1:40">
      <c r="A20" s="118" t="s">
        <v>7</v>
      </c>
      <c r="B20" s="120" t="s">
        <v>24</v>
      </c>
      <c r="C20" s="105"/>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row>
    <row r="21" spans="1:40" outlineLevel="1">
      <c r="B21" s="45"/>
      <c r="C21" s="104"/>
    </row>
    <row r="22" spans="1:40" outlineLevel="1">
      <c r="B22" s="567" t="s">
        <v>25</v>
      </c>
      <c r="C22" s="104"/>
    </row>
    <row r="23" spans="1:40" outlineLevel="1">
      <c r="B23" s="197"/>
      <c r="C23" s="104"/>
    </row>
    <row r="24" spans="1:40" outlineLevel="1">
      <c r="B24" s="682" t="s">
        <v>26</v>
      </c>
      <c r="C24" s="104"/>
    </row>
    <row r="25" spans="1:40" outlineLevel="1">
      <c r="B25" s="151" t="s">
        <v>27</v>
      </c>
      <c r="C25" s="104"/>
    </row>
    <row r="26" spans="1:40" outlineLevel="1">
      <c r="B26" s="197"/>
      <c r="C26" s="104"/>
    </row>
    <row r="27" spans="1:40" outlineLevel="1">
      <c r="B27" s="682" t="s">
        <v>28</v>
      </c>
      <c r="C27" s="104"/>
    </row>
    <row r="28" spans="1:40" outlineLevel="1">
      <c r="B28" s="151" t="s">
        <v>29</v>
      </c>
      <c r="C28" s="104"/>
    </row>
    <row r="29" spans="1:40" outlineLevel="1">
      <c r="B29" s="151" t="s">
        <v>30</v>
      </c>
      <c r="C29" s="104"/>
    </row>
    <row r="30" spans="1:40" outlineLevel="1">
      <c r="B30" s="151" t="s">
        <v>31</v>
      </c>
      <c r="C30" s="104"/>
    </row>
    <row r="31" spans="1:40" outlineLevel="1">
      <c r="B31" s="151" t="s">
        <v>32</v>
      </c>
      <c r="C31" s="104"/>
    </row>
    <row r="32" spans="1:40" outlineLevel="1">
      <c r="B32" s="151"/>
      <c r="C32" s="104"/>
    </row>
    <row r="33" spans="2:3" outlineLevel="1">
      <c r="B33" s="682" t="s">
        <v>33</v>
      </c>
      <c r="C33" s="104"/>
    </row>
    <row r="34" spans="2:3" outlineLevel="1">
      <c r="B34" s="151" t="s">
        <v>34</v>
      </c>
      <c r="C34" s="104"/>
    </row>
    <row r="35" spans="2:3" outlineLevel="1">
      <c r="B35" s="151" t="s">
        <v>35</v>
      </c>
      <c r="C35" s="104"/>
    </row>
    <row r="36" spans="2:3" outlineLevel="1">
      <c r="B36" s="151" t="s">
        <v>36</v>
      </c>
      <c r="C36" s="104"/>
    </row>
    <row r="37" spans="2:3" outlineLevel="1">
      <c r="B37" s="151" t="s">
        <v>37</v>
      </c>
      <c r="C37" s="104"/>
    </row>
    <row r="38" spans="2:3" outlineLevel="1">
      <c r="B38" s="151" t="s">
        <v>38</v>
      </c>
      <c r="C38" s="104"/>
    </row>
    <row r="39" spans="2:3" outlineLevel="1">
      <c r="B39" s="151" t="s">
        <v>39</v>
      </c>
      <c r="C39" s="104"/>
    </row>
    <row r="40" spans="2:3" outlineLevel="1">
      <c r="B40" s="151" t="s">
        <v>40</v>
      </c>
      <c r="C40" s="104"/>
    </row>
    <row r="41" spans="2:3" outlineLevel="1">
      <c r="B41" s="151" t="s">
        <v>41</v>
      </c>
      <c r="C41" s="104"/>
    </row>
    <row r="42" spans="2:3" outlineLevel="1">
      <c r="C42" s="104"/>
    </row>
    <row r="43" spans="2:3" outlineLevel="1">
      <c r="B43" s="682" t="s">
        <v>42</v>
      </c>
      <c r="C43" s="104"/>
    </row>
    <row r="44" spans="2:3" outlineLevel="1">
      <c r="B44" s="151" t="s">
        <v>43</v>
      </c>
      <c r="C44" s="104"/>
    </row>
    <row r="45" spans="2:3" outlineLevel="1">
      <c r="B45" s="151" t="s">
        <v>44</v>
      </c>
      <c r="C45" s="104"/>
    </row>
    <row r="46" spans="2:3" outlineLevel="1">
      <c r="B46" s="151" t="s">
        <v>45</v>
      </c>
      <c r="C46" s="104"/>
    </row>
    <row r="47" spans="2:3" outlineLevel="1">
      <c r="B47" s="151" t="s">
        <v>46</v>
      </c>
      <c r="C47" s="104"/>
    </row>
    <row r="48" spans="2:3" outlineLevel="1">
      <c r="B48" s="151" t="s">
        <v>47</v>
      </c>
      <c r="C48" s="104"/>
    </row>
    <row r="49" spans="2:3" outlineLevel="1">
      <c r="B49" s="151"/>
      <c r="C49" s="104"/>
    </row>
    <row r="50" spans="2:3" outlineLevel="1">
      <c r="B50" s="682" t="s">
        <v>48</v>
      </c>
      <c r="C50" s="104"/>
    </row>
    <row r="51" spans="2:3" outlineLevel="1">
      <c r="B51" s="151" t="s">
        <v>49</v>
      </c>
      <c r="C51" s="104"/>
    </row>
    <row r="52" spans="2:3" outlineLevel="1">
      <c r="B52" s="151" t="s">
        <v>50</v>
      </c>
      <c r="C52" s="104"/>
    </row>
    <row r="53" spans="2:3" outlineLevel="1">
      <c r="B53" s="151" t="s">
        <v>51</v>
      </c>
      <c r="C53" s="104"/>
    </row>
    <row r="54" spans="2:3" outlineLevel="1">
      <c r="B54" s="151"/>
      <c r="C54" s="104"/>
    </row>
    <row r="55" spans="2:3" outlineLevel="1">
      <c r="B55" s="682" t="s">
        <v>52</v>
      </c>
      <c r="C55" s="104"/>
    </row>
    <row r="56" spans="2:3" outlineLevel="1">
      <c r="B56" s="151" t="s">
        <v>53</v>
      </c>
      <c r="C56" s="104"/>
    </row>
    <row r="57" spans="2:3" outlineLevel="1">
      <c r="B57" s="151" t="s">
        <v>54</v>
      </c>
      <c r="C57" s="104"/>
    </row>
    <row r="58" spans="2:3" outlineLevel="1">
      <c r="B58" s="151"/>
      <c r="C58" s="104"/>
    </row>
    <row r="59" spans="2:3" outlineLevel="1">
      <c r="B59" s="682" t="s">
        <v>55</v>
      </c>
      <c r="C59" s="104"/>
    </row>
    <row r="60" spans="2:3" outlineLevel="1">
      <c r="B60" s="151" t="s">
        <v>56</v>
      </c>
      <c r="C60" s="104"/>
    </row>
    <row r="61" spans="2:3" outlineLevel="1">
      <c r="B61" s="151" t="s">
        <v>57</v>
      </c>
      <c r="C61" s="104"/>
    </row>
    <row r="62" spans="2:3" outlineLevel="1">
      <c r="B62" s="151" t="s">
        <v>58</v>
      </c>
      <c r="C62" s="104"/>
    </row>
    <row r="63" spans="2:3" outlineLevel="1">
      <c r="B63" s="151"/>
      <c r="C63" s="104"/>
    </row>
    <row r="64" spans="2:3" outlineLevel="1">
      <c r="B64" s="682" t="s">
        <v>59</v>
      </c>
      <c r="C64" s="104"/>
    </row>
    <row r="65" spans="1:40" outlineLevel="1">
      <c r="B65" s="151" t="s">
        <v>60</v>
      </c>
      <c r="C65" s="104"/>
    </row>
    <row r="66" spans="1:40" outlineLevel="1">
      <c r="B66" s="151" t="s">
        <v>61</v>
      </c>
      <c r="C66" s="104"/>
    </row>
    <row r="67" spans="1:40" outlineLevel="1">
      <c r="B67" s="151" t="s">
        <v>62</v>
      </c>
      <c r="C67" s="104"/>
    </row>
    <row r="68" spans="1:40" outlineLevel="1">
      <c r="B68" s="151"/>
      <c r="C68" s="104"/>
    </row>
    <row r="69" spans="1:40" outlineLevel="1">
      <c r="B69" s="682" t="s">
        <v>63</v>
      </c>
      <c r="C69" s="104"/>
    </row>
    <row r="70" spans="1:40" outlineLevel="1">
      <c r="B70" s="151" t="s">
        <v>64</v>
      </c>
      <c r="C70" s="104"/>
    </row>
    <row r="71" spans="1:40" outlineLevel="1">
      <c r="B71" s="151" t="s">
        <v>65</v>
      </c>
      <c r="C71" s="104"/>
    </row>
    <row r="72" spans="1:40" outlineLevel="1">
      <c r="B72" s="151" t="s">
        <v>66</v>
      </c>
      <c r="C72" s="104"/>
    </row>
    <row r="73" spans="1:40" outlineLevel="1">
      <c r="B73" s="151" t="s">
        <v>67</v>
      </c>
      <c r="C73" s="104"/>
    </row>
    <row r="74" spans="1:40" outlineLevel="1">
      <c r="B74" s="151"/>
      <c r="C74" s="104"/>
    </row>
    <row r="75" spans="1:40" outlineLevel="1">
      <c r="B75" s="151"/>
      <c r="C75" s="104"/>
    </row>
    <row r="76" spans="1:40" outlineLevel="1">
      <c r="B76" s="151"/>
      <c r="C76" s="104"/>
    </row>
    <row r="77" spans="1:40" outlineLevel="1">
      <c r="B77" s="151"/>
      <c r="C77" s="104"/>
    </row>
    <row r="78" spans="1:40" outlineLevel="1">
      <c r="B78" s="151"/>
      <c r="C78" s="104"/>
    </row>
    <row r="79" spans="1:40">
      <c r="B79" s="151"/>
      <c r="C79" s="104"/>
    </row>
    <row r="80" spans="1:40">
      <c r="A80" s="118" t="s">
        <v>7</v>
      </c>
      <c r="B80" s="120" t="s">
        <v>68</v>
      </c>
      <c r="C80" s="105"/>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row>
    <row r="81" spans="1:40" outlineLevel="1">
      <c r="B81" s="95"/>
      <c r="C81" s="106"/>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row>
    <row r="82" spans="1:40" outlineLevel="1">
      <c r="A82" s="53" t="s">
        <v>69</v>
      </c>
      <c r="B82" s="127" t="s">
        <v>70</v>
      </c>
      <c r="C82" s="103"/>
    </row>
    <row r="83" spans="1:40" outlineLevel="1">
      <c r="B83" s="96" t="s">
        <v>71</v>
      </c>
      <c r="C83" s="39" t="s">
        <v>72</v>
      </c>
      <c r="E83" s="635">
        <v>109.35899999999999</v>
      </c>
      <c r="F83" s="635">
        <f>(252.2-E83)*0.87</f>
        <v>124.27167</v>
      </c>
      <c r="G83" s="635">
        <v>117.18899999999999</v>
      </c>
      <c r="H83" s="635">
        <f>(271-G83)*0.87</f>
        <v>133.81557000000001</v>
      </c>
      <c r="I83" s="635">
        <v>121.27800000000001</v>
      </c>
      <c r="J83" s="635">
        <f>(230.8-I83)*0.87</f>
        <v>95.284140000000008</v>
      </c>
      <c r="K83" s="635">
        <v>105.096</v>
      </c>
      <c r="L83" s="635">
        <f>(264.3-K83)*0.87</f>
        <v>138.50748000000002</v>
      </c>
      <c r="M83" s="635">
        <v>52.2</v>
      </c>
      <c r="N83" s="635">
        <v>109.185</v>
      </c>
      <c r="O83" s="46">
        <v>135.6</v>
      </c>
      <c r="P83" s="46">
        <f>265.3-O83</f>
        <v>129.70000000000002</v>
      </c>
      <c r="Q83" s="46">
        <v>127.9</v>
      </c>
      <c r="R83" s="46">
        <f>247.7-Q83</f>
        <v>119.79999999999998</v>
      </c>
      <c r="S83" s="46">
        <v>118.3</v>
      </c>
      <c r="T83" s="46">
        <f>233.9-S83</f>
        <v>115.60000000000001</v>
      </c>
      <c r="U83" s="46">
        <v>110.9</v>
      </c>
      <c r="V83" s="46">
        <f>214-U83</f>
        <v>103.1</v>
      </c>
      <c r="W83" s="47">
        <f t="shared" ref="W83:AN83" si="8">W125</f>
        <v>99</v>
      </c>
      <c r="X83" s="47">
        <f t="shared" si="8"/>
        <v>103</v>
      </c>
      <c r="Y83" s="47">
        <f t="shared" si="8"/>
        <v>110</v>
      </c>
      <c r="Z83" s="47">
        <f t="shared" si="8"/>
        <v>108.66499999999999</v>
      </c>
      <c r="AA83" s="47">
        <f t="shared" si="8"/>
        <v>113.3</v>
      </c>
      <c r="AB83" s="47">
        <f t="shared" si="8"/>
        <v>111.92495</v>
      </c>
      <c r="AC83" s="47">
        <f t="shared" si="8"/>
        <v>116.699</v>
      </c>
      <c r="AD83" s="47">
        <f t="shared" si="8"/>
        <v>115.2826985</v>
      </c>
      <c r="AE83" s="47">
        <f t="shared" si="8"/>
        <v>120.19997000000001</v>
      </c>
      <c r="AF83" s="47">
        <f t="shared" si="8"/>
        <v>118.74117945499999</v>
      </c>
      <c r="AG83" s="47">
        <f t="shared" si="8"/>
        <v>123.80596910000001</v>
      </c>
      <c r="AH83" s="47">
        <f t="shared" si="8"/>
        <v>122.30341483865</v>
      </c>
      <c r="AI83" s="47">
        <f t="shared" si="8"/>
        <v>127.52014817300001</v>
      </c>
      <c r="AJ83" s="47">
        <f t="shared" si="8"/>
        <v>125.97251728380951</v>
      </c>
      <c r="AK83" s="47">
        <f t="shared" si="8"/>
        <v>131.34575261819001</v>
      </c>
      <c r="AL83" s="47">
        <f t="shared" si="8"/>
        <v>129.75169280232379</v>
      </c>
      <c r="AM83" s="47">
        <f t="shared" si="8"/>
        <v>135.2861251967357</v>
      </c>
      <c r="AN83" s="47">
        <f t="shared" si="8"/>
        <v>133.64424358639351</v>
      </c>
    </row>
    <row r="84" spans="1:40" outlineLevel="1">
      <c r="B84" s="96" t="s">
        <v>73</v>
      </c>
      <c r="C84" s="39" t="s">
        <v>72</v>
      </c>
      <c r="E84" s="635">
        <v>70.556999999999988</v>
      </c>
      <c r="F84" s="635">
        <f>(161.9-E84)*0.87</f>
        <v>79.46841000000002</v>
      </c>
      <c r="G84" s="635">
        <v>73.95</v>
      </c>
      <c r="H84" s="635">
        <f>(163.3-G84)*0.87</f>
        <v>77.734500000000011</v>
      </c>
      <c r="I84" s="635">
        <v>74.385000000000005</v>
      </c>
      <c r="J84" s="635">
        <f>(128-I84)*0.87</f>
        <v>46.645049999999998</v>
      </c>
      <c r="K84" s="635">
        <v>54.896999999999998</v>
      </c>
      <c r="L84" s="635">
        <f>(133.1-K84)*0.87</f>
        <v>68.036609999999996</v>
      </c>
      <c r="M84" s="635">
        <v>20.445</v>
      </c>
      <c r="N84" s="635">
        <v>44.805</v>
      </c>
      <c r="O84" s="46">
        <v>57.7</v>
      </c>
      <c r="P84" s="46">
        <f>121.6-O84</f>
        <v>63.899999999999991</v>
      </c>
      <c r="Q84" s="46">
        <v>66.400000000000006</v>
      </c>
      <c r="R84" s="46">
        <f>127.6-Q84</f>
        <v>61.199999999999989</v>
      </c>
      <c r="S84" s="46">
        <v>57.1</v>
      </c>
      <c r="T84" s="46">
        <f>114.7-S84</f>
        <v>57.6</v>
      </c>
      <c r="U84" s="46">
        <v>54.5</v>
      </c>
      <c r="V84" s="46">
        <f>104.4-U84</f>
        <v>49.900000000000006</v>
      </c>
      <c r="W84" s="47">
        <f t="shared" ref="W84:AN84" si="9">W154</f>
        <v>47</v>
      </c>
      <c r="X84" s="47">
        <f t="shared" si="9"/>
        <v>48</v>
      </c>
      <c r="Y84" s="47">
        <f t="shared" si="9"/>
        <v>49</v>
      </c>
      <c r="Z84" s="47">
        <f t="shared" si="9"/>
        <v>49.92</v>
      </c>
      <c r="AA84" s="47">
        <f t="shared" si="9"/>
        <v>49.49</v>
      </c>
      <c r="AB84" s="47">
        <f t="shared" si="9"/>
        <v>50.419200000000004</v>
      </c>
      <c r="AC84" s="47">
        <f t="shared" si="9"/>
        <v>49.984900000000003</v>
      </c>
      <c r="AD84" s="47">
        <f t="shared" si="9"/>
        <v>50.923392000000007</v>
      </c>
      <c r="AE84" s="47">
        <f t="shared" si="9"/>
        <v>50.484749000000001</v>
      </c>
      <c r="AF84" s="47">
        <f t="shared" si="9"/>
        <v>51.432625920000007</v>
      </c>
      <c r="AG84" s="47">
        <f t="shared" si="9"/>
        <v>50.989596490000004</v>
      </c>
      <c r="AH84" s="47">
        <f t="shared" si="9"/>
        <v>51.946952179200004</v>
      </c>
      <c r="AI84" s="47">
        <f t="shared" si="9"/>
        <v>51.499492454900007</v>
      </c>
      <c r="AJ84" s="47">
        <f t="shared" si="9"/>
        <v>52.466421700992001</v>
      </c>
      <c r="AK84" s="47">
        <f t="shared" si="9"/>
        <v>52.014487379449008</v>
      </c>
      <c r="AL84" s="47">
        <f t="shared" si="9"/>
        <v>52.991085918001922</v>
      </c>
      <c r="AM84" s="47">
        <f t="shared" si="9"/>
        <v>52.534632253243501</v>
      </c>
      <c r="AN84" s="47">
        <f t="shared" si="9"/>
        <v>53.520996777181942</v>
      </c>
    </row>
    <row r="85" spans="1:40" outlineLevel="1">
      <c r="B85" s="96" t="s">
        <v>74</v>
      </c>
      <c r="C85" s="39" t="s">
        <v>72</v>
      </c>
      <c r="E85" s="636"/>
      <c r="F85" s="636"/>
      <c r="G85" s="636"/>
      <c r="H85" s="636"/>
      <c r="I85" s="636"/>
      <c r="J85" s="636"/>
      <c r="K85" s="636"/>
      <c r="L85" s="636"/>
      <c r="M85" s="636"/>
      <c r="N85" s="636"/>
      <c r="O85" s="46">
        <v>6.4</v>
      </c>
      <c r="P85" s="46">
        <f>7.2-O85</f>
        <v>0.79999999999999982</v>
      </c>
      <c r="Q85" s="46">
        <v>12.6</v>
      </c>
      <c r="R85" s="46">
        <f>19.6-Q85</f>
        <v>7.0000000000000018</v>
      </c>
      <c r="S85" s="46">
        <v>5.9</v>
      </c>
      <c r="T85" s="46">
        <f>9.2-S85</f>
        <v>3.2999999999999989</v>
      </c>
      <c r="U85" s="46">
        <v>-0.8</v>
      </c>
      <c r="V85" s="46">
        <f>-1.1-U85</f>
        <v>-0.30000000000000004</v>
      </c>
      <c r="W85" s="47">
        <f t="shared" ref="W85:AN85" si="10">W165</f>
        <v>3</v>
      </c>
      <c r="X85" s="47">
        <f t="shared" si="10"/>
        <v>3</v>
      </c>
      <c r="Y85" s="47">
        <f t="shared" si="10"/>
        <v>3</v>
      </c>
      <c r="Z85" s="47">
        <f t="shared" si="10"/>
        <v>3.12</v>
      </c>
      <c r="AA85" s="47">
        <f t="shared" si="10"/>
        <v>3.12</v>
      </c>
      <c r="AB85" s="47">
        <f t="shared" si="10"/>
        <v>3.2448000000000001</v>
      </c>
      <c r="AC85" s="47">
        <f t="shared" si="10"/>
        <v>3.2448000000000001</v>
      </c>
      <c r="AD85" s="47">
        <f t="shared" si="10"/>
        <v>3.3745920000000003</v>
      </c>
      <c r="AE85" s="47">
        <f t="shared" si="10"/>
        <v>3.3745920000000003</v>
      </c>
      <c r="AF85" s="47">
        <f t="shared" si="10"/>
        <v>3.5095756800000002</v>
      </c>
      <c r="AG85" s="47">
        <f t="shared" si="10"/>
        <v>3.5095756800000002</v>
      </c>
      <c r="AH85" s="47">
        <f t="shared" si="10"/>
        <v>3.6499587072000002</v>
      </c>
      <c r="AI85" s="47">
        <f t="shared" si="10"/>
        <v>3.6499587072000002</v>
      </c>
      <c r="AJ85" s="47">
        <f t="shared" si="10"/>
        <v>3.7959570554880004</v>
      </c>
      <c r="AK85" s="47">
        <f t="shared" si="10"/>
        <v>3.7959570554880004</v>
      </c>
      <c r="AL85" s="47">
        <f t="shared" si="10"/>
        <v>3.9477953377075208</v>
      </c>
      <c r="AM85" s="47">
        <f t="shared" si="10"/>
        <v>3.9477953377075208</v>
      </c>
      <c r="AN85" s="47">
        <f t="shared" si="10"/>
        <v>4.1057071512158219</v>
      </c>
    </row>
    <row r="86" spans="1:40" outlineLevel="1">
      <c r="B86" s="96" t="s">
        <v>75</v>
      </c>
      <c r="C86" s="39" t="s">
        <v>72</v>
      </c>
      <c r="E86" s="46">
        <v>83.2</v>
      </c>
      <c r="F86" s="46">
        <f>170.5-E86</f>
        <v>87.3</v>
      </c>
      <c r="G86" s="46">
        <v>88.1</v>
      </c>
      <c r="H86" s="46">
        <f>172.3-G86</f>
        <v>84.200000000000017</v>
      </c>
      <c r="I86" s="46">
        <v>80.7</v>
      </c>
      <c r="J86" s="46">
        <f>138.5-I86</f>
        <v>57.8</v>
      </c>
      <c r="K86" s="46">
        <v>46.9</v>
      </c>
      <c r="L86" s="46">
        <f>90.9-K86</f>
        <v>44.000000000000007</v>
      </c>
      <c r="M86" s="46">
        <v>35</v>
      </c>
      <c r="N86" s="46">
        <v>35.099999999999987</v>
      </c>
      <c r="O86" s="46">
        <v>58.6</v>
      </c>
      <c r="P86" s="46">
        <f>123.9-O86</f>
        <v>65.300000000000011</v>
      </c>
      <c r="Q86" s="46">
        <v>73.7</v>
      </c>
      <c r="R86" s="46">
        <f>151.8-Q86</f>
        <v>78.100000000000009</v>
      </c>
      <c r="S86" s="46">
        <v>77</v>
      </c>
      <c r="T86" s="46">
        <f>156.4-S86</f>
        <v>79.400000000000006</v>
      </c>
      <c r="U86" s="46">
        <v>83.5</v>
      </c>
      <c r="V86" s="46">
        <f>181.4-U86</f>
        <v>97.9</v>
      </c>
      <c r="W86" s="47">
        <f t="shared" ref="W86:AN86" si="11">W212</f>
        <v>107</v>
      </c>
      <c r="X86" s="47">
        <f t="shared" si="11"/>
        <v>104</v>
      </c>
      <c r="Y86" s="47">
        <f t="shared" si="11"/>
        <v>110</v>
      </c>
      <c r="Z86" s="47">
        <f t="shared" si="11"/>
        <v>109.72</v>
      </c>
      <c r="AA86" s="47">
        <f t="shared" si="11"/>
        <v>114.4</v>
      </c>
      <c r="AB86" s="47">
        <f t="shared" si="11"/>
        <v>114.1088</v>
      </c>
      <c r="AC86" s="47">
        <f t="shared" si="11"/>
        <v>118.976</v>
      </c>
      <c r="AD86" s="47">
        <f t="shared" si="11"/>
        <v>118.673152</v>
      </c>
      <c r="AE86" s="47">
        <f t="shared" si="11"/>
        <v>123.73504000000001</v>
      </c>
      <c r="AF86" s="47">
        <f t="shared" si="11"/>
        <v>123.42007808000001</v>
      </c>
      <c r="AG86" s="47">
        <f t="shared" si="11"/>
        <v>128.68444160000001</v>
      </c>
      <c r="AH86" s="47">
        <f t="shared" si="11"/>
        <v>128.3568812032</v>
      </c>
      <c r="AI86" s="47">
        <f t="shared" si="11"/>
        <v>133.83181926400005</v>
      </c>
      <c r="AJ86" s="47">
        <f t="shared" si="11"/>
        <v>133.49115645132804</v>
      </c>
      <c r="AK86" s="47">
        <f t="shared" si="11"/>
        <v>139.18509203456003</v>
      </c>
      <c r="AL86" s="47">
        <f t="shared" si="11"/>
        <v>138.83080270938115</v>
      </c>
      <c r="AM86" s="47">
        <f t="shared" si="11"/>
        <v>144.75249571594244</v>
      </c>
      <c r="AN86" s="47">
        <f t="shared" si="11"/>
        <v>144.3840348177564</v>
      </c>
    </row>
    <row r="87" spans="1:40" s="3" customFormat="1" outlineLevel="1">
      <c r="B87" s="621" t="s">
        <v>76</v>
      </c>
      <c r="C87" s="622" t="s">
        <v>72</v>
      </c>
      <c r="E87" s="190">
        <f t="shared" ref="E87:R87" si="12">SUM(E83:E86)</f>
        <v>263.11599999999999</v>
      </c>
      <c r="F87" s="190">
        <f t="shared" si="12"/>
        <v>291.04008000000005</v>
      </c>
      <c r="G87" s="190">
        <f t="shared" si="12"/>
        <v>279.23900000000003</v>
      </c>
      <c r="H87" s="190">
        <f t="shared" si="12"/>
        <v>295.75007000000005</v>
      </c>
      <c r="I87" s="190">
        <f t="shared" si="12"/>
        <v>276.363</v>
      </c>
      <c r="J87" s="190">
        <f t="shared" si="12"/>
        <v>199.72919000000002</v>
      </c>
      <c r="K87" s="190">
        <f t="shared" si="12"/>
        <v>206.893</v>
      </c>
      <c r="L87" s="190">
        <f t="shared" si="12"/>
        <v>250.54409000000001</v>
      </c>
      <c r="M87" s="190">
        <f t="shared" si="12"/>
        <v>107.64500000000001</v>
      </c>
      <c r="N87" s="190">
        <f t="shared" si="12"/>
        <v>189.09</v>
      </c>
      <c r="O87" s="190">
        <f t="shared" si="12"/>
        <v>258.3</v>
      </c>
      <c r="P87" s="190">
        <f t="shared" si="12"/>
        <v>259.70000000000005</v>
      </c>
      <c r="Q87" s="190">
        <f t="shared" si="12"/>
        <v>280.60000000000002</v>
      </c>
      <c r="R87" s="190">
        <f t="shared" si="12"/>
        <v>266.09999999999997</v>
      </c>
      <c r="S87" s="686">
        <v>258.3</v>
      </c>
      <c r="T87" s="686">
        <f>514.3-S87</f>
        <v>255.99999999999994</v>
      </c>
      <c r="U87" s="686">
        <v>248.1</v>
      </c>
      <c r="V87" s="686">
        <f>498.6-U87</f>
        <v>250.50000000000003</v>
      </c>
      <c r="W87" s="190">
        <f t="shared" ref="W87:AN87" si="13">SUM(W83:W86)</f>
        <v>256</v>
      </c>
      <c r="X87" s="190">
        <f t="shared" si="13"/>
        <v>258</v>
      </c>
      <c r="Y87" s="190">
        <f t="shared" si="13"/>
        <v>272</v>
      </c>
      <c r="Z87" s="190">
        <f t="shared" si="13"/>
        <v>271.42499999999995</v>
      </c>
      <c r="AA87" s="190">
        <f t="shared" si="13"/>
        <v>280.31</v>
      </c>
      <c r="AB87" s="190">
        <f t="shared" si="13"/>
        <v>279.69775000000004</v>
      </c>
      <c r="AC87" s="190">
        <f t="shared" si="13"/>
        <v>288.90469999999999</v>
      </c>
      <c r="AD87" s="190">
        <f t="shared" si="13"/>
        <v>288.25383450000004</v>
      </c>
      <c r="AE87" s="190">
        <f t="shared" si="13"/>
        <v>297.79435100000001</v>
      </c>
      <c r="AF87" s="190">
        <f t="shared" si="13"/>
        <v>297.10345913500004</v>
      </c>
      <c r="AG87" s="190">
        <f t="shared" si="13"/>
        <v>306.98958287000005</v>
      </c>
      <c r="AH87" s="190">
        <f t="shared" si="13"/>
        <v>306.25720692825001</v>
      </c>
      <c r="AI87" s="190">
        <f t="shared" si="13"/>
        <v>316.50141859910002</v>
      </c>
      <c r="AJ87" s="190">
        <f t="shared" si="13"/>
        <v>315.72605249161757</v>
      </c>
      <c r="AK87" s="190">
        <f t="shared" si="13"/>
        <v>326.34128908768707</v>
      </c>
      <c r="AL87" s="190">
        <f t="shared" si="13"/>
        <v>325.52137676741438</v>
      </c>
      <c r="AM87" s="190">
        <f t="shared" si="13"/>
        <v>336.52104850362917</v>
      </c>
      <c r="AN87" s="190">
        <f t="shared" si="13"/>
        <v>335.65498233254766</v>
      </c>
    </row>
    <row r="88" spans="1:40" s="3" customFormat="1" outlineLevel="1">
      <c r="B88" s="621"/>
      <c r="C88" s="622"/>
      <c r="E88" s="190"/>
      <c r="F88" s="190"/>
      <c r="G88" s="190"/>
      <c r="H88" s="190"/>
      <c r="I88" s="190"/>
      <c r="J88" s="190"/>
      <c r="K88" s="190"/>
      <c r="L88" s="190"/>
      <c r="M88" s="190"/>
      <c r="N88" s="190"/>
      <c r="O88" s="685"/>
      <c r="P88" s="685"/>
      <c r="Q88" s="685"/>
      <c r="R88" s="685"/>
      <c r="S88" s="685">
        <f>S87-SUM(S83:S86)</f>
        <v>0</v>
      </c>
      <c r="T88" s="685">
        <f>T87-SUM(T83:T86)</f>
        <v>9.9999999999909051E-2</v>
      </c>
      <c r="U88" s="685">
        <f>U87-SUM(U83:U86)</f>
        <v>0</v>
      </c>
      <c r="V88" s="685">
        <f>V87-SUM(V83:V86)</f>
        <v>-9.9999999999965894E-2</v>
      </c>
      <c r="W88" s="190"/>
      <c r="X88" s="190"/>
      <c r="Y88" s="190"/>
      <c r="Z88" s="190"/>
      <c r="AA88" s="190"/>
      <c r="AB88" s="190"/>
      <c r="AC88" s="190"/>
      <c r="AD88" s="190"/>
      <c r="AE88" s="190"/>
      <c r="AF88" s="190"/>
      <c r="AG88" s="190"/>
      <c r="AH88" s="190"/>
      <c r="AI88" s="190"/>
      <c r="AJ88" s="190"/>
      <c r="AK88" s="190"/>
      <c r="AL88" s="190"/>
      <c r="AM88" s="190"/>
      <c r="AN88" s="190"/>
    </row>
    <row r="89" spans="1:40" s="3" customFormat="1" outlineLevel="1">
      <c r="B89" s="127" t="s">
        <v>77</v>
      </c>
      <c r="C89" s="622"/>
      <c r="E89" s="190"/>
      <c r="F89" s="190"/>
      <c r="G89" s="190"/>
      <c r="H89" s="190"/>
      <c r="I89" s="190"/>
      <c r="J89" s="190"/>
      <c r="K89" s="190"/>
      <c r="L89" s="190"/>
      <c r="M89" s="190"/>
      <c r="N89" s="190"/>
      <c r="O89" s="190"/>
      <c r="P89" s="190"/>
      <c r="Q89" s="190"/>
      <c r="R89" s="190"/>
      <c r="S89" s="190"/>
      <c r="T89" s="190"/>
      <c r="U89" s="190"/>
      <c r="V89" s="190"/>
      <c r="W89" s="190"/>
      <c r="X89" s="190"/>
      <c r="Y89" s="190"/>
      <c r="Z89" s="190"/>
      <c r="AA89" s="190"/>
      <c r="AB89" s="190"/>
      <c r="AC89" s="190"/>
      <c r="AD89" s="190"/>
      <c r="AE89" s="190"/>
      <c r="AF89" s="190"/>
      <c r="AG89" s="190"/>
      <c r="AH89" s="190"/>
      <c r="AI89" s="190"/>
      <c r="AJ89" s="190"/>
      <c r="AK89" s="190"/>
      <c r="AL89" s="190"/>
      <c r="AM89" s="190"/>
      <c r="AN89" s="190"/>
    </row>
    <row r="90" spans="1:40" outlineLevel="1">
      <c r="B90" s="96" t="s">
        <v>71</v>
      </c>
      <c r="C90" s="39" t="s">
        <v>72</v>
      </c>
      <c r="E90" s="635">
        <v>18.530999999999999</v>
      </c>
      <c r="F90" s="635">
        <f>(42.9-E90)*0.87</f>
        <v>21.201029999999999</v>
      </c>
      <c r="G90" s="635">
        <v>19.835999999999999</v>
      </c>
      <c r="H90" s="635">
        <f>(44.5-G90)*0.87</f>
        <v>21.45768</v>
      </c>
      <c r="I90" s="635">
        <v>21.053999999999998</v>
      </c>
      <c r="J90" s="635">
        <f>(41.4-I90)*0.87</f>
        <v>17.70102</v>
      </c>
      <c r="K90" s="635">
        <v>23.055</v>
      </c>
      <c r="L90" s="635">
        <f>(53-K90)*0.87</f>
        <v>26.052150000000001</v>
      </c>
      <c r="M90" s="635">
        <v>17.661000000000001</v>
      </c>
      <c r="N90" s="635">
        <v>24.099</v>
      </c>
      <c r="O90" s="46">
        <v>28.2</v>
      </c>
      <c r="P90" s="46">
        <f>54-O90</f>
        <v>25.8</v>
      </c>
      <c r="Q90" s="46">
        <v>26.4</v>
      </c>
      <c r="R90" s="46">
        <f>52.3-Q90</f>
        <v>25.9</v>
      </c>
      <c r="S90" s="46">
        <v>26</v>
      </c>
      <c r="T90" s="46">
        <f>50.7-S90</f>
        <v>24.700000000000003</v>
      </c>
      <c r="U90" s="46">
        <v>24.8</v>
      </c>
      <c r="V90" s="46">
        <f>49.8-U90</f>
        <v>24.999999999999996</v>
      </c>
      <c r="W90" s="47">
        <f t="shared" ref="W90:AN90" si="14">W126</f>
        <v>25.295999999999999</v>
      </c>
      <c r="X90" s="47">
        <f t="shared" si="14"/>
        <v>25.5</v>
      </c>
      <c r="Y90" s="47">
        <f t="shared" si="14"/>
        <v>26.307839999999995</v>
      </c>
      <c r="Z90" s="47">
        <f t="shared" si="14"/>
        <v>26.52</v>
      </c>
      <c r="AA90" s="47">
        <f t="shared" si="14"/>
        <v>27.360153599999997</v>
      </c>
      <c r="AB90" s="47">
        <f t="shared" si="14"/>
        <v>27.3156</v>
      </c>
      <c r="AC90" s="47">
        <f t="shared" si="14"/>
        <v>28.180958207999996</v>
      </c>
      <c r="AD90" s="47">
        <f t="shared" si="14"/>
        <v>28.135068</v>
      </c>
      <c r="AE90" s="47">
        <f t="shared" si="14"/>
        <v>29.026386954239996</v>
      </c>
      <c r="AF90" s="47">
        <f t="shared" si="14"/>
        <v>28.979120040000002</v>
      </c>
      <c r="AG90" s="47">
        <f t="shared" si="14"/>
        <v>29.897178562867197</v>
      </c>
      <c r="AH90" s="47">
        <f t="shared" si="14"/>
        <v>29.848493641200001</v>
      </c>
      <c r="AI90" s="47">
        <f t="shared" si="14"/>
        <v>30.794093919753212</v>
      </c>
      <c r="AJ90" s="47">
        <f t="shared" si="14"/>
        <v>30.743948450436001</v>
      </c>
      <c r="AK90" s="47">
        <f t="shared" si="14"/>
        <v>31.71791673734581</v>
      </c>
      <c r="AL90" s="47">
        <f t="shared" si="14"/>
        <v>31.666266903949083</v>
      </c>
      <c r="AM90" s="47">
        <f t="shared" si="14"/>
        <v>32.669454239466184</v>
      </c>
      <c r="AN90" s="47">
        <f t="shared" si="14"/>
        <v>32.616254911067557</v>
      </c>
    </row>
    <row r="91" spans="1:40" outlineLevel="1">
      <c r="B91" s="96" t="s">
        <v>73</v>
      </c>
      <c r="C91" s="39" t="s">
        <v>72</v>
      </c>
      <c r="E91" s="635">
        <v>4.1760000000000002</v>
      </c>
      <c r="F91" s="635">
        <f>(9.4-E91)*0.87</f>
        <v>4.54488</v>
      </c>
      <c r="G91" s="635">
        <v>3.7410000000000001</v>
      </c>
      <c r="H91" s="635">
        <f>(8.9-G91)*0.87</f>
        <v>4.4883300000000004</v>
      </c>
      <c r="I91" s="635">
        <v>4.4369999999999994</v>
      </c>
      <c r="J91" s="635">
        <f>(8.4-I91)*0.87</f>
        <v>3.4478100000000009</v>
      </c>
      <c r="K91" s="635">
        <v>4.524</v>
      </c>
      <c r="L91" s="635">
        <f>(11.5-K91)*0.87</f>
        <v>6.0691199999999998</v>
      </c>
      <c r="M91" s="635">
        <v>3.7410000000000001</v>
      </c>
      <c r="N91" s="635">
        <v>4.9589999999999996</v>
      </c>
      <c r="O91" s="46">
        <v>6.6</v>
      </c>
      <c r="P91" s="46">
        <f>12.5-O91</f>
        <v>5.9</v>
      </c>
      <c r="Q91" s="46">
        <v>6.5</v>
      </c>
      <c r="R91" s="46">
        <f>13.3-Q91</f>
        <v>6.8000000000000007</v>
      </c>
      <c r="S91" s="46">
        <v>6.5</v>
      </c>
      <c r="T91" s="46">
        <f>13.5-S91</f>
        <v>7</v>
      </c>
      <c r="U91" s="46">
        <v>7</v>
      </c>
      <c r="V91" s="46">
        <f>13.9-U91</f>
        <v>6.9</v>
      </c>
      <c r="W91" s="47">
        <f t="shared" ref="W91:AN91" si="15">W155</f>
        <v>6.9690000000000003</v>
      </c>
      <c r="X91" s="47">
        <f t="shared" si="15"/>
        <v>6.9690000000000003</v>
      </c>
      <c r="Y91" s="47">
        <f t="shared" si="15"/>
        <v>7.1406999999999989</v>
      </c>
      <c r="Z91" s="47">
        <f t="shared" si="15"/>
        <v>7.0386900000000008</v>
      </c>
      <c r="AA91" s="47">
        <f t="shared" si="15"/>
        <v>7.2121069999999987</v>
      </c>
      <c r="AB91" s="47">
        <f t="shared" si="15"/>
        <v>7.1090769000000007</v>
      </c>
      <c r="AC91" s="47">
        <f t="shared" si="15"/>
        <v>7.2842280699999984</v>
      </c>
      <c r="AD91" s="47">
        <f t="shared" si="15"/>
        <v>7.1801676690000011</v>
      </c>
      <c r="AE91" s="47">
        <f t="shared" si="15"/>
        <v>7.3570703506999982</v>
      </c>
      <c r="AF91" s="47">
        <f t="shared" si="15"/>
        <v>7.251969345690001</v>
      </c>
      <c r="AG91" s="47">
        <f t="shared" si="15"/>
        <v>7.4306410542069985</v>
      </c>
      <c r="AH91" s="47">
        <f t="shared" si="15"/>
        <v>7.3244890391469006</v>
      </c>
      <c r="AI91" s="47">
        <f t="shared" si="15"/>
        <v>7.5049474647490682</v>
      </c>
      <c r="AJ91" s="47">
        <f t="shared" si="15"/>
        <v>7.3977339295383695</v>
      </c>
      <c r="AK91" s="47">
        <f t="shared" si="15"/>
        <v>7.5799969393965592</v>
      </c>
      <c r="AL91" s="47">
        <f t="shared" si="15"/>
        <v>7.4717112688337535</v>
      </c>
      <c r="AM91" s="47">
        <f t="shared" si="15"/>
        <v>7.6557969087905251</v>
      </c>
      <c r="AN91" s="47">
        <f t="shared" si="15"/>
        <v>7.5464283815220909</v>
      </c>
    </row>
    <row r="92" spans="1:40" outlineLevel="1">
      <c r="B92" s="96" t="s">
        <v>74</v>
      </c>
      <c r="C92" s="39" t="s">
        <v>72</v>
      </c>
      <c r="E92" s="636"/>
      <c r="F92" s="636"/>
      <c r="G92" s="636"/>
      <c r="H92" s="636"/>
      <c r="I92" s="636"/>
      <c r="J92" s="636"/>
      <c r="K92" s="636"/>
      <c r="L92" s="636"/>
      <c r="M92" s="636"/>
      <c r="N92" s="636"/>
      <c r="O92" s="46">
        <v>1.7</v>
      </c>
      <c r="P92" s="46">
        <f>0.7-O92</f>
        <v>-1</v>
      </c>
      <c r="Q92" s="46">
        <v>0.4</v>
      </c>
      <c r="R92" s="46">
        <f>1.1-Q92</f>
        <v>0.70000000000000007</v>
      </c>
      <c r="S92" s="46">
        <v>0.4</v>
      </c>
      <c r="T92" s="46">
        <f>-0.1-S92</f>
        <v>-0.5</v>
      </c>
      <c r="U92" s="46">
        <v>0.1</v>
      </c>
      <c r="V92" s="46">
        <f>0.1-U92</f>
        <v>0</v>
      </c>
      <c r="W92" s="47">
        <f t="shared" ref="W92:AN92" si="16">W166</f>
        <v>0.3</v>
      </c>
      <c r="X92" s="47">
        <f t="shared" si="16"/>
        <v>0.3</v>
      </c>
      <c r="Y92" s="47">
        <f t="shared" si="16"/>
        <v>0.3</v>
      </c>
      <c r="Z92" s="47">
        <f t="shared" si="16"/>
        <v>0.312</v>
      </c>
      <c r="AA92" s="47">
        <f t="shared" si="16"/>
        <v>0.312</v>
      </c>
      <c r="AB92" s="47">
        <f t="shared" si="16"/>
        <v>0.32447999999999999</v>
      </c>
      <c r="AC92" s="47">
        <f t="shared" si="16"/>
        <v>0.32447999999999999</v>
      </c>
      <c r="AD92" s="47">
        <f t="shared" si="16"/>
        <v>0.33745920000000001</v>
      </c>
      <c r="AE92" s="47">
        <f t="shared" si="16"/>
        <v>0.33745920000000001</v>
      </c>
      <c r="AF92" s="47">
        <f t="shared" si="16"/>
        <v>0.35095756800000005</v>
      </c>
      <c r="AG92" s="47">
        <f t="shared" si="16"/>
        <v>0.35095756800000005</v>
      </c>
      <c r="AH92" s="47">
        <f t="shared" si="16"/>
        <v>0.36499587072000006</v>
      </c>
      <c r="AI92" s="47">
        <f t="shared" si="16"/>
        <v>0.36499587072000006</v>
      </c>
      <c r="AJ92" s="47">
        <f t="shared" si="16"/>
        <v>0.37959570554880007</v>
      </c>
      <c r="AK92" s="47">
        <f t="shared" si="16"/>
        <v>0.37959570554880007</v>
      </c>
      <c r="AL92" s="47">
        <f t="shared" si="16"/>
        <v>0.39477953377075209</v>
      </c>
      <c r="AM92" s="47">
        <f t="shared" si="16"/>
        <v>0.39477953377075209</v>
      </c>
      <c r="AN92" s="47">
        <f t="shared" si="16"/>
        <v>0.41057071512158216</v>
      </c>
    </row>
    <row r="93" spans="1:40" outlineLevel="1">
      <c r="B93" s="96" t="s">
        <v>75</v>
      </c>
      <c r="C93" s="39" t="s">
        <v>72</v>
      </c>
      <c r="E93" s="46">
        <v>5.3</v>
      </c>
      <c r="F93" s="46">
        <v>4.6000000000000014</v>
      </c>
      <c r="G93" s="46">
        <v>5.2</v>
      </c>
      <c r="H93" s="46">
        <v>4.7</v>
      </c>
      <c r="I93" s="46">
        <v>5.5</v>
      </c>
      <c r="J93" s="46">
        <v>5.0999999999999996</v>
      </c>
      <c r="K93" s="46">
        <v>5.9</v>
      </c>
      <c r="L93" s="46">
        <v>4.6000000000000014</v>
      </c>
      <c r="M93" s="46">
        <v>4.6999999999999993</v>
      </c>
      <c r="N93" s="46">
        <v>3.8000000000000012</v>
      </c>
      <c r="O93" s="46">
        <v>5.7</v>
      </c>
      <c r="P93" s="46">
        <f>10.7-O93</f>
        <v>4.9999999999999991</v>
      </c>
      <c r="Q93" s="46">
        <v>5.4</v>
      </c>
      <c r="R93" s="46">
        <f>10.4-Q93</f>
        <v>5</v>
      </c>
      <c r="S93" s="46">
        <v>5.4</v>
      </c>
      <c r="T93" s="46">
        <f>10.1-S93</f>
        <v>4.6999999999999993</v>
      </c>
      <c r="U93" s="46">
        <v>5.4</v>
      </c>
      <c r="V93" s="46">
        <f>10-U93</f>
        <v>4.5999999999999996</v>
      </c>
      <c r="W93" s="47">
        <f t="shared" ref="W93:AN93" si="17">W213</f>
        <v>5</v>
      </c>
      <c r="X93" s="47">
        <f t="shared" si="17"/>
        <v>4.5</v>
      </c>
      <c r="Y93" s="47">
        <f t="shared" si="17"/>
        <v>5</v>
      </c>
      <c r="Z93" s="47">
        <f t="shared" si="17"/>
        <v>4.5</v>
      </c>
      <c r="AA93" s="47">
        <f t="shared" si="17"/>
        <v>5.2</v>
      </c>
      <c r="AB93" s="47">
        <f t="shared" si="17"/>
        <v>4.68</v>
      </c>
      <c r="AC93" s="47">
        <f t="shared" si="17"/>
        <v>5.4080000000000004</v>
      </c>
      <c r="AD93" s="47">
        <f t="shared" si="17"/>
        <v>4.8672000000000004</v>
      </c>
      <c r="AE93" s="47">
        <f t="shared" si="17"/>
        <v>5.6243200000000009</v>
      </c>
      <c r="AF93" s="47">
        <f t="shared" si="17"/>
        <v>5.0618879999999997</v>
      </c>
      <c r="AG93" s="47">
        <f t="shared" si="17"/>
        <v>5.8492928000000015</v>
      </c>
      <c r="AH93" s="47">
        <f t="shared" si="17"/>
        <v>5.2643635200000007</v>
      </c>
      <c r="AI93" s="47">
        <f t="shared" si="17"/>
        <v>6.0832645120000013</v>
      </c>
      <c r="AJ93" s="47">
        <f t="shared" si="17"/>
        <v>5.4749380608000013</v>
      </c>
      <c r="AK93" s="47">
        <f t="shared" si="17"/>
        <v>6.3265950924800016</v>
      </c>
      <c r="AL93" s="47">
        <f t="shared" si="17"/>
        <v>5.6939355832320011</v>
      </c>
      <c r="AM93" s="47">
        <f t="shared" si="17"/>
        <v>6.5796588961792022</v>
      </c>
      <c r="AN93" s="47">
        <f t="shared" si="17"/>
        <v>5.9216930065612816</v>
      </c>
    </row>
    <row r="94" spans="1:40" s="3" customFormat="1" outlineLevel="1">
      <c r="B94" s="621" t="s">
        <v>76</v>
      </c>
      <c r="C94" s="622" t="s">
        <v>72</v>
      </c>
      <c r="E94" s="190">
        <f t="shared" ref="E94:R94" si="18">SUM(E90:E93)</f>
        <v>28.007000000000001</v>
      </c>
      <c r="F94" s="190">
        <f t="shared" si="18"/>
        <v>30.34591</v>
      </c>
      <c r="G94" s="190">
        <f t="shared" si="18"/>
        <v>28.776999999999997</v>
      </c>
      <c r="H94" s="190">
        <f t="shared" si="18"/>
        <v>30.64601</v>
      </c>
      <c r="I94" s="190">
        <f t="shared" si="18"/>
        <v>30.991</v>
      </c>
      <c r="J94" s="190">
        <f t="shared" si="18"/>
        <v>26.248829999999998</v>
      </c>
      <c r="K94" s="190">
        <f t="shared" si="18"/>
        <v>33.478999999999999</v>
      </c>
      <c r="L94" s="190">
        <f t="shared" si="18"/>
        <v>36.721270000000004</v>
      </c>
      <c r="M94" s="190">
        <f t="shared" si="18"/>
        <v>26.102</v>
      </c>
      <c r="N94" s="190">
        <f t="shared" si="18"/>
        <v>32.858000000000004</v>
      </c>
      <c r="O94" s="190">
        <f t="shared" si="18"/>
        <v>42.2</v>
      </c>
      <c r="P94" s="190">
        <f t="shared" si="18"/>
        <v>35.700000000000003</v>
      </c>
      <c r="Q94" s="190">
        <f t="shared" si="18"/>
        <v>38.699999999999996</v>
      </c>
      <c r="R94" s="190">
        <f t="shared" si="18"/>
        <v>38.400000000000006</v>
      </c>
      <c r="S94" s="686">
        <v>38.299999999999997</v>
      </c>
      <c r="T94" s="686">
        <f>74.2-S94</f>
        <v>35.900000000000006</v>
      </c>
      <c r="U94" s="686">
        <v>37.4</v>
      </c>
      <c r="V94" s="686">
        <f>73.9-U94</f>
        <v>36.500000000000007</v>
      </c>
      <c r="W94" s="190">
        <f t="shared" ref="W94:AN94" si="19">SUM(W90:W93)</f>
        <v>37.564999999999998</v>
      </c>
      <c r="X94" s="190">
        <f t="shared" si="19"/>
        <v>37.268999999999998</v>
      </c>
      <c r="Y94" s="190">
        <f t="shared" si="19"/>
        <v>38.748539999999991</v>
      </c>
      <c r="Z94" s="190">
        <f t="shared" si="19"/>
        <v>38.370689999999996</v>
      </c>
      <c r="AA94" s="190">
        <f t="shared" si="19"/>
        <v>40.084260599999993</v>
      </c>
      <c r="AB94" s="190">
        <f t="shared" si="19"/>
        <v>39.429156900000002</v>
      </c>
      <c r="AC94" s="190">
        <f t="shared" si="19"/>
        <v>41.197666278</v>
      </c>
      <c r="AD94" s="190">
        <f t="shared" si="19"/>
        <v>40.519894868999998</v>
      </c>
      <c r="AE94" s="190">
        <f t="shared" si="19"/>
        <v>42.34523650493999</v>
      </c>
      <c r="AF94" s="190">
        <f t="shared" si="19"/>
        <v>41.643934953690007</v>
      </c>
      <c r="AG94" s="190">
        <f t="shared" si="19"/>
        <v>43.528069985074197</v>
      </c>
      <c r="AH94" s="190">
        <f t="shared" si="19"/>
        <v>42.80234207106691</v>
      </c>
      <c r="AI94" s="190">
        <f t="shared" si="19"/>
        <v>44.747301767222282</v>
      </c>
      <c r="AJ94" s="190">
        <f t="shared" si="19"/>
        <v>43.996216146323171</v>
      </c>
      <c r="AK94" s="190">
        <f t="shared" si="19"/>
        <v>46.004104474771168</v>
      </c>
      <c r="AL94" s="190">
        <f t="shared" si="19"/>
        <v>45.226693289785587</v>
      </c>
      <c r="AM94" s="190">
        <f t="shared" si="19"/>
        <v>47.299689578206667</v>
      </c>
      <c r="AN94" s="190">
        <f t="shared" si="19"/>
        <v>46.494947014272512</v>
      </c>
    </row>
    <row r="95" spans="1:40" s="3" customFormat="1" outlineLevel="1">
      <c r="B95" s="621"/>
      <c r="C95" s="622"/>
      <c r="E95" s="190"/>
      <c r="F95" s="190"/>
      <c r="G95" s="190"/>
      <c r="H95" s="190"/>
      <c r="I95" s="190"/>
      <c r="J95" s="190"/>
      <c r="K95" s="190"/>
      <c r="L95" s="190"/>
      <c r="M95" s="190"/>
      <c r="N95" s="190"/>
      <c r="O95" s="190"/>
      <c r="P95" s="190"/>
      <c r="Q95" s="190"/>
      <c r="R95" s="190"/>
      <c r="S95" s="685">
        <f>S94-SUM(S90:S93)</f>
        <v>0</v>
      </c>
      <c r="T95" s="685">
        <f>T94-SUM(T90:T93)</f>
        <v>0</v>
      </c>
      <c r="U95" s="685">
        <f>U94-SUM(U90:U93)</f>
        <v>9.9999999999994316E-2</v>
      </c>
      <c r="V95" s="685">
        <f>V94-SUM(V90:V93)</f>
        <v>0</v>
      </c>
      <c r="W95" s="190"/>
      <c r="X95" s="190"/>
      <c r="Y95" s="190"/>
      <c r="Z95" s="190"/>
      <c r="AA95" s="190"/>
      <c r="AB95" s="190"/>
      <c r="AC95" s="190"/>
      <c r="AD95" s="190"/>
      <c r="AE95" s="190"/>
      <c r="AF95" s="190"/>
      <c r="AG95" s="190"/>
      <c r="AH95" s="190"/>
      <c r="AI95" s="190"/>
      <c r="AJ95" s="190"/>
      <c r="AK95" s="190"/>
      <c r="AL95" s="190"/>
      <c r="AM95" s="190"/>
      <c r="AN95" s="190"/>
    </row>
    <row r="96" spans="1:40" outlineLevel="1">
      <c r="B96" s="127" t="s">
        <v>78</v>
      </c>
      <c r="C96" s="103"/>
      <c r="E96" s="43"/>
      <c r="F96" s="43"/>
      <c r="G96" s="43"/>
      <c r="H96" s="43"/>
      <c r="I96" s="43"/>
      <c r="J96" s="43"/>
      <c r="K96" s="43"/>
      <c r="L96" s="43"/>
      <c r="M96" s="43"/>
      <c r="N96" s="43"/>
      <c r="O96" s="43"/>
      <c r="P96" s="43"/>
      <c r="Q96" s="48"/>
      <c r="R96" s="43"/>
      <c r="S96" s="48"/>
      <c r="T96" s="43"/>
      <c r="U96" s="48"/>
      <c r="V96" s="43"/>
      <c r="W96" s="48"/>
      <c r="X96" s="48"/>
      <c r="Y96" s="48"/>
      <c r="Z96" s="48"/>
      <c r="AA96" s="48"/>
      <c r="AB96" s="48"/>
      <c r="AC96" s="48"/>
      <c r="AD96" s="48"/>
      <c r="AE96" s="48"/>
      <c r="AF96" s="48"/>
      <c r="AG96" s="48"/>
      <c r="AH96" s="48"/>
      <c r="AI96" s="48"/>
      <c r="AJ96" s="48"/>
      <c r="AK96" s="48"/>
      <c r="AL96" s="48"/>
      <c r="AM96" s="48"/>
      <c r="AN96" s="48"/>
    </row>
    <row r="97" spans="1:40" outlineLevel="1">
      <c r="B97" s="96" t="s">
        <v>71</v>
      </c>
      <c r="C97" s="39" t="s">
        <v>72</v>
      </c>
      <c r="E97" s="635">
        <v>25.69740728585494</v>
      </c>
      <c r="F97" s="635">
        <v>23.405226514880098</v>
      </c>
      <c r="G97" s="635">
        <v>25.476267355505328</v>
      </c>
      <c r="H97" s="635">
        <v>22.241674401513912</v>
      </c>
      <c r="I97" s="635">
        <v>25.240766218647479</v>
      </c>
      <c r="J97" s="635">
        <v>9.7498772251769719</v>
      </c>
      <c r="K97" s="635">
        <v>24.87679451467752</v>
      </c>
      <c r="L97" s="635">
        <v>36.236485485686323</v>
      </c>
      <c r="M97" s="635">
        <v>32.503937007874008</v>
      </c>
      <c r="N97" s="635">
        <v>38.597977444803313</v>
      </c>
      <c r="O97" s="46">
        <v>51.6</v>
      </c>
      <c r="P97" s="46">
        <f>99.8-O97</f>
        <v>48.199999999999996</v>
      </c>
      <c r="Q97" s="46">
        <v>46.6</v>
      </c>
      <c r="R97" s="46">
        <f>97.9-Q97</f>
        <v>51.300000000000004</v>
      </c>
      <c r="S97" s="46">
        <v>50.3</v>
      </c>
      <c r="T97" s="46">
        <f>95.9-S97</f>
        <v>45.600000000000009</v>
      </c>
      <c r="U97" s="46">
        <v>50.2</v>
      </c>
      <c r="V97" s="46">
        <f>103-U97</f>
        <v>52.8</v>
      </c>
      <c r="W97" s="47">
        <f t="shared" ref="W97:AN97" si="20">W127</f>
        <v>52</v>
      </c>
      <c r="X97" s="47">
        <f t="shared" si="20"/>
        <v>52</v>
      </c>
      <c r="Y97" s="47">
        <f t="shared" si="20"/>
        <v>44</v>
      </c>
      <c r="Z97" s="47">
        <f t="shared" si="20"/>
        <v>44</v>
      </c>
      <c r="AA97" s="47">
        <f t="shared" si="20"/>
        <v>46.64</v>
      </c>
      <c r="AB97" s="47">
        <f t="shared" si="20"/>
        <v>46.64</v>
      </c>
      <c r="AC97" s="47">
        <f t="shared" si="20"/>
        <v>49.438400000000001</v>
      </c>
      <c r="AD97" s="47">
        <f t="shared" si="20"/>
        <v>49.438400000000001</v>
      </c>
      <c r="AE97" s="47">
        <f t="shared" si="20"/>
        <v>52.404704000000002</v>
      </c>
      <c r="AF97" s="47">
        <f t="shared" si="20"/>
        <v>52.404704000000002</v>
      </c>
      <c r="AG97" s="47">
        <f t="shared" si="20"/>
        <v>55.548986240000005</v>
      </c>
      <c r="AH97" s="47">
        <f t="shared" si="20"/>
        <v>55.548986240000005</v>
      </c>
      <c r="AI97" s="47">
        <f t="shared" si="20"/>
        <v>58.881925414400008</v>
      </c>
      <c r="AJ97" s="47">
        <f t="shared" si="20"/>
        <v>58.881925414400008</v>
      </c>
      <c r="AK97" s="47">
        <f t="shared" si="20"/>
        <v>60.648383176832013</v>
      </c>
      <c r="AL97" s="47">
        <f t="shared" si="20"/>
        <v>60.648383176832013</v>
      </c>
      <c r="AM97" s="47">
        <f t="shared" si="20"/>
        <v>62.467834672136973</v>
      </c>
      <c r="AN97" s="47">
        <f t="shared" si="20"/>
        <v>62.467834672136973</v>
      </c>
    </row>
    <row r="98" spans="1:40" outlineLevel="1">
      <c r="B98" s="96" t="s">
        <v>73</v>
      </c>
      <c r="C98" s="39" t="s">
        <v>72</v>
      </c>
      <c r="E98" s="635">
        <v>40.1706596652445</v>
      </c>
      <c r="F98" s="635">
        <v>29.704842240736639</v>
      </c>
      <c r="G98" s="635">
        <v>39.715854052308693</v>
      </c>
      <c r="H98" s="635">
        <v>32.140987690824893</v>
      </c>
      <c r="I98" s="635">
        <v>37.623028891946241</v>
      </c>
      <c r="J98" s="635">
        <v>14.35344507506208</v>
      </c>
      <c r="K98" s="635">
        <v>36.929505035354623</v>
      </c>
      <c r="L98" s="635">
        <v>39.910483962743633</v>
      </c>
      <c r="M98" s="635">
        <v>34.110236220472437</v>
      </c>
      <c r="N98" s="635">
        <v>27.44745062741568</v>
      </c>
      <c r="O98" s="46">
        <v>39.9</v>
      </c>
      <c r="P98" s="46">
        <f>70.2-O98</f>
        <v>30.300000000000004</v>
      </c>
      <c r="Q98" s="46">
        <v>29.1</v>
      </c>
      <c r="R98" s="46">
        <f>58.1-Q98</f>
        <v>29</v>
      </c>
      <c r="S98" s="46">
        <v>30.3</v>
      </c>
      <c r="T98" s="46">
        <f>57.5-S98</f>
        <v>27.2</v>
      </c>
      <c r="U98" s="46">
        <v>31.4</v>
      </c>
      <c r="V98" s="46">
        <f>61.5-U98</f>
        <v>30.1</v>
      </c>
      <c r="W98" s="47">
        <f t="shared" ref="W98:AN98" si="21">W156</f>
        <v>29</v>
      </c>
      <c r="X98" s="47">
        <f t="shared" si="21"/>
        <v>30.1</v>
      </c>
      <c r="Y98" s="47">
        <f t="shared" si="21"/>
        <v>25</v>
      </c>
      <c r="Z98" s="47">
        <f t="shared" si="21"/>
        <v>25</v>
      </c>
      <c r="AA98" s="47">
        <f t="shared" si="21"/>
        <v>26.5</v>
      </c>
      <c r="AB98" s="47">
        <f t="shared" si="21"/>
        <v>26.5</v>
      </c>
      <c r="AC98" s="47">
        <f t="shared" si="21"/>
        <v>28.09</v>
      </c>
      <c r="AD98" s="47">
        <f t="shared" si="21"/>
        <v>28.09</v>
      </c>
      <c r="AE98" s="47">
        <f t="shared" si="21"/>
        <v>29.775400000000001</v>
      </c>
      <c r="AF98" s="47">
        <f t="shared" si="21"/>
        <v>29.775400000000001</v>
      </c>
      <c r="AG98" s="47">
        <f t="shared" si="21"/>
        <v>31.561924000000001</v>
      </c>
      <c r="AH98" s="47">
        <f t="shared" si="21"/>
        <v>31.561924000000001</v>
      </c>
      <c r="AI98" s="47">
        <f t="shared" si="21"/>
        <v>33.455639440000006</v>
      </c>
      <c r="AJ98" s="47">
        <f t="shared" si="21"/>
        <v>33.455639440000006</v>
      </c>
      <c r="AK98" s="47">
        <f t="shared" si="21"/>
        <v>33.790195834400009</v>
      </c>
      <c r="AL98" s="47">
        <f t="shared" si="21"/>
        <v>33.790195834400009</v>
      </c>
      <c r="AM98" s="47">
        <f t="shared" si="21"/>
        <v>34.128097792744008</v>
      </c>
      <c r="AN98" s="47">
        <f t="shared" si="21"/>
        <v>34.128097792744008</v>
      </c>
    </row>
    <row r="99" spans="1:40" outlineLevel="1">
      <c r="B99" s="96" t="s">
        <v>74</v>
      </c>
      <c r="C99" s="39" t="s">
        <v>72</v>
      </c>
      <c r="E99" s="636"/>
      <c r="F99" s="636"/>
      <c r="G99" s="636"/>
      <c r="H99" s="636"/>
      <c r="I99" s="636"/>
      <c r="J99" s="636"/>
      <c r="K99" s="636"/>
      <c r="L99" s="636"/>
      <c r="M99" s="635">
        <v>0</v>
      </c>
      <c r="N99" s="635">
        <v>0</v>
      </c>
      <c r="O99" s="46">
        <v>3.6</v>
      </c>
      <c r="P99" s="46">
        <f>8.5-O99</f>
        <v>4.9000000000000004</v>
      </c>
      <c r="Q99" s="46">
        <v>5.3</v>
      </c>
      <c r="R99" s="46">
        <f>11.7-Q99</f>
        <v>6.3999999999999995</v>
      </c>
      <c r="S99" s="46">
        <v>3.7</v>
      </c>
      <c r="T99" s="46">
        <f>5.8-S99</f>
        <v>2.0999999999999996</v>
      </c>
      <c r="U99" s="46">
        <v>1.7</v>
      </c>
      <c r="V99" s="46">
        <f>1.6-U99</f>
        <v>-9.9999999999999867E-2</v>
      </c>
      <c r="W99" s="47">
        <f t="shared" ref="W99:AN99" si="22">W167</f>
        <v>1.7</v>
      </c>
      <c r="X99" s="47">
        <f t="shared" si="22"/>
        <v>1.7</v>
      </c>
      <c r="Y99" s="47">
        <f t="shared" si="22"/>
        <v>1.7</v>
      </c>
      <c r="Z99" s="47">
        <f t="shared" si="22"/>
        <v>1.768</v>
      </c>
      <c r="AA99" s="47">
        <f t="shared" si="22"/>
        <v>1.768</v>
      </c>
      <c r="AB99" s="47">
        <f t="shared" si="22"/>
        <v>1.8387200000000001</v>
      </c>
      <c r="AC99" s="47">
        <f t="shared" si="22"/>
        <v>1.8387200000000001</v>
      </c>
      <c r="AD99" s="47">
        <f t="shared" si="22"/>
        <v>1.9122688000000001</v>
      </c>
      <c r="AE99" s="47">
        <f t="shared" si="22"/>
        <v>1.9122688000000001</v>
      </c>
      <c r="AF99" s="47">
        <f t="shared" si="22"/>
        <v>1.9887595520000001</v>
      </c>
      <c r="AG99" s="47">
        <f t="shared" si="22"/>
        <v>1.9887595520000001</v>
      </c>
      <c r="AH99" s="47">
        <f t="shared" si="22"/>
        <v>2.0683099340800002</v>
      </c>
      <c r="AI99" s="47">
        <f t="shared" si="22"/>
        <v>2.0683099340800002</v>
      </c>
      <c r="AJ99" s="47">
        <f t="shared" si="22"/>
        <v>2.1510423314432003</v>
      </c>
      <c r="AK99" s="47">
        <f t="shared" si="22"/>
        <v>2.1510423314432003</v>
      </c>
      <c r="AL99" s="47">
        <f t="shared" si="22"/>
        <v>2.2370840247009283</v>
      </c>
      <c r="AM99" s="47">
        <f t="shared" si="22"/>
        <v>2.2370840247009283</v>
      </c>
      <c r="AN99" s="47">
        <f t="shared" si="22"/>
        <v>2.3265673856889655</v>
      </c>
    </row>
    <row r="100" spans="1:40" outlineLevel="1">
      <c r="B100" s="96" t="s">
        <v>75</v>
      </c>
      <c r="C100" s="39" t="s">
        <v>72</v>
      </c>
      <c r="E100" s="46">
        <v>11.3</v>
      </c>
      <c r="F100" s="46">
        <f>21.7-E100</f>
        <v>10.399999999999999</v>
      </c>
      <c r="G100" s="46">
        <v>10.6</v>
      </c>
      <c r="H100" s="46">
        <f>19.8-G100</f>
        <v>9.2000000000000011</v>
      </c>
      <c r="I100" s="46">
        <v>11.4</v>
      </c>
      <c r="J100" s="46">
        <f>25.8-I100</f>
        <v>14.4</v>
      </c>
      <c r="K100" s="46">
        <v>25.4</v>
      </c>
      <c r="L100" s="46">
        <f>49.3-K100</f>
        <v>23.9</v>
      </c>
      <c r="M100" s="635">
        <v>23.412073490813651</v>
      </c>
      <c r="N100" s="635">
        <v>23.720019060729602</v>
      </c>
      <c r="O100" s="46">
        <v>34.799999999999997</v>
      </c>
      <c r="P100" s="46">
        <f>71.3-O100</f>
        <v>36.5</v>
      </c>
      <c r="Q100" s="46">
        <v>35.799264546831068</v>
      </c>
      <c r="R100" s="46">
        <f>69-Q100</f>
        <v>33.200735453168932</v>
      </c>
      <c r="S100" s="46">
        <v>38.9</v>
      </c>
      <c r="T100" s="46">
        <f>72.7-S100</f>
        <v>33.800000000000004</v>
      </c>
      <c r="U100" s="46">
        <v>41.1</v>
      </c>
      <c r="V100" s="46">
        <f>80.4-U100</f>
        <v>39.300000000000004</v>
      </c>
      <c r="W100" s="47">
        <f t="shared" ref="W100:AN100" si="23">W214</f>
        <v>42.3</v>
      </c>
      <c r="X100" s="47">
        <f t="shared" si="23"/>
        <v>40.299999999999997</v>
      </c>
      <c r="Y100" s="47">
        <f t="shared" si="23"/>
        <v>42.3</v>
      </c>
      <c r="Z100" s="47">
        <f t="shared" si="23"/>
        <v>40.299999999999997</v>
      </c>
      <c r="AA100" s="47">
        <f t="shared" si="23"/>
        <v>43.992000000000004</v>
      </c>
      <c r="AB100" s="47">
        <f t="shared" si="23"/>
        <v>41.911999999999999</v>
      </c>
      <c r="AC100" s="47">
        <f t="shared" si="23"/>
        <v>45.75168</v>
      </c>
      <c r="AD100" s="47">
        <f t="shared" si="23"/>
        <v>43.588479999999997</v>
      </c>
      <c r="AE100" s="47">
        <f t="shared" si="23"/>
        <v>47.581747200000002</v>
      </c>
      <c r="AF100" s="47">
        <f t="shared" si="23"/>
        <v>45.332019199999998</v>
      </c>
      <c r="AG100" s="47">
        <f t="shared" si="23"/>
        <v>49.485017087999999</v>
      </c>
      <c r="AH100" s="47">
        <f t="shared" si="23"/>
        <v>47.145299967999996</v>
      </c>
      <c r="AI100" s="47">
        <f t="shared" si="23"/>
        <v>51.464417771520004</v>
      </c>
      <c r="AJ100" s="47">
        <f t="shared" si="23"/>
        <v>49.031111966720005</v>
      </c>
      <c r="AK100" s="47">
        <f t="shared" si="23"/>
        <v>53.52299448238081</v>
      </c>
      <c r="AL100" s="47">
        <f t="shared" si="23"/>
        <v>50.992356445388808</v>
      </c>
      <c r="AM100" s="47">
        <f t="shared" si="23"/>
        <v>55.663914261676048</v>
      </c>
      <c r="AN100" s="47">
        <f t="shared" si="23"/>
        <v>53.032050703204362</v>
      </c>
    </row>
    <row r="101" spans="1:40" s="3" customFormat="1" outlineLevel="1">
      <c r="B101" s="621" t="s">
        <v>76</v>
      </c>
      <c r="C101" s="622" t="s">
        <v>72</v>
      </c>
      <c r="E101" s="190">
        <f t="shared" ref="E101:R101" si="24">SUM(E97:E100)</f>
        <v>77.168066951099433</v>
      </c>
      <c r="F101" s="190">
        <f t="shared" si="24"/>
        <v>63.510068755616736</v>
      </c>
      <c r="G101" s="190">
        <f t="shared" si="24"/>
        <v>75.792121407814022</v>
      </c>
      <c r="H101" s="190">
        <f t="shared" si="24"/>
        <v>63.582662092338808</v>
      </c>
      <c r="I101" s="190">
        <f t="shared" si="24"/>
        <v>74.263795110593719</v>
      </c>
      <c r="J101" s="190">
        <f t="shared" si="24"/>
        <v>38.503322300239049</v>
      </c>
      <c r="K101" s="190">
        <f t="shared" si="24"/>
        <v>87.206299550032142</v>
      </c>
      <c r="L101" s="190">
        <f t="shared" si="24"/>
        <v>100.04696944842996</v>
      </c>
      <c r="M101" s="190">
        <f t="shared" si="24"/>
        <v>90.026246719160099</v>
      </c>
      <c r="N101" s="190">
        <f t="shared" si="24"/>
        <v>89.765447132948594</v>
      </c>
      <c r="O101" s="190">
        <f t="shared" si="24"/>
        <v>129.89999999999998</v>
      </c>
      <c r="P101" s="190">
        <f t="shared" si="24"/>
        <v>119.9</v>
      </c>
      <c r="Q101" s="190">
        <f t="shared" si="24"/>
        <v>116.79926454683107</v>
      </c>
      <c r="R101" s="190">
        <f t="shared" si="24"/>
        <v>119.90073545316895</v>
      </c>
      <c r="S101" s="686">
        <v>123.2</v>
      </c>
      <c r="T101" s="686">
        <f>232-S101</f>
        <v>108.8</v>
      </c>
      <c r="U101" s="686">
        <v>124.5</v>
      </c>
      <c r="V101" s="686">
        <f>246.6-U101</f>
        <v>122.1</v>
      </c>
      <c r="W101" s="190">
        <f t="shared" ref="W101:AN101" si="25">SUM(W97:W100)</f>
        <v>125</v>
      </c>
      <c r="X101" s="190">
        <f t="shared" si="25"/>
        <v>124.1</v>
      </c>
      <c r="Y101" s="190">
        <f t="shared" si="25"/>
        <v>113</v>
      </c>
      <c r="Z101" s="190">
        <f t="shared" si="25"/>
        <v>111.068</v>
      </c>
      <c r="AA101" s="190">
        <f t="shared" si="25"/>
        <v>118.9</v>
      </c>
      <c r="AB101" s="190">
        <f t="shared" si="25"/>
        <v>116.89071999999999</v>
      </c>
      <c r="AC101" s="190">
        <f t="shared" si="25"/>
        <v>125.11879999999999</v>
      </c>
      <c r="AD101" s="190">
        <f t="shared" si="25"/>
        <v>123.0291488</v>
      </c>
      <c r="AE101" s="190">
        <f t="shared" si="25"/>
        <v>131.67412000000002</v>
      </c>
      <c r="AF101" s="190">
        <f t="shared" si="25"/>
        <v>129.500882752</v>
      </c>
      <c r="AG101" s="190">
        <f t="shared" si="25"/>
        <v>138.58468688000002</v>
      </c>
      <c r="AH101" s="190">
        <f t="shared" si="25"/>
        <v>136.32452014208002</v>
      </c>
      <c r="AI101" s="190">
        <f t="shared" si="25"/>
        <v>145.87029256000002</v>
      </c>
      <c r="AJ101" s="190">
        <f t="shared" si="25"/>
        <v>143.51971915256323</v>
      </c>
      <c r="AK101" s="190">
        <f t="shared" si="25"/>
        <v>150.11261582505603</v>
      </c>
      <c r="AL101" s="190">
        <f t="shared" si="25"/>
        <v>147.66801948132178</v>
      </c>
      <c r="AM101" s="190">
        <f t="shared" si="25"/>
        <v>154.49693075125796</v>
      </c>
      <c r="AN101" s="190">
        <f t="shared" si="25"/>
        <v>151.95455055377431</v>
      </c>
    </row>
    <row r="102" spans="1:40" s="3" customFormat="1" outlineLevel="1">
      <c r="B102" s="621"/>
      <c r="C102" s="622"/>
      <c r="E102" s="190"/>
      <c r="F102" s="190"/>
      <c r="G102" s="190"/>
      <c r="H102" s="190"/>
      <c r="I102" s="190"/>
      <c r="J102" s="190"/>
      <c r="K102" s="190"/>
      <c r="L102" s="190"/>
      <c r="M102" s="190"/>
      <c r="N102" s="190"/>
      <c r="O102" s="190"/>
      <c r="P102" s="190"/>
      <c r="Q102" s="190"/>
      <c r="R102" s="190"/>
      <c r="S102" s="685">
        <f>S101-SUM(S97:S100)</f>
        <v>0</v>
      </c>
      <c r="T102" s="685">
        <f>T101-SUM(T97:T100)</f>
        <v>9.9999999999980105E-2</v>
      </c>
      <c r="U102" s="685">
        <f>U101-SUM(U97:U100)</f>
        <v>9.9999999999994316E-2</v>
      </c>
      <c r="V102" s="685">
        <f>V101-SUM(V97:V100)</f>
        <v>0</v>
      </c>
      <c r="W102" s="190"/>
      <c r="X102" s="190"/>
      <c r="Y102" s="190"/>
      <c r="Z102" s="190"/>
      <c r="AA102" s="190"/>
      <c r="AB102" s="190"/>
      <c r="AC102" s="190"/>
      <c r="AD102" s="190"/>
      <c r="AE102" s="190"/>
      <c r="AF102" s="190"/>
      <c r="AG102" s="190"/>
      <c r="AH102" s="190"/>
      <c r="AI102" s="190"/>
      <c r="AJ102" s="190"/>
      <c r="AK102" s="190"/>
      <c r="AL102" s="190"/>
      <c r="AM102" s="190"/>
      <c r="AN102" s="190"/>
    </row>
    <row r="103" spans="1:40">
      <c r="B103" s="95"/>
      <c r="C103" s="39"/>
      <c r="E103" s="43"/>
      <c r="F103" s="43"/>
      <c r="G103" s="43"/>
      <c r="H103" s="43"/>
      <c r="I103" s="43"/>
      <c r="J103" s="43"/>
      <c r="K103" s="43"/>
      <c r="L103" s="43"/>
      <c r="M103" s="43"/>
      <c r="N103" s="43"/>
      <c r="O103" s="43"/>
      <c r="P103" s="43"/>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row>
    <row r="104" spans="1:40" s="539" customFormat="1">
      <c r="B104" s="537" t="s">
        <v>79</v>
      </c>
      <c r="C104" s="538"/>
      <c r="E104" s="540"/>
      <c r="F104" s="540"/>
      <c r="G104" s="540"/>
      <c r="H104" s="540"/>
      <c r="I104" s="540"/>
      <c r="J104" s="540"/>
      <c r="K104" s="540"/>
      <c r="L104" s="540"/>
      <c r="M104" s="540"/>
      <c r="N104" s="540"/>
      <c r="O104" s="540"/>
      <c r="P104" s="540"/>
      <c r="Q104" s="540"/>
      <c r="R104" s="540"/>
      <c r="S104" s="540"/>
      <c r="T104" s="540"/>
      <c r="U104" s="540"/>
      <c r="V104" s="540"/>
      <c r="W104" s="540"/>
      <c r="X104" s="540"/>
      <c r="Y104" s="540"/>
      <c r="Z104" s="540"/>
      <c r="AA104" s="540"/>
      <c r="AB104" s="540"/>
      <c r="AC104" s="540"/>
      <c r="AD104" s="540"/>
      <c r="AE104" s="540"/>
      <c r="AF104" s="540"/>
      <c r="AG104" s="540"/>
      <c r="AH104" s="540"/>
      <c r="AI104" s="540"/>
      <c r="AJ104" s="540"/>
      <c r="AK104" s="540"/>
      <c r="AL104" s="540"/>
      <c r="AM104" s="540"/>
      <c r="AN104" s="540"/>
    </row>
    <row r="105" spans="1:40" s="624" customFormat="1" outlineLevel="1">
      <c r="B105" s="625"/>
      <c r="C105" s="626"/>
      <c r="E105" s="627"/>
      <c r="F105" s="627"/>
      <c r="G105" s="627"/>
      <c r="H105" s="627"/>
      <c r="I105" s="627"/>
      <c r="J105" s="627"/>
      <c r="K105" s="627"/>
      <c r="L105" s="627"/>
      <c r="M105" s="627"/>
      <c r="N105" s="627"/>
      <c r="O105" s="627"/>
      <c r="P105" s="627"/>
      <c r="Q105" s="627"/>
      <c r="R105" s="627"/>
      <c r="S105" s="627"/>
      <c r="T105" s="627"/>
      <c r="U105" s="627"/>
      <c r="V105" s="627"/>
      <c r="W105" s="627"/>
      <c r="X105" s="627"/>
      <c r="Y105" s="627"/>
      <c r="Z105" s="627"/>
      <c r="AA105" s="627"/>
      <c r="AB105" s="627"/>
      <c r="AC105" s="627"/>
      <c r="AD105" s="627"/>
      <c r="AE105" s="627"/>
      <c r="AF105" s="627"/>
      <c r="AG105" s="627"/>
      <c r="AH105" s="627"/>
      <c r="AI105" s="627"/>
      <c r="AJ105" s="627"/>
      <c r="AK105" s="627"/>
      <c r="AL105" s="627"/>
      <c r="AM105" s="627"/>
      <c r="AN105" s="627"/>
    </row>
    <row r="106" spans="1:40" s="123" customFormat="1" outlineLevel="1">
      <c r="A106" s="684" t="s">
        <v>80</v>
      </c>
      <c r="B106" s="130" t="s">
        <v>81</v>
      </c>
      <c r="C106" s="39"/>
      <c r="E106" s="132"/>
      <c r="F106" s="132"/>
      <c r="G106" s="132"/>
      <c r="H106" s="132"/>
      <c r="I106" s="132"/>
      <c r="J106" s="132"/>
      <c r="K106" s="132"/>
      <c r="L106" s="132"/>
      <c r="M106" s="132"/>
      <c r="N106" s="132"/>
      <c r="O106" s="132"/>
      <c r="P106" s="132"/>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row>
    <row r="107" spans="1:40" outlineLevel="1">
      <c r="A107" s="683"/>
      <c r="B107" s="96" t="s">
        <v>70</v>
      </c>
      <c r="C107" s="39" t="s">
        <v>82</v>
      </c>
      <c r="E107" s="43">
        <v>1808</v>
      </c>
      <c r="F107" s="41">
        <v>1808</v>
      </c>
      <c r="G107" s="43">
        <v>1808</v>
      </c>
      <c r="H107" s="41">
        <v>1808</v>
      </c>
      <c r="I107" s="43">
        <v>1808</v>
      </c>
      <c r="J107" s="41">
        <v>1808</v>
      </c>
      <c r="K107" s="43">
        <v>1808</v>
      </c>
      <c r="L107" s="41">
        <v>1808</v>
      </c>
      <c r="M107" s="43">
        <v>1808</v>
      </c>
      <c r="N107" s="41">
        <v>1808</v>
      </c>
      <c r="O107" s="43">
        <v>1808</v>
      </c>
      <c r="P107" s="41">
        <v>1808</v>
      </c>
      <c r="Q107" s="43">
        <v>1808</v>
      </c>
      <c r="R107" s="43">
        <v>1808</v>
      </c>
      <c r="S107" s="41">
        <v>1715</v>
      </c>
      <c r="T107" s="43">
        <f t="shared" ref="T107:AN107" si="26">S107</f>
        <v>1715</v>
      </c>
      <c r="U107" s="43">
        <f t="shared" si="26"/>
        <v>1715</v>
      </c>
      <c r="V107" s="43">
        <f t="shared" si="26"/>
        <v>1715</v>
      </c>
      <c r="W107" s="43">
        <f t="shared" si="26"/>
        <v>1715</v>
      </c>
      <c r="X107" s="43">
        <f t="shared" si="26"/>
        <v>1715</v>
      </c>
      <c r="Y107" s="43">
        <f t="shared" si="26"/>
        <v>1715</v>
      </c>
      <c r="Z107" s="43">
        <f t="shared" si="26"/>
        <v>1715</v>
      </c>
      <c r="AA107" s="43">
        <f t="shared" si="26"/>
        <v>1715</v>
      </c>
      <c r="AB107" s="43">
        <f t="shared" si="26"/>
        <v>1715</v>
      </c>
      <c r="AC107" s="43">
        <f t="shared" si="26"/>
        <v>1715</v>
      </c>
      <c r="AD107" s="43">
        <f t="shared" si="26"/>
        <v>1715</v>
      </c>
      <c r="AE107" s="43">
        <f t="shared" si="26"/>
        <v>1715</v>
      </c>
      <c r="AF107" s="43">
        <f t="shared" si="26"/>
        <v>1715</v>
      </c>
      <c r="AG107" s="43">
        <f t="shared" si="26"/>
        <v>1715</v>
      </c>
      <c r="AH107" s="43">
        <f t="shared" si="26"/>
        <v>1715</v>
      </c>
      <c r="AI107" s="43">
        <f t="shared" si="26"/>
        <v>1715</v>
      </c>
      <c r="AJ107" s="43">
        <f t="shared" si="26"/>
        <v>1715</v>
      </c>
      <c r="AK107" s="43">
        <f t="shared" si="26"/>
        <v>1715</v>
      </c>
      <c r="AL107" s="43">
        <f t="shared" si="26"/>
        <v>1715</v>
      </c>
      <c r="AM107" s="43">
        <f t="shared" si="26"/>
        <v>1715</v>
      </c>
      <c r="AN107" s="43">
        <f t="shared" si="26"/>
        <v>1715</v>
      </c>
    </row>
    <row r="108" spans="1:40" outlineLevel="1">
      <c r="A108" s="683"/>
      <c r="B108" s="96" t="s">
        <v>77</v>
      </c>
      <c r="C108" s="39" t="s">
        <v>82</v>
      </c>
      <c r="E108" s="43">
        <f>F108</f>
        <v>339</v>
      </c>
      <c r="F108" s="41">
        <v>339</v>
      </c>
      <c r="G108" s="43">
        <f>H108</f>
        <v>339</v>
      </c>
      <c r="H108" s="41">
        <v>339</v>
      </c>
      <c r="I108" s="43">
        <f>J108</f>
        <v>339</v>
      </c>
      <c r="J108" s="41">
        <v>339</v>
      </c>
      <c r="K108" s="43">
        <f>L108</f>
        <v>339</v>
      </c>
      <c r="L108" s="41">
        <v>339</v>
      </c>
      <c r="M108" s="43">
        <v>425</v>
      </c>
      <c r="N108" s="41">
        <v>425</v>
      </c>
      <c r="O108" s="43">
        <v>425</v>
      </c>
      <c r="P108" s="41">
        <v>425</v>
      </c>
      <c r="Q108" s="43">
        <v>425</v>
      </c>
      <c r="R108" s="43">
        <v>425</v>
      </c>
      <c r="S108" s="41">
        <v>425</v>
      </c>
      <c r="T108" s="43">
        <v>425</v>
      </c>
      <c r="U108" s="43">
        <v>425</v>
      </c>
      <c r="V108" s="43">
        <v>425</v>
      </c>
      <c r="W108" s="43">
        <v>425</v>
      </c>
      <c r="X108" s="43">
        <v>425</v>
      </c>
      <c r="Y108" s="43">
        <v>425</v>
      </c>
      <c r="Z108" s="43">
        <v>425</v>
      </c>
      <c r="AA108" s="43">
        <v>425</v>
      </c>
      <c r="AB108" s="43">
        <v>425</v>
      </c>
      <c r="AC108" s="43">
        <v>425</v>
      </c>
      <c r="AD108" s="43">
        <v>425</v>
      </c>
      <c r="AE108" s="43">
        <v>425</v>
      </c>
      <c r="AF108" s="43">
        <v>425</v>
      </c>
      <c r="AG108" s="43">
        <v>425</v>
      </c>
      <c r="AH108" s="43">
        <v>425</v>
      </c>
      <c r="AI108" s="43">
        <v>425</v>
      </c>
      <c r="AJ108" s="43">
        <v>425</v>
      </c>
      <c r="AK108" s="43">
        <v>425</v>
      </c>
      <c r="AL108" s="43">
        <v>425</v>
      </c>
      <c r="AM108" s="43">
        <v>425</v>
      </c>
      <c r="AN108" s="43">
        <v>425</v>
      </c>
    </row>
    <row r="109" spans="1:40" outlineLevel="1">
      <c r="A109" s="683"/>
      <c r="B109" s="96" t="s">
        <v>78</v>
      </c>
      <c r="C109" s="39" t="s">
        <v>82</v>
      </c>
      <c r="E109" s="43">
        <f>F109</f>
        <v>828</v>
      </c>
      <c r="F109" s="41">
        <v>828</v>
      </c>
      <c r="G109" s="43">
        <f>H109</f>
        <v>828</v>
      </c>
      <c r="H109" s="41">
        <v>828</v>
      </c>
      <c r="I109" s="43">
        <f>J109</f>
        <v>828</v>
      </c>
      <c r="J109" s="41">
        <v>828</v>
      </c>
      <c r="K109" s="41">
        <v>1035</v>
      </c>
      <c r="L109" s="41">
        <v>1080</v>
      </c>
      <c r="M109" s="43">
        <f>N109</f>
        <v>1075</v>
      </c>
      <c r="N109" s="41">
        <v>1075</v>
      </c>
      <c r="O109" s="43">
        <f>P109</f>
        <v>1080</v>
      </c>
      <c r="P109" s="41">
        <v>1080</v>
      </c>
      <c r="Q109" s="43">
        <f>R109</f>
        <v>1080</v>
      </c>
      <c r="R109" s="43">
        <f>S109</f>
        <v>1080</v>
      </c>
      <c r="S109" s="41">
        <v>1080</v>
      </c>
      <c r="T109" s="43">
        <f t="shared" ref="T109:AN109" si="27">S109</f>
        <v>1080</v>
      </c>
      <c r="U109" s="43">
        <f t="shared" si="27"/>
        <v>1080</v>
      </c>
      <c r="V109" s="43">
        <f t="shared" si="27"/>
        <v>1080</v>
      </c>
      <c r="W109" s="43">
        <f t="shared" si="27"/>
        <v>1080</v>
      </c>
      <c r="X109" s="43">
        <f t="shared" si="27"/>
        <v>1080</v>
      </c>
      <c r="Y109" s="43">
        <f t="shared" si="27"/>
        <v>1080</v>
      </c>
      <c r="Z109" s="43">
        <f t="shared" si="27"/>
        <v>1080</v>
      </c>
      <c r="AA109" s="43">
        <f t="shared" si="27"/>
        <v>1080</v>
      </c>
      <c r="AB109" s="43">
        <f t="shared" si="27"/>
        <v>1080</v>
      </c>
      <c r="AC109" s="43">
        <f t="shared" si="27"/>
        <v>1080</v>
      </c>
      <c r="AD109" s="43">
        <f t="shared" si="27"/>
        <v>1080</v>
      </c>
      <c r="AE109" s="43">
        <f t="shared" si="27"/>
        <v>1080</v>
      </c>
      <c r="AF109" s="43">
        <f t="shared" si="27"/>
        <v>1080</v>
      </c>
      <c r="AG109" s="43">
        <f t="shared" si="27"/>
        <v>1080</v>
      </c>
      <c r="AH109" s="43">
        <f t="shared" si="27"/>
        <v>1080</v>
      </c>
      <c r="AI109" s="43">
        <f t="shared" si="27"/>
        <v>1080</v>
      </c>
      <c r="AJ109" s="43">
        <f t="shared" si="27"/>
        <v>1080</v>
      </c>
      <c r="AK109" s="43">
        <f t="shared" si="27"/>
        <v>1080</v>
      </c>
      <c r="AL109" s="43">
        <f t="shared" si="27"/>
        <v>1080</v>
      </c>
      <c r="AM109" s="43">
        <f t="shared" si="27"/>
        <v>1080</v>
      </c>
      <c r="AN109" s="43">
        <f t="shared" si="27"/>
        <v>1080</v>
      </c>
    </row>
    <row r="110" spans="1:40" hidden="1" outlineLevel="2">
      <c r="A110" s="683"/>
      <c r="B110" s="623" t="s">
        <v>83</v>
      </c>
      <c r="C110" s="39"/>
      <c r="E110" s="43"/>
      <c r="F110" s="43"/>
      <c r="G110" s="43"/>
      <c r="H110" s="43"/>
      <c r="I110" s="43"/>
      <c r="J110" s="43"/>
      <c r="K110" s="43"/>
      <c r="L110" s="43"/>
      <c r="M110" s="43"/>
      <c r="N110" s="43"/>
      <c r="O110" s="43"/>
      <c r="P110" s="43"/>
      <c r="Q110" s="48"/>
      <c r="R110" s="43"/>
      <c r="S110" s="48"/>
      <c r="T110" s="48"/>
      <c r="U110" s="48"/>
      <c r="V110" s="48"/>
      <c r="W110" s="48"/>
      <c r="X110" s="48"/>
      <c r="Y110" s="48"/>
      <c r="Z110" s="48"/>
      <c r="AA110" s="48"/>
      <c r="AB110" s="48"/>
      <c r="AC110" s="48"/>
      <c r="AD110" s="48"/>
      <c r="AE110" s="48"/>
      <c r="AF110" s="48"/>
      <c r="AG110" s="48"/>
      <c r="AH110" s="48"/>
      <c r="AI110" s="48"/>
      <c r="AJ110" s="48"/>
      <c r="AK110" s="48"/>
      <c r="AL110" s="48"/>
      <c r="AM110" s="48"/>
      <c r="AN110" s="48"/>
    </row>
    <row r="111" spans="1:40" hidden="1" outlineLevel="2">
      <c r="A111" s="683"/>
      <c r="B111" s="126" t="s">
        <v>70</v>
      </c>
      <c r="C111" s="39" t="s">
        <v>82</v>
      </c>
      <c r="E111" s="43">
        <f>F111</f>
        <v>1877</v>
      </c>
      <c r="F111" s="41">
        <v>1877</v>
      </c>
      <c r="G111" s="43">
        <f>H111</f>
        <v>1877</v>
      </c>
      <c r="H111" s="41">
        <v>1877</v>
      </c>
      <c r="I111" s="43">
        <f>J111</f>
        <v>1877</v>
      </c>
      <c r="J111" s="41">
        <v>1877</v>
      </c>
      <c r="K111" s="43">
        <f>L111</f>
        <v>1877</v>
      </c>
      <c r="L111" s="41">
        <v>1877</v>
      </c>
      <c r="M111" s="43">
        <f>N111</f>
        <v>1877</v>
      </c>
      <c r="N111" s="41">
        <v>1877</v>
      </c>
      <c r="O111" s="43">
        <f>P111</f>
        <v>1877</v>
      </c>
      <c r="P111" s="41">
        <v>1877</v>
      </c>
      <c r="Q111" s="43">
        <v>1877</v>
      </c>
      <c r="R111" s="41">
        <v>1877</v>
      </c>
      <c r="S111" s="41">
        <v>1877</v>
      </c>
      <c r="T111" s="43">
        <v>1877</v>
      </c>
      <c r="U111" s="43">
        <v>1877</v>
      </c>
      <c r="V111" s="43">
        <v>1877</v>
      </c>
      <c r="W111" s="43">
        <v>1877</v>
      </c>
      <c r="X111" s="43">
        <v>1877</v>
      </c>
      <c r="Y111" s="43">
        <v>1877</v>
      </c>
      <c r="Z111" s="43">
        <v>1877</v>
      </c>
      <c r="AA111" s="43">
        <v>1877</v>
      </c>
      <c r="AB111" s="43">
        <v>1877</v>
      </c>
      <c r="AC111" s="43">
        <v>1877</v>
      </c>
      <c r="AD111" s="43">
        <v>1877</v>
      </c>
      <c r="AE111" s="43">
        <v>1877</v>
      </c>
      <c r="AF111" s="43">
        <v>1877</v>
      </c>
      <c r="AG111" s="43">
        <v>1877</v>
      </c>
      <c r="AH111" s="43">
        <v>1877</v>
      </c>
      <c r="AI111" s="43">
        <v>1877</v>
      </c>
      <c r="AJ111" s="43">
        <v>1877</v>
      </c>
      <c r="AK111" s="43">
        <v>1877</v>
      </c>
      <c r="AL111" s="43">
        <v>1877</v>
      </c>
      <c r="AM111" s="43">
        <v>1877</v>
      </c>
      <c r="AN111" s="43">
        <v>1877</v>
      </c>
    </row>
    <row r="112" spans="1:40" hidden="1" outlineLevel="2">
      <c r="A112" s="683"/>
      <c r="B112" s="126" t="s">
        <v>77</v>
      </c>
      <c r="C112" s="39" t="s">
        <v>82</v>
      </c>
      <c r="E112" s="43">
        <f>F112</f>
        <v>339</v>
      </c>
      <c r="F112" s="41">
        <v>339</v>
      </c>
      <c r="G112" s="43">
        <f>H112</f>
        <v>339</v>
      </c>
      <c r="H112" s="41">
        <v>339</v>
      </c>
      <c r="I112" s="43">
        <f>J112</f>
        <v>339</v>
      </c>
      <c r="J112" s="41">
        <v>339</v>
      </c>
      <c r="K112" s="43">
        <f>L112</f>
        <v>339</v>
      </c>
      <c r="L112" s="41">
        <v>339</v>
      </c>
      <c r="M112" s="43">
        <v>425</v>
      </c>
      <c r="N112" s="41">
        <v>425</v>
      </c>
      <c r="O112" s="43">
        <v>425</v>
      </c>
      <c r="P112" s="41">
        <v>425</v>
      </c>
      <c r="Q112" s="43">
        <v>425</v>
      </c>
      <c r="R112" s="41">
        <v>425</v>
      </c>
      <c r="S112" s="41">
        <v>425</v>
      </c>
      <c r="T112" s="43">
        <v>425</v>
      </c>
      <c r="U112" s="43">
        <v>425</v>
      </c>
      <c r="V112" s="43">
        <v>425</v>
      </c>
      <c r="W112" s="43">
        <v>425</v>
      </c>
      <c r="X112" s="43">
        <v>425</v>
      </c>
      <c r="Y112" s="43">
        <v>425</v>
      </c>
      <c r="Z112" s="43">
        <v>425</v>
      </c>
      <c r="AA112" s="43">
        <v>425</v>
      </c>
      <c r="AB112" s="43">
        <v>425</v>
      </c>
      <c r="AC112" s="43">
        <v>425</v>
      </c>
      <c r="AD112" s="43">
        <v>425</v>
      </c>
      <c r="AE112" s="43">
        <v>425</v>
      </c>
      <c r="AF112" s="43">
        <v>425</v>
      </c>
      <c r="AG112" s="43">
        <v>425</v>
      </c>
      <c r="AH112" s="43">
        <v>425</v>
      </c>
      <c r="AI112" s="43">
        <v>425</v>
      </c>
      <c r="AJ112" s="43">
        <v>425</v>
      </c>
      <c r="AK112" s="43">
        <v>425</v>
      </c>
      <c r="AL112" s="43">
        <v>425</v>
      </c>
      <c r="AM112" s="43">
        <v>425</v>
      </c>
      <c r="AN112" s="43">
        <v>425</v>
      </c>
    </row>
    <row r="113" spans="1:40" hidden="1" outlineLevel="2">
      <c r="A113" s="683"/>
      <c r="B113" s="126" t="s">
        <v>78</v>
      </c>
      <c r="C113" s="39" t="s">
        <v>82</v>
      </c>
      <c r="E113" s="43">
        <f>F113</f>
        <v>1500</v>
      </c>
      <c r="F113" s="41">
        <v>1500</v>
      </c>
      <c r="G113" s="43">
        <f>H113</f>
        <v>1500</v>
      </c>
      <c r="H113" s="41">
        <v>1500</v>
      </c>
      <c r="I113" s="43">
        <f>J113</f>
        <v>1500</v>
      </c>
      <c r="J113" s="41">
        <v>1500</v>
      </c>
      <c r="K113" s="43">
        <f>L113</f>
        <v>1500</v>
      </c>
      <c r="L113" s="41">
        <v>1500</v>
      </c>
      <c r="M113" s="43">
        <f>N113</f>
        <v>1500</v>
      </c>
      <c r="N113" s="41">
        <v>1500</v>
      </c>
      <c r="O113" s="43">
        <f>P113</f>
        <v>1500</v>
      </c>
      <c r="P113" s="41">
        <v>1500</v>
      </c>
      <c r="Q113" s="43">
        <v>1500</v>
      </c>
      <c r="R113" s="41">
        <v>1500</v>
      </c>
      <c r="S113" s="41">
        <v>1500</v>
      </c>
      <c r="T113" s="43">
        <v>1500</v>
      </c>
      <c r="U113" s="43">
        <v>1500</v>
      </c>
      <c r="V113" s="43">
        <v>1500</v>
      </c>
      <c r="W113" s="43">
        <v>1500</v>
      </c>
      <c r="X113" s="43">
        <v>1500</v>
      </c>
      <c r="Y113" s="43">
        <v>1500</v>
      </c>
      <c r="Z113" s="43">
        <v>1500</v>
      </c>
      <c r="AA113" s="43">
        <v>1500</v>
      </c>
      <c r="AB113" s="43">
        <v>1500</v>
      </c>
      <c r="AC113" s="43">
        <v>1500</v>
      </c>
      <c r="AD113" s="43">
        <v>1500</v>
      </c>
      <c r="AE113" s="43">
        <v>1500</v>
      </c>
      <c r="AF113" s="43">
        <v>1500</v>
      </c>
      <c r="AG113" s="43">
        <v>1500</v>
      </c>
      <c r="AH113" s="43">
        <v>1500</v>
      </c>
      <c r="AI113" s="43">
        <v>1500</v>
      </c>
      <c r="AJ113" s="43">
        <v>1500</v>
      </c>
      <c r="AK113" s="43">
        <v>1500</v>
      </c>
      <c r="AL113" s="43">
        <v>1500</v>
      </c>
      <c r="AM113" s="43">
        <v>1500</v>
      </c>
      <c r="AN113" s="43">
        <v>1500</v>
      </c>
    </row>
    <row r="114" spans="1:40" outlineLevel="1" collapsed="1">
      <c r="A114" s="683"/>
      <c r="B114" s="126"/>
      <c r="C114" s="39"/>
      <c r="E114" s="43"/>
      <c r="F114" s="41"/>
      <c r="G114" s="43"/>
      <c r="H114" s="41"/>
      <c r="I114" s="43"/>
      <c r="J114" s="41"/>
      <c r="K114" s="43"/>
      <c r="L114" s="41"/>
      <c r="M114" s="43"/>
      <c r="N114" s="41"/>
      <c r="O114" s="43"/>
      <c r="P114" s="41"/>
      <c r="Q114" s="43"/>
      <c r="R114" s="41"/>
      <c r="S114" s="41"/>
      <c r="T114" s="43"/>
      <c r="U114" s="43"/>
      <c r="V114" s="43"/>
      <c r="W114" s="43"/>
      <c r="X114" s="43"/>
      <c r="Y114" s="43"/>
      <c r="Z114" s="43"/>
      <c r="AA114" s="43"/>
      <c r="AB114" s="43"/>
      <c r="AC114" s="43"/>
      <c r="AD114" s="43"/>
      <c r="AE114" s="43"/>
      <c r="AF114" s="43"/>
      <c r="AG114" s="43"/>
      <c r="AH114" s="43"/>
      <c r="AI114" s="43"/>
      <c r="AJ114" s="43"/>
      <c r="AK114" s="43"/>
      <c r="AL114" s="43"/>
      <c r="AM114" s="43"/>
      <c r="AN114" s="43"/>
    </row>
    <row r="115" spans="1:40" outlineLevel="1">
      <c r="A115" s="683"/>
      <c r="B115" s="130" t="s">
        <v>84</v>
      </c>
      <c r="C115" s="39"/>
      <c r="E115" s="43"/>
      <c r="F115" s="43"/>
      <c r="G115" s="43"/>
      <c r="H115" s="43"/>
      <c r="I115" s="43"/>
      <c r="J115" s="43"/>
      <c r="K115" s="43"/>
      <c r="L115" s="43"/>
      <c r="M115" s="43"/>
      <c r="N115" s="43"/>
      <c r="O115" s="43"/>
      <c r="P115" s="43"/>
      <c r="Q115" s="48"/>
      <c r="R115" s="43"/>
      <c r="S115" s="48"/>
      <c r="T115" s="48"/>
      <c r="U115" s="48"/>
      <c r="V115" s="48"/>
      <c r="W115" s="48"/>
      <c r="X115" s="48"/>
      <c r="Y115" s="48"/>
      <c r="Z115" s="48"/>
      <c r="AA115" s="48"/>
      <c r="AB115" s="48"/>
      <c r="AC115" s="48"/>
      <c r="AD115" s="48"/>
      <c r="AE115" s="48"/>
      <c r="AF115" s="48"/>
      <c r="AG115" s="48"/>
      <c r="AH115" s="48"/>
      <c r="AI115" s="48"/>
      <c r="AJ115" s="48"/>
      <c r="AK115" s="48"/>
      <c r="AL115" s="48"/>
      <c r="AM115" s="48"/>
      <c r="AN115" s="48"/>
    </row>
    <row r="116" spans="1:40" outlineLevel="1">
      <c r="A116" s="683"/>
      <c r="B116" s="96" t="s">
        <v>70</v>
      </c>
      <c r="C116" s="39" t="s">
        <v>85</v>
      </c>
      <c r="E116" s="47">
        <f t="shared" ref="E116:V116" si="28">E125*1000000/E107/E$13</f>
        <v>328.72919873028087</v>
      </c>
      <c r="F116" s="47">
        <f t="shared" si="28"/>
        <v>379.74768371388063</v>
      </c>
      <c r="G116" s="47">
        <f t="shared" si="28"/>
        <v>352.26589553674489</v>
      </c>
      <c r="H116" s="47">
        <f t="shared" si="28"/>
        <v>408.91180389184967</v>
      </c>
      <c r="I116" s="47">
        <f t="shared" si="28"/>
        <v>364.5572816467872</v>
      </c>
      <c r="J116" s="47">
        <f t="shared" si="28"/>
        <v>289.56815861130025</v>
      </c>
      <c r="K116" s="47">
        <f t="shared" si="28"/>
        <v>315.91477491342823</v>
      </c>
      <c r="L116" s="47">
        <f t="shared" si="28"/>
        <v>423.24927883440091</v>
      </c>
      <c r="M116" s="47">
        <f t="shared" si="28"/>
        <v>156.91131204309349</v>
      </c>
      <c r="N116" s="47">
        <f t="shared" si="28"/>
        <v>333.64604214540657</v>
      </c>
      <c r="O116" s="47">
        <f t="shared" si="28"/>
        <v>407.60869565217394</v>
      </c>
      <c r="P116" s="47">
        <f t="shared" si="28"/>
        <v>396.3355009045128</v>
      </c>
      <c r="Q116" s="47">
        <f t="shared" si="28"/>
        <v>384.46277414390153</v>
      </c>
      <c r="R116" s="47">
        <f t="shared" si="28"/>
        <v>364.0717689390255</v>
      </c>
      <c r="S116" s="47">
        <f t="shared" si="28"/>
        <v>374.88908606921029</v>
      </c>
      <c r="T116" s="47">
        <f t="shared" si="28"/>
        <v>372.40468405199493</v>
      </c>
      <c r="U116" s="47">
        <f t="shared" si="28"/>
        <v>351.43871213081502</v>
      </c>
      <c r="V116" s="47">
        <f t="shared" si="28"/>
        <v>332.13601146851795</v>
      </c>
      <c r="W116" s="94">
        <v>365</v>
      </c>
      <c r="X116" s="134">
        <f t="shared" ref="X116:AG117" si="29">V116*(1+X120)</f>
        <v>358.70689238599942</v>
      </c>
      <c r="Y116" s="134">
        <f t="shared" si="29"/>
        <v>385.07499999999999</v>
      </c>
      <c r="Z116" s="134">
        <f t="shared" si="29"/>
        <v>378.43577146722936</v>
      </c>
      <c r="AA116" s="134">
        <f t="shared" si="29"/>
        <v>396.62725</v>
      </c>
      <c r="AB116" s="134">
        <f t="shared" si="29"/>
        <v>389.78884461124625</v>
      </c>
      <c r="AC116" s="134">
        <f t="shared" si="29"/>
        <v>408.52606750000001</v>
      </c>
      <c r="AD116" s="134">
        <f t="shared" si="29"/>
        <v>401.48250994958363</v>
      </c>
      <c r="AE116" s="134">
        <f t="shared" si="29"/>
        <v>420.78184952500004</v>
      </c>
      <c r="AF116" s="134">
        <f t="shared" si="29"/>
        <v>413.52698524807113</v>
      </c>
      <c r="AG116" s="134">
        <f t="shared" si="29"/>
        <v>433.40530501075006</v>
      </c>
      <c r="AH116" s="134">
        <f t="shared" ref="AH116:AN117" si="30">AF116*(1+AH120)</f>
        <v>425.93279480551325</v>
      </c>
      <c r="AI116" s="134">
        <f t="shared" si="30"/>
        <v>446.4074641610726</v>
      </c>
      <c r="AJ116" s="134">
        <f t="shared" si="30"/>
        <v>438.71077864967867</v>
      </c>
      <c r="AK116" s="134">
        <f t="shared" si="30"/>
        <v>459.79968808590479</v>
      </c>
      <c r="AL116" s="134">
        <f t="shared" si="30"/>
        <v>451.87210200916905</v>
      </c>
      <c r="AM116" s="134">
        <f t="shared" si="30"/>
        <v>473.59367872848196</v>
      </c>
      <c r="AN116" s="134">
        <f t="shared" si="30"/>
        <v>465.42826506944414</v>
      </c>
    </row>
    <row r="117" spans="1:40" outlineLevel="1">
      <c r="A117" s="683"/>
      <c r="B117" s="96" t="s">
        <v>77</v>
      </c>
      <c r="C117" s="39" t="s">
        <v>85</v>
      </c>
      <c r="E117" s="47">
        <f t="shared" ref="E117:V117" si="31">E126*1000000/E108/E$13</f>
        <v>297.08541746825705</v>
      </c>
      <c r="F117" s="47">
        <f t="shared" si="31"/>
        <v>345.52437295262308</v>
      </c>
      <c r="G117" s="47">
        <f t="shared" si="31"/>
        <v>318.00692574066949</v>
      </c>
      <c r="H117" s="47">
        <f t="shared" si="31"/>
        <v>349.70713342785899</v>
      </c>
      <c r="I117" s="47">
        <f t="shared" si="31"/>
        <v>337.53366679492115</v>
      </c>
      <c r="J117" s="47">
        <f t="shared" si="31"/>
        <v>286.89779247301374</v>
      </c>
      <c r="K117" s="47">
        <f t="shared" si="31"/>
        <v>369.61331281262022</v>
      </c>
      <c r="L117" s="47">
        <f t="shared" si="31"/>
        <v>424.585635359116</v>
      </c>
      <c r="M117" s="47">
        <f t="shared" si="31"/>
        <v>225.84398976982095</v>
      </c>
      <c r="N117" s="47">
        <f t="shared" si="31"/>
        <v>313.27916802079949</v>
      </c>
      <c r="O117" s="47">
        <f t="shared" si="31"/>
        <v>360.61381074168798</v>
      </c>
      <c r="P117" s="47">
        <f t="shared" si="31"/>
        <v>335.39161520961977</v>
      </c>
      <c r="Q117" s="47">
        <f t="shared" si="31"/>
        <v>337.59590792838878</v>
      </c>
      <c r="R117" s="47">
        <f t="shared" si="31"/>
        <v>334.84162895927602</v>
      </c>
      <c r="S117" s="47">
        <f t="shared" si="31"/>
        <v>332.48081841432224</v>
      </c>
      <c r="T117" s="47">
        <f t="shared" si="31"/>
        <v>321.09197270068256</v>
      </c>
      <c r="U117" s="47">
        <f t="shared" si="31"/>
        <v>317.13554987212274</v>
      </c>
      <c r="V117" s="47">
        <f t="shared" si="31"/>
        <v>324.99187520311989</v>
      </c>
      <c r="W117" s="134">
        <f>U117*(1+W121)</f>
        <v>323.47826086956519</v>
      </c>
      <c r="X117" s="134">
        <f t="shared" si="29"/>
        <v>331.49171270718227</v>
      </c>
      <c r="Y117" s="134">
        <f t="shared" si="29"/>
        <v>336.4173913043478</v>
      </c>
      <c r="Z117" s="134">
        <f t="shared" si="29"/>
        <v>344.75138121546956</v>
      </c>
      <c r="AA117" s="134">
        <f t="shared" si="29"/>
        <v>349.87408695652175</v>
      </c>
      <c r="AB117" s="134">
        <f t="shared" si="29"/>
        <v>355.09392265193367</v>
      </c>
      <c r="AC117" s="134">
        <f t="shared" si="29"/>
        <v>360.37030956521744</v>
      </c>
      <c r="AD117" s="134">
        <f t="shared" si="29"/>
        <v>365.74674033149171</v>
      </c>
      <c r="AE117" s="134">
        <f t="shared" si="29"/>
        <v>371.18141885217398</v>
      </c>
      <c r="AF117" s="134">
        <f t="shared" si="29"/>
        <v>376.7191425414365</v>
      </c>
      <c r="AG117" s="134">
        <f t="shared" si="29"/>
        <v>382.31686141773923</v>
      </c>
      <c r="AH117" s="134">
        <f t="shared" si="30"/>
        <v>388.02071681767961</v>
      </c>
      <c r="AI117" s="134">
        <f t="shared" si="30"/>
        <v>393.78636726027145</v>
      </c>
      <c r="AJ117" s="134">
        <f t="shared" si="30"/>
        <v>399.66133832220999</v>
      </c>
      <c r="AK117" s="134">
        <f t="shared" si="30"/>
        <v>405.59995827807961</v>
      </c>
      <c r="AL117" s="134">
        <f t="shared" si="30"/>
        <v>411.65117847187628</v>
      </c>
      <c r="AM117" s="134">
        <f t="shared" si="30"/>
        <v>417.76795702642204</v>
      </c>
      <c r="AN117" s="134">
        <f t="shared" si="30"/>
        <v>424.00071382603255</v>
      </c>
    </row>
    <row r="118" spans="1:40" outlineLevel="1">
      <c r="A118" s="683"/>
      <c r="B118" s="96" t="s">
        <v>78</v>
      </c>
      <c r="C118" s="39" t="s">
        <v>86</v>
      </c>
      <c r="E118" s="47">
        <f t="shared" ref="E118:V118" si="32">E127*1000000/E109/E$13</f>
        <v>168.67128285716589</v>
      </c>
      <c r="F118" s="47">
        <f t="shared" si="32"/>
        <v>156.17227503456439</v>
      </c>
      <c r="G118" s="47">
        <f t="shared" si="32"/>
        <v>167.21977627799654</v>
      </c>
      <c r="H118" s="47">
        <f t="shared" si="32"/>
        <v>148.40842876073552</v>
      </c>
      <c r="I118" s="47">
        <f t="shared" si="32"/>
        <v>165.67400637108457</v>
      </c>
      <c r="J118" s="47">
        <f t="shared" si="32"/>
        <v>64.698978242136292</v>
      </c>
      <c r="K118" s="47">
        <f t="shared" si="32"/>
        <v>130.62799052025585</v>
      </c>
      <c r="L118" s="47">
        <f t="shared" si="32"/>
        <v>185.37183080461594</v>
      </c>
      <c r="M118" s="47">
        <f t="shared" si="32"/>
        <v>164.32728517630946</v>
      </c>
      <c r="N118" s="47">
        <f t="shared" si="32"/>
        <v>198.37069225133399</v>
      </c>
      <c r="O118" s="47">
        <f t="shared" si="32"/>
        <v>259.66183574879227</v>
      </c>
      <c r="P118" s="47">
        <f t="shared" si="32"/>
        <v>246.57253939021891</v>
      </c>
      <c r="Q118" s="47">
        <f t="shared" si="32"/>
        <v>234.50080515297904</v>
      </c>
      <c r="R118" s="47">
        <f t="shared" si="32"/>
        <v>260.98901098901104</v>
      </c>
      <c r="S118" s="47">
        <f t="shared" si="32"/>
        <v>253.11996779388082</v>
      </c>
      <c r="T118" s="47">
        <f t="shared" si="32"/>
        <v>233.27194597912833</v>
      </c>
      <c r="U118" s="47">
        <f t="shared" si="32"/>
        <v>252.61674718196457</v>
      </c>
      <c r="V118" s="47">
        <f t="shared" si="32"/>
        <v>270.10435850214856</v>
      </c>
      <c r="W118" s="94">
        <v>230</v>
      </c>
      <c r="X118" s="632">
        <v>215</v>
      </c>
      <c r="Y118" s="632">
        <v>215</v>
      </c>
      <c r="Z118" s="134">
        <f t="shared" ref="Z118:AN118" si="33">X118*(1+Z122)</f>
        <v>227.9</v>
      </c>
      <c r="AA118" s="134">
        <f t="shared" si="33"/>
        <v>227.9</v>
      </c>
      <c r="AB118" s="134">
        <f t="shared" si="33"/>
        <v>241.57400000000001</v>
      </c>
      <c r="AC118" s="134">
        <f t="shared" si="33"/>
        <v>241.57400000000001</v>
      </c>
      <c r="AD118" s="134">
        <f t="shared" si="33"/>
        <v>256.06844000000001</v>
      </c>
      <c r="AE118" s="134">
        <f t="shared" si="33"/>
        <v>256.06844000000001</v>
      </c>
      <c r="AF118" s="134">
        <f t="shared" si="33"/>
        <v>271.43254640000004</v>
      </c>
      <c r="AG118" s="134">
        <f t="shared" si="33"/>
        <v>271.43254640000004</v>
      </c>
      <c r="AH118" s="134">
        <f t="shared" si="33"/>
        <v>287.71849918400005</v>
      </c>
      <c r="AI118" s="134">
        <f t="shared" si="33"/>
        <v>287.71849918400005</v>
      </c>
      <c r="AJ118" s="134">
        <f t="shared" si="33"/>
        <v>304.98160913504006</v>
      </c>
      <c r="AK118" s="134">
        <f t="shared" si="33"/>
        <v>296.35005415952008</v>
      </c>
      <c r="AL118" s="134">
        <f t="shared" si="33"/>
        <v>314.13105740909128</v>
      </c>
      <c r="AM118" s="134">
        <f t="shared" si="33"/>
        <v>305.24055578430568</v>
      </c>
      <c r="AN118" s="134">
        <f t="shared" si="33"/>
        <v>323.55498913136404</v>
      </c>
    </row>
    <row r="119" spans="1:40" outlineLevel="1">
      <c r="A119" s="683"/>
      <c r="B119" s="139" t="s">
        <v>87</v>
      </c>
      <c r="C119" s="39"/>
      <c r="E119" s="47"/>
      <c r="F119" s="47"/>
      <c r="G119" s="47"/>
      <c r="H119" s="47"/>
      <c r="I119" s="47"/>
      <c r="J119" s="47"/>
      <c r="K119" s="47"/>
      <c r="L119" s="47"/>
      <c r="M119" s="47"/>
      <c r="N119" s="47"/>
      <c r="O119" s="47"/>
      <c r="P119" s="47"/>
      <c r="Q119" s="47"/>
      <c r="R119" s="47"/>
      <c r="S119" s="541"/>
      <c r="T119" s="541"/>
      <c r="U119" s="541"/>
      <c r="V119" s="541"/>
      <c r="W119" s="541"/>
      <c r="X119" s="541"/>
      <c r="Y119" s="541"/>
      <c r="Z119" s="541"/>
      <c r="AA119" s="541"/>
      <c r="AB119" s="541"/>
      <c r="AC119" s="541"/>
      <c r="AD119" s="541"/>
      <c r="AE119" s="541"/>
      <c r="AF119" s="541"/>
      <c r="AG119" s="541"/>
      <c r="AH119" s="541"/>
      <c r="AI119" s="541"/>
      <c r="AJ119" s="541"/>
      <c r="AK119" s="541"/>
      <c r="AL119" s="541"/>
      <c r="AM119" s="541"/>
      <c r="AN119" s="541"/>
    </row>
    <row r="120" spans="1:40" outlineLevel="1">
      <c r="A120" s="683"/>
      <c r="B120" s="137" t="s">
        <v>70</v>
      </c>
      <c r="C120" s="39" t="s">
        <v>88</v>
      </c>
      <c r="E120" s="47"/>
      <c r="F120" s="47"/>
      <c r="G120" s="93">
        <f t="shared" ref="G120:V122" si="34">G116/E116-1</f>
        <v>7.1599045346061985E-2</v>
      </c>
      <c r="H120" s="93">
        <f t="shared" si="34"/>
        <v>7.679867825064246E-2</v>
      </c>
      <c r="I120" s="93">
        <f t="shared" si="34"/>
        <v>3.4892353377876661E-2</v>
      </c>
      <c r="J120" s="93">
        <f t="shared" si="34"/>
        <v>-0.29185668925349439</v>
      </c>
      <c r="K120" s="93">
        <f t="shared" si="34"/>
        <v>-0.13342898134863701</v>
      </c>
      <c r="L120" s="93">
        <f t="shared" si="34"/>
        <v>0.46165683707837002</v>
      </c>
      <c r="M120" s="93">
        <f t="shared" si="34"/>
        <v>-0.50331125827814571</v>
      </c>
      <c r="N120" s="93">
        <f t="shared" si="34"/>
        <v>-0.21170322353709714</v>
      </c>
      <c r="O120" s="93">
        <f t="shared" si="34"/>
        <v>1.5977011494252875</v>
      </c>
      <c r="P120" s="93">
        <f t="shared" si="34"/>
        <v>0.18789210972203141</v>
      </c>
      <c r="Q120" s="93">
        <f t="shared" si="34"/>
        <v>-5.6784660766961648E-2</v>
      </c>
      <c r="R120" s="93">
        <f t="shared" si="34"/>
        <v>-8.1405102222373071E-2</v>
      </c>
      <c r="S120" s="93">
        <f t="shared" si="34"/>
        <v>-2.4901469579231339E-2</v>
      </c>
      <c r="T120" s="93">
        <f t="shared" si="34"/>
        <v>2.2888111147022272E-2</v>
      </c>
      <c r="U120" s="93">
        <f t="shared" si="34"/>
        <v>-6.2552831783601159E-2</v>
      </c>
      <c r="V120" s="93">
        <f t="shared" si="34"/>
        <v>-0.1081314878892734</v>
      </c>
      <c r="W120" s="514">
        <v>0.08</v>
      </c>
      <c r="X120" s="514">
        <v>0.08</v>
      </c>
      <c r="Y120" s="150">
        <v>5.5E-2</v>
      </c>
      <c r="Z120" s="150">
        <v>5.5E-2</v>
      </c>
      <c r="AA120" s="150">
        <v>0.03</v>
      </c>
      <c r="AB120" s="150">
        <v>0.03</v>
      </c>
      <c r="AC120" s="150">
        <v>0.03</v>
      </c>
      <c r="AD120" s="150">
        <v>0.03</v>
      </c>
      <c r="AE120" s="150">
        <v>0.03</v>
      </c>
      <c r="AF120" s="150">
        <v>0.03</v>
      </c>
      <c r="AG120" s="150">
        <v>0.03</v>
      </c>
      <c r="AH120" s="150">
        <v>0.03</v>
      </c>
      <c r="AI120" s="150">
        <v>0.03</v>
      </c>
      <c r="AJ120" s="150">
        <v>0.03</v>
      </c>
      <c r="AK120" s="150">
        <v>0.03</v>
      </c>
      <c r="AL120" s="150">
        <v>0.03</v>
      </c>
      <c r="AM120" s="150">
        <v>0.03</v>
      </c>
      <c r="AN120" s="150">
        <v>0.03</v>
      </c>
    </row>
    <row r="121" spans="1:40" outlineLevel="1">
      <c r="A121" s="683"/>
      <c r="B121" s="137" t="s">
        <v>77</v>
      </c>
      <c r="C121" s="39" t="s">
        <v>88</v>
      </c>
      <c r="E121" s="47"/>
      <c r="F121" s="47"/>
      <c r="G121" s="93">
        <f t="shared" si="34"/>
        <v>7.0422535211267512E-2</v>
      </c>
      <c r="H121" s="93">
        <f t="shared" si="34"/>
        <v>1.2105543928762064E-2</v>
      </c>
      <c r="I121" s="93">
        <f t="shared" si="34"/>
        <v>6.1403508771929793E-2</v>
      </c>
      <c r="J121" s="93">
        <f t="shared" si="34"/>
        <v>-0.17960554690201136</v>
      </c>
      <c r="K121" s="93">
        <f t="shared" si="34"/>
        <v>9.5041322314049381E-2</v>
      </c>
      <c r="L121" s="93">
        <f t="shared" si="34"/>
        <v>0.47991949223190167</v>
      </c>
      <c r="M121" s="93">
        <f t="shared" si="34"/>
        <v>-0.38897225305216432</v>
      </c>
      <c r="N121" s="93">
        <f t="shared" si="34"/>
        <v>-0.26215316315205317</v>
      </c>
      <c r="O121" s="93">
        <f t="shared" si="34"/>
        <v>0.59673857652454587</v>
      </c>
      <c r="P121" s="93">
        <f t="shared" si="34"/>
        <v>7.0583841653180546E-2</v>
      </c>
      <c r="Q121" s="93">
        <f t="shared" si="34"/>
        <v>-6.3829787234042423E-2</v>
      </c>
      <c r="R121" s="93">
        <f t="shared" si="34"/>
        <v>-1.6398330351818924E-3</v>
      </c>
      <c r="S121" s="93">
        <f t="shared" si="34"/>
        <v>-1.5151515151515249E-2</v>
      </c>
      <c r="T121" s="93">
        <f t="shared" si="34"/>
        <v>-4.106316261012366E-2</v>
      </c>
      <c r="U121" s="93">
        <f t="shared" si="34"/>
        <v>-4.6153846153846212E-2</v>
      </c>
      <c r="V121" s="93">
        <f t="shared" si="34"/>
        <v>1.2145748987853811E-2</v>
      </c>
      <c r="W121" s="150">
        <v>0.02</v>
      </c>
      <c r="X121" s="150">
        <v>0.02</v>
      </c>
      <c r="Y121" s="150">
        <v>0.04</v>
      </c>
      <c r="Z121" s="150">
        <v>0.04</v>
      </c>
      <c r="AA121" s="150">
        <v>0.04</v>
      </c>
      <c r="AB121" s="150">
        <v>0.03</v>
      </c>
      <c r="AC121" s="150">
        <v>0.03</v>
      </c>
      <c r="AD121" s="150">
        <v>0.03</v>
      </c>
      <c r="AE121" s="150">
        <v>0.03</v>
      </c>
      <c r="AF121" s="150">
        <v>0.03</v>
      </c>
      <c r="AG121" s="150">
        <v>0.03</v>
      </c>
      <c r="AH121" s="150">
        <v>0.03</v>
      </c>
      <c r="AI121" s="150">
        <v>0.03</v>
      </c>
      <c r="AJ121" s="150">
        <v>0.03</v>
      </c>
      <c r="AK121" s="150">
        <v>0.03</v>
      </c>
      <c r="AL121" s="150">
        <v>0.03</v>
      </c>
      <c r="AM121" s="150">
        <v>0.03</v>
      </c>
      <c r="AN121" s="150">
        <v>0.03</v>
      </c>
    </row>
    <row r="122" spans="1:40" outlineLevel="1">
      <c r="A122" s="683"/>
      <c r="B122" s="137" t="s">
        <v>78</v>
      </c>
      <c r="C122" s="39" t="s">
        <v>88</v>
      </c>
      <c r="E122" s="47"/>
      <c r="F122" s="47"/>
      <c r="G122" s="93">
        <f t="shared" si="34"/>
        <v>-8.6055347097734325E-3</v>
      </c>
      <c r="H122" s="93">
        <f t="shared" si="34"/>
        <v>-4.9713345548117016E-2</v>
      </c>
      <c r="I122" s="93">
        <f t="shared" si="34"/>
        <v>-9.243941962595259E-3</v>
      </c>
      <c r="J122" s="93">
        <f t="shared" si="34"/>
        <v>-0.56404781869603804</v>
      </c>
      <c r="K122" s="93">
        <f t="shared" si="34"/>
        <v>-0.21153599540733614</v>
      </c>
      <c r="L122" s="93">
        <f t="shared" si="34"/>
        <v>1.8651430956275821</v>
      </c>
      <c r="M122" s="93">
        <f t="shared" si="34"/>
        <v>0.25797912470243523</v>
      </c>
      <c r="N122" s="93">
        <f t="shared" si="34"/>
        <v>7.0123175621106038E-2</v>
      </c>
      <c r="O122" s="93">
        <f t="shared" si="34"/>
        <v>0.58015046296296324</v>
      </c>
      <c r="P122" s="93">
        <f t="shared" si="34"/>
        <v>0.24298875298480871</v>
      </c>
      <c r="Q122" s="93">
        <f t="shared" si="34"/>
        <v>-9.6899224806201611E-2</v>
      </c>
      <c r="R122" s="93">
        <f t="shared" si="34"/>
        <v>5.846746614381515E-2</v>
      </c>
      <c r="S122" s="93">
        <f t="shared" si="34"/>
        <v>7.9399141630901227E-2</v>
      </c>
      <c r="T122" s="93">
        <f t="shared" si="34"/>
        <v>-0.10620012277470847</v>
      </c>
      <c r="U122" s="93">
        <f t="shared" si="34"/>
        <v>-1.9880715705764551E-3</v>
      </c>
      <c r="V122" s="93">
        <f t="shared" si="34"/>
        <v>0.15789473684210509</v>
      </c>
      <c r="W122" s="150">
        <v>0</v>
      </c>
      <c r="X122" s="150">
        <v>0</v>
      </c>
      <c r="Y122" s="150">
        <v>0.03</v>
      </c>
      <c r="Z122" s="514">
        <v>0.06</v>
      </c>
      <c r="AA122" s="514">
        <v>0.06</v>
      </c>
      <c r="AB122" s="514">
        <v>0.06</v>
      </c>
      <c r="AC122" s="514">
        <v>0.06</v>
      </c>
      <c r="AD122" s="514">
        <v>0.06</v>
      </c>
      <c r="AE122" s="514">
        <v>0.06</v>
      </c>
      <c r="AF122" s="514">
        <v>0.06</v>
      </c>
      <c r="AG122" s="514">
        <v>0.06</v>
      </c>
      <c r="AH122" s="514">
        <v>0.06</v>
      </c>
      <c r="AI122" s="514">
        <v>0.06</v>
      </c>
      <c r="AJ122" s="514">
        <v>0.06</v>
      </c>
      <c r="AK122" s="150">
        <v>0.03</v>
      </c>
      <c r="AL122" s="150">
        <v>0.03</v>
      </c>
      <c r="AM122" s="150">
        <v>0.03</v>
      </c>
      <c r="AN122" s="150">
        <v>0.03</v>
      </c>
    </row>
    <row r="123" spans="1:40" outlineLevel="1">
      <c r="B123" s="137"/>
      <c r="C123" s="39"/>
      <c r="E123" s="47"/>
      <c r="F123" s="47"/>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c r="AG123" s="93"/>
      <c r="AH123" s="93"/>
      <c r="AI123" s="93"/>
      <c r="AJ123" s="93"/>
      <c r="AK123" s="93"/>
      <c r="AL123" s="93"/>
      <c r="AM123" s="93"/>
      <c r="AN123" s="93"/>
    </row>
    <row r="124" spans="1:40" outlineLevel="1">
      <c r="B124" s="127" t="s">
        <v>89</v>
      </c>
      <c r="C124" s="39"/>
      <c r="E124" s="43"/>
      <c r="F124" s="131"/>
      <c r="G124" s="131"/>
      <c r="H124" s="131"/>
      <c r="I124" s="131"/>
      <c r="J124" s="131"/>
      <c r="K124" s="131"/>
      <c r="L124" s="131"/>
      <c r="M124" s="131"/>
      <c r="N124" s="131"/>
      <c r="O124" s="43"/>
      <c r="P124" s="131"/>
      <c r="Q124" s="131"/>
      <c r="R124" s="131"/>
      <c r="S124" s="48"/>
      <c r="T124" s="48"/>
      <c r="U124" s="48"/>
      <c r="V124" s="48"/>
      <c r="W124" s="48"/>
      <c r="X124" s="48"/>
      <c r="Y124" s="48"/>
      <c r="Z124" s="48"/>
      <c r="AA124" s="48"/>
      <c r="AB124" s="48"/>
      <c r="AC124" s="48"/>
      <c r="AD124" s="48"/>
      <c r="AE124" s="48"/>
      <c r="AF124" s="48"/>
      <c r="AG124" s="48"/>
      <c r="AH124" s="48"/>
      <c r="AI124" s="48"/>
      <c r="AJ124" s="48"/>
      <c r="AK124" s="48"/>
      <c r="AL124" s="48"/>
      <c r="AM124" s="48"/>
      <c r="AN124" s="48"/>
    </row>
    <row r="125" spans="1:40" outlineLevel="1">
      <c r="B125" s="95" t="s">
        <v>70</v>
      </c>
      <c r="C125" s="39" t="s">
        <v>72</v>
      </c>
      <c r="E125" s="47">
        <f t="shared" ref="E125:V125" si="35">E83</f>
        <v>109.35899999999999</v>
      </c>
      <c r="F125" s="47">
        <f t="shared" si="35"/>
        <v>124.27167</v>
      </c>
      <c r="G125" s="47">
        <f t="shared" si="35"/>
        <v>117.18899999999999</v>
      </c>
      <c r="H125" s="47">
        <f t="shared" si="35"/>
        <v>133.81557000000001</v>
      </c>
      <c r="I125" s="47">
        <f t="shared" si="35"/>
        <v>121.27800000000001</v>
      </c>
      <c r="J125" s="47">
        <f t="shared" si="35"/>
        <v>95.284140000000008</v>
      </c>
      <c r="K125" s="47">
        <f t="shared" si="35"/>
        <v>105.096</v>
      </c>
      <c r="L125" s="47">
        <f t="shared" si="35"/>
        <v>138.50748000000002</v>
      </c>
      <c r="M125" s="47">
        <f t="shared" si="35"/>
        <v>52.2</v>
      </c>
      <c r="N125" s="47">
        <f t="shared" si="35"/>
        <v>109.185</v>
      </c>
      <c r="O125" s="47">
        <f t="shared" si="35"/>
        <v>135.6</v>
      </c>
      <c r="P125" s="47">
        <f t="shared" si="35"/>
        <v>129.70000000000002</v>
      </c>
      <c r="Q125" s="47">
        <f t="shared" si="35"/>
        <v>127.9</v>
      </c>
      <c r="R125" s="47">
        <f t="shared" si="35"/>
        <v>119.79999999999998</v>
      </c>
      <c r="S125" s="47">
        <f t="shared" si="35"/>
        <v>118.3</v>
      </c>
      <c r="T125" s="47">
        <f t="shared" si="35"/>
        <v>115.60000000000001</v>
      </c>
      <c r="U125" s="47">
        <f t="shared" si="35"/>
        <v>110.9</v>
      </c>
      <c r="V125" s="47">
        <f t="shared" si="35"/>
        <v>103.1</v>
      </c>
      <c r="W125" s="94">
        <v>99</v>
      </c>
      <c r="X125" s="94">
        <v>103</v>
      </c>
      <c r="Y125" s="94">
        <v>110</v>
      </c>
      <c r="Z125" s="47">
        <f t="shared" ref="Z125:AN126" si="36">X125*(1+Z129)</f>
        <v>108.66499999999999</v>
      </c>
      <c r="AA125" s="47">
        <f t="shared" si="36"/>
        <v>113.3</v>
      </c>
      <c r="AB125" s="47">
        <f t="shared" si="36"/>
        <v>111.92495</v>
      </c>
      <c r="AC125" s="47">
        <f t="shared" si="36"/>
        <v>116.699</v>
      </c>
      <c r="AD125" s="47">
        <f t="shared" si="36"/>
        <v>115.2826985</v>
      </c>
      <c r="AE125" s="47">
        <f t="shared" si="36"/>
        <v>120.19997000000001</v>
      </c>
      <c r="AF125" s="47">
        <f t="shared" si="36"/>
        <v>118.74117945499999</v>
      </c>
      <c r="AG125" s="47">
        <f t="shared" si="36"/>
        <v>123.80596910000001</v>
      </c>
      <c r="AH125" s="47">
        <f t="shared" si="36"/>
        <v>122.30341483865</v>
      </c>
      <c r="AI125" s="47">
        <f t="shared" si="36"/>
        <v>127.52014817300001</v>
      </c>
      <c r="AJ125" s="47">
        <f t="shared" si="36"/>
        <v>125.97251728380951</v>
      </c>
      <c r="AK125" s="47">
        <f t="shared" si="36"/>
        <v>131.34575261819001</v>
      </c>
      <c r="AL125" s="47">
        <f t="shared" si="36"/>
        <v>129.75169280232379</v>
      </c>
      <c r="AM125" s="47">
        <f t="shared" si="36"/>
        <v>135.2861251967357</v>
      </c>
      <c r="AN125" s="47">
        <f t="shared" si="36"/>
        <v>133.64424358639351</v>
      </c>
    </row>
    <row r="126" spans="1:40" outlineLevel="1">
      <c r="B126" s="95" t="s">
        <v>77</v>
      </c>
      <c r="C126" s="39" t="s">
        <v>72</v>
      </c>
      <c r="E126" s="47">
        <f t="shared" ref="E126:V126" si="37">E90</f>
        <v>18.530999999999999</v>
      </c>
      <c r="F126" s="47">
        <f t="shared" si="37"/>
        <v>21.201029999999999</v>
      </c>
      <c r="G126" s="47">
        <f t="shared" si="37"/>
        <v>19.835999999999999</v>
      </c>
      <c r="H126" s="47">
        <f t="shared" si="37"/>
        <v>21.45768</v>
      </c>
      <c r="I126" s="47">
        <f t="shared" si="37"/>
        <v>21.053999999999998</v>
      </c>
      <c r="J126" s="47">
        <f t="shared" si="37"/>
        <v>17.70102</v>
      </c>
      <c r="K126" s="47">
        <f t="shared" si="37"/>
        <v>23.055</v>
      </c>
      <c r="L126" s="47">
        <f t="shared" si="37"/>
        <v>26.052150000000001</v>
      </c>
      <c r="M126" s="47">
        <f t="shared" si="37"/>
        <v>17.661000000000001</v>
      </c>
      <c r="N126" s="47">
        <f t="shared" si="37"/>
        <v>24.099</v>
      </c>
      <c r="O126" s="47">
        <f t="shared" si="37"/>
        <v>28.2</v>
      </c>
      <c r="P126" s="47">
        <f t="shared" si="37"/>
        <v>25.8</v>
      </c>
      <c r="Q126" s="47">
        <f t="shared" si="37"/>
        <v>26.4</v>
      </c>
      <c r="R126" s="47">
        <f t="shared" si="37"/>
        <v>25.9</v>
      </c>
      <c r="S126" s="47">
        <f t="shared" si="37"/>
        <v>26</v>
      </c>
      <c r="T126" s="47">
        <f t="shared" si="37"/>
        <v>24.700000000000003</v>
      </c>
      <c r="U126" s="47">
        <f t="shared" si="37"/>
        <v>24.8</v>
      </c>
      <c r="V126" s="47">
        <f t="shared" si="37"/>
        <v>24.999999999999996</v>
      </c>
      <c r="W126" s="94">
        <f>W108*W117*W$13/1000000</f>
        <v>25.295999999999999</v>
      </c>
      <c r="X126" s="94">
        <f>X108*X117*X$13/1000000</f>
        <v>25.5</v>
      </c>
      <c r="Y126" s="94">
        <f>Y108*Y117*Y$13/1000000</f>
        <v>26.307839999999995</v>
      </c>
      <c r="Z126" s="47">
        <f t="shared" si="36"/>
        <v>26.52</v>
      </c>
      <c r="AA126" s="47">
        <f t="shared" si="36"/>
        <v>27.360153599999997</v>
      </c>
      <c r="AB126" s="47">
        <f t="shared" si="36"/>
        <v>27.3156</v>
      </c>
      <c r="AC126" s="47">
        <f t="shared" si="36"/>
        <v>28.180958207999996</v>
      </c>
      <c r="AD126" s="47">
        <f t="shared" si="36"/>
        <v>28.135068</v>
      </c>
      <c r="AE126" s="47">
        <f t="shared" si="36"/>
        <v>29.026386954239996</v>
      </c>
      <c r="AF126" s="47">
        <f t="shared" si="36"/>
        <v>28.979120040000002</v>
      </c>
      <c r="AG126" s="47">
        <f t="shared" si="36"/>
        <v>29.897178562867197</v>
      </c>
      <c r="AH126" s="47">
        <f t="shared" si="36"/>
        <v>29.848493641200001</v>
      </c>
      <c r="AI126" s="47">
        <f t="shared" si="36"/>
        <v>30.794093919753212</v>
      </c>
      <c r="AJ126" s="47">
        <f t="shared" si="36"/>
        <v>30.743948450436001</v>
      </c>
      <c r="AK126" s="47">
        <f t="shared" si="36"/>
        <v>31.71791673734581</v>
      </c>
      <c r="AL126" s="47">
        <f t="shared" si="36"/>
        <v>31.666266903949083</v>
      </c>
      <c r="AM126" s="47">
        <f t="shared" si="36"/>
        <v>32.669454239466184</v>
      </c>
      <c r="AN126" s="47">
        <f t="shared" si="36"/>
        <v>32.616254911067557</v>
      </c>
    </row>
    <row r="127" spans="1:40" outlineLevel="1">
      <c r="B127" s="95" t="s">
        <v>78</v>
      </c>
      <c r="C127" s="39" t="s">
        <v>90</v>
      </c>
      <c r="E127" s="47">
        <f t="shared" ref="E127:V127" si="38">E97</f>
        <v>25.69740728585494</v>
      </c>
      <c r="F127" s="47">
        <f t="shared" si="38"/>
        <v>23.405226514880098</v>
      </c>
      <c r="G127" s="47">
        <f t="shared" si="38"/>
        <v>25.476267355505328</v>
      </c>
      <c r="H127" s="47">
        <f t="shared" si="38"/>
        <v>22.241674401513912</v>
      </c>
      <c r="I127" s="47">
        <f t="shared" si="38"/>
        <v>25.240766218647479</v>
      </c>
      <c r="J127" s="47">
        <f t="shared" si="38"/>
        <v>9.7498772251769719</v>
      </c>
      <c r="K127" s="47">
        <f t="shared" si="38"/>
        <v>24.87679451467752</v>
      </c>
      <c r="L127" s="47">
        <f t="shared" si="38"/>
        <v>36.236485485686323</v>
      </c>
      <c r="M127" s="47">
        <f t="shared" si="38"/>
        <v>32.503937007874008</v>
      </c>
      <c r="N127" s="47">
        <f t="shared" si="38"/>
        <v>38.597977444803313</v>
      </c>
      <c r="O127" s="47">
        <f t="shared" si="38"/>
        <v>51.6</v>
      </c>
      <c r="P127" s="47">
        <f t="shared" si="38"/>
        <v>48.199999999999996</v>
      </c>
      <c r="Q127" s="47">
        <f t="shared" si="38"/>
        <v>46.6</v>
      </c>
      <c r="R127" s="47">
        <f t="shared" si="38"/>
        <v>51.300000000000004</v>
      </c>
      <c r="S127" s="47">
        <f t="shared" si="38"/>
        <v>50.3</v>
      </c>
      <c r="T127" s="47">
        <f t="shared" si="38"/>
        <v>45.600000000000009</v>
      </c>
      <c r="U127" s="47">
        <f t="shared" si="38"/>
        <v>50.2</v>
      </c>
      <c r="V127" s="47">
        <f t="shared" si="38"/>
        <v>52.8</v>
      </c>
      <c r="W127" s="94">
        <v>52</v>
      </c>
      <c r="X127" s="94">
        <v>52</v>
      </c>
      <c r="Y127" s="632">
        <v>44</v>
      </c>
      <c r="Z127" s="632">
        <v>44</v>
      </c>
      <c r="AA127" s="47">
        <f t="shared" ref="AA127:AN127" si="39">Y127*(1+AA131)</f>
        <v>46.64</v>
      </c>
      <c r="AB127" s="47">
        <f t="shared" si="39"/>
        <v>46.64</v>
      </c>
      <c r="AC127" s="47">
        <f t="shared" si="39"/>
        <v>49.438400000000001</v>
      </c>
      <c r="AD127" s="47">
        <f t="shared" si="39"/>
        <v>49.438400000000001</v>
      </c>
      <c r="AE127" s="47">
        <f t="shared" si="39"/>
        <v>52.404704000000002</v>
      </c>
      <c r="AF127" s="47">
        <f t="shared" si="39"/>
        <v>52.404704000000002</v>
      </c>
      <c r="AG127" s="47">
        <f t="shared" si="39"/>
        <v>55.548986240000005</v>
      </c>
      <c r="AH127" s="47">
        <f t="shared" si="39"/>
        <v>55.548986240000005</v>
      </c>
      <c r="AI127" s="47">
        <f t="shared" si="39"/>
        <v>58.881925414400008</v>
      </c>
      <c r="AJ127" s="47">
        <f t="shared" si="39"/>
        <v>58.881925414400008</v>
      </c>
      <c r="AK127" s="47">
        <f t="shared" si="39"/>
        <v>60.648383176832013</v>
      </c>
      <c r="AL127" s="47">
        <f t="shared" si="39"/>
        <v>60.648383176832013</v>
      </c>
      <c r="AM127" s="47">
        <f t="shared" si="39"/>
        <v>62.467834672136973</v>
      </c>
      <c r="AN127" s="47">
        <f t="shared" si="39"/>
        <v>62.467834672136973</v>
      </c>
    </row>
    <row r="128" spans="1:40" outlineLevel="1">
      <c r="B128" s="136" t="s">
        <v>91</v>
      </c>
      <c r="C128" s="39"/>
      <c r="E128" s="43"/>
      <c r="F128" s="43"/>
      <c r="G128" s="43"/>
      <c r="H128" s="43"/>
      <c r="I128" s="43"/>
      <c r="J128" s="43"/>
      <c r="K128" s="43"/>
      <c r="L128" s="43"/>
      <c r="M128" s="43"/>
      <c r="N128" s="43"/>
      <c r="O128" s="43"/>
      <c r="P128" s="43"/>
      <c r="Q128" s="43"/>
      <c r="R128" s="43"/>
      <c r="S128" s="48"/>
      <c r="T128" s="48"/>
      <c r="U128" s="48"/>
      <c r="V128" s="48"/>
      <c r="W128" s="48"/>
      <c r="X128" s="48"/>
      <c r="Y128" s="48"/>
      <c r="Z128" s="48"/>
      <c r="AA128" s="48"/>
      <c r="AB128" s="48"/>
      <c r="AC128" s="48"/>
      <c r="AD128" s="48"/>
      <c r="AE128" s="48"/>
      <c r="AF128" s="48"/>
      <c r="AG128" s="48"/>
      <c r="AH128" s="48"/>
      <c r="AI128" s="48"/>
      <c r="AJ128" s="48"/>
      <c r="AK128" s="48"/>
      <c r="AL128" s="48"/>
      <c r="AM128" s="48"/>
      <c r="AN128" s="48"/>
    </row>
    <row r="129" spans="1:40" outlineLevel="1">
      <c r="B129" s="126" t="s">
        <v>70</v>
      </c>
      <c r="C129" s="39" t="s">
        <v>88</v>
      </c>
      <c r="E129" s="43"/>
      <c r="F129" s="43"/>
      <c r="G129" s="93">
        <f t="shared" ref="G129:P131" si="40">G125/E125-1</f>
        <v>7.1599045346061985E-2</v>
      </c>
      <c r="H129" s="93">
        <f t="shared" si="40"/>
        <v>7.679867825064246E-2</v>
      </c>
      <c r="I129" s="93">
        <f t="shared" si="40"/>
        <v>3.4892353377876884E-2</v>
      </c>
      <c r="J129" s="93">
        <f t="shared" si="40"/>
        <v>-0.28794429527146947</v>
      </c>
      <c r="K129" s="93">
        <f t="shared" si="40"/>
        <v>-0.13342898134863701</v>
      </c>
      <c r="L129" s="93">
        <f t="shared" si="40"/>
        <v>0.4536257555559613</v>
      </c>
      <c r="M129" s="93">
        <f t="shared" si="40"/>
        <v>-0.50331125827814571</v>
      </c>
      <c r="N129" s="93">
        <f t="shared" si="40"/>
        <v>-0.21170322353709714</v>
      </c>
      <c r="O129" s="93">
        <f t="shared" si="40"/>
        <v>1.5977011494252871</v>
      </c>
      <c r="P129" s="93">
        <f t="shared" si="40"/>
        <v>0.18789210972203163</v>
      </c>
      <c r="Q129" s="93">
        <f t="shared" ref="Q129:Y131" si="41">Q125/O125-1</f>
        <v>-5.6784660766961537E-2</v>
      </c>
      <c r="R129" s="93">
        <f t="shared" si="41"/>
        <v>-7.6329992289900006E-2</v>
      </c>
      <c r="S129" s="93">
        <f t="shared" si="41"/>
        <v>-7.5058639562157969E-2</v>
      </c>
      <c r="T129" s="93">
        <f t="shared" si="41"/>
        <v>-3.5058430717862854E-2</v>
      </c>
      <c r="U129" s="93">
        <f t="shared" si="41"/>
        <v>-6.2552831783600937E-2</v>
      </c>
      <c r="V129" s="93">
        <f t="shared" si="41"/>
        <v>-0.10813148788927351</v>
      </c>
      <c r="W129" s="93">
        <f t="shared" si="41"/>
        <v>-0.10730387736699731</v>
      </c>
      <c r="X129" s="93">
        <f t="shared" si="41"/>
        <v>-9.6993210475260216E-4</v>
      </c>
      <c r="Y129" s="93">
        <f t="shared" si="41"/>
        <v>0.11111111111111116</v>
      </c>
      <c r="Z129" s="150">
        <v>5.5E-2</v>
      </c>
      <c r="AA129" s="150">
        <v>0.03</v>
      </c>
      <c r="AB129" s="150">
        <v>0.03</v>
      </c>
      <c r="AC129" s="150">
        <v>0.03</v>
      </c>
      <c r="AD129" s="150">
        <v>0.03</v>
      </c>
      <c r="AE129" s="150">
        <v>0.03</v>
      </c>
      <c r="AF129" s="150">
        <v>0.03</v>
      </c>
      <c r="AG129" s="150">
        <v>0.03</v>
      </c>
      <c r="AH129" s="150">
        <v>0.03</v>
      </c>
      <c r="AI129" s="150">
        <v>0.03</v>
      </c>
      <c r="AJ129" s="150">
        <v>0.03</v>
      </c>
      <c r="AK129" s="150">
        <v>0.03</v>
      </c>
      <c r="AL129" s="150">
        <v>0.03</v>
      </c>
      <c r="AM129" s="150">
        <v>0.03</v>
      </c>
      <c r="AN129" s="150">
        <v>0.03</v>
      </c>
    </row>
    <row r="130" spans="1:40" outlineLevel="1">
      <c r="B130" s="126" t="s">
        <v>77</v>
      </c>
      <c r="C130" s="39" t="s">
        <v>88</v>
      </c>
      <c r="E130" s="43"/>
      <c r="F130" s="43"/>
      <c r="G130" s="93">
        <f t="shared" si="40"/>
        <v>7.0422535211267512E-2</v>
      </c>
      <c r="H130" s="93">
        <f t="shared" si="40"/>
        <v>1.2105543928762064E-2</v>
      </c>
      <c r="I130" s="93">
        <f t="shared" si="40"/>
        <v>6.1403508771929793E-2</v>
      </c>
      <c r="J130" s="93">
        <f t="shared" si="40"/>
        <v>-0.17507298086279599</v>
      </c>
      <c r="K130" s="93">
        <f t="shared" si="40"/>
        <v>9.5041322314049603E-2</v>
      </c>
      <c r="L130" s="93">
        <f t="shared" si="40"/>
        <v>0.47178806645040794</v>
      </c>
      <c r="M130" s="93">
        <f t="shared" si="40"/>
        <v>-0.23396226415094334</v>
      </c>
      <c r="N130" s="93">
        <f t="shared" si="40"/>
        <v>-7.4970779762898676E-2</v>
      </c>
      <c r="O130" s="93">
        <f t="shared" si="40"/>
        <v>0.59673857652454543</v>
      </c>
      <c r="P130" s="93">
        <f t="shared" si="40"/>
        <v>7.0583841653180546E-2</v>
      </c>
      <c r="Q130" s="93">
        <f t="shared" si="41"/>
        <v>-6.3829787234042534E-2</v>
      </c>
      <c r="R130" s="93">
        <f t="shared" si="41"/>
        <v>3.8759689922480689E-3</v>
      </c>
      <c r="S130" s="93">
        <f t="shared" si="41"/>
        <v>-1.5151515151515138E-2</v>
      </c>
      <c r="T130" s="93">
        <f t="shared" si="41"/>
        <v>-4.6332046332046128E-2</v>
      </c>
      <c r="U130" s="93">
        <f t="shared" si="41"/>
        <v>-4.6153846153846101E-2</v>
      </c>
      <c r="V130" s="93">
        <f t="shared" si="41"/>
        <v>1.2145748987854033E-2</v>
      </c>
      <c r="W130" s="93">
        <f t="shared" si="41"/>
        <v>2.0000000000000018E-2</v>
      </c>
      <c r="X130" s="93">
        <f t="shared" si="41"/>
        <v>2.000000000000024E-2</v>
      </c>
      <c r="Y130" s="93">
        <f t="shared" si="41"/>
        <v>3.9999999999999813E-2</v>
      </c>
      <c r="Z130" s="150">
        <v>0.04</v>
      </c>
      <c r="AA130" s="150">
        <v>0.04</v>
      </c>
      <c r="AB130" s="150">
        <v>0.03</v>
      </c>
      <c r="AC130" s="150">
        <v>0.03</v>
      </c>
      <c r="AD130" s="150">
        <v>0.03</v>
      </c>
      <c r="AE130" s="150">
        <v>0.03</v>
      </c>
      <c r="AF130" s="150">
        <v>0.03</v>
      </c>
      <c r="AG130" s="150">
        <v>0.03</v>
      </c>
      <c r="AH130" s="150">
        <v>0.03</v>
      </c>
      <c r="AI130" s="150">
        <v>0.03</v>
      </c>
      <c r="AJ130" s="150">
        <v>0.03</v>
      </c>
      <c r="AK130" s="150">
        <v>0.03</v>
      </c>
      <c r="AL130" s="150">
        <v>0.03</v>
      </c>
      <c r="AM130" s="150">
        <v>0.03</v>
      </c>
      <c r="AN130" s="150">
        <v>0.03</v>
      </c>
    </row>
    <row r="131" spans="1:40" outlineLevel="1">
      <c r="B131" s="126" t="s">
        <v>78</v>
      </c>
      <c r="C131" s="39" t="s">
        <v>88</v>
      </c>
      <c r="E131" s="43"/>
      <c r="F131" s="43"/>
      <c r="G131" s="93">
        <f t="shared" si="40"/>
        <v>-8.6055347097735435E-3</v>
      </c>
      <c r="H131" s="93">
        <f t="shared" si="40"/>
        <v>-4.9713345548117127E-2</v>
      </c>
      <c r="I131" s="93">
        <f t="shared" si="40"/>
        <v>-9.243941962595148E-3</v>
      </c>
      <c r="J131" s="93">
        <f t="shared" si="40"/>
        <v>-0.56163924310872337</v>
      </c>
      <c r="K131" s="93">
        <f t="shared" si="40"/>
        <v>-1.4419994259170399E-2</v>
      </c>
      <c r="L131" s="93">
        <f t="shared" si="40"/>
        <v>2.7166094145384059</v>
      </c>
      <c r="M131" s="93">
        <f t="shared" si="40"/>
        <v>0.30659667541557289</v>
      </c>
      <c r="N131" s="93">
        <f t="shared" si="40"/>
        <v>6.5168901659897305E-2</v>
      </c>
      <c r="O131" s="93">
        <f t="shared" si="40"/>
        <v>0.58750000000000036</v>
      </c>
      <c r="P131" s="93">
        <f t="shared" si="40"/>
        <v>0.24877009602194744</v>
      </c>
      <c r="Q131" s="93">
        <f t="shared" si="41"/>
        <v>-9.68992248062015E-2</v>
      </c>
      <c r="R131" s="93">
        <f t="shared" si="41"/>
        <v>6.4315352697095651E-2</v>
      </c>
      <c r="S131" s="93">
        <f t="shared" si="41"/>
        <v>7.9399141630901227E-2</v>
      </c>
      <c r="T131" s="93">
        <f t="shared" si="41"/>
        <v>-0.11111111111111105</v>
      </c>
      <c r="U131" s="93">
        <f t="shared" si="41"/>
        <v>-1.9880715705764551E-3</v>
      </c>
      <c r="V131" s="93">
        <f t="shared" si="41"/>
        <v>0.15789473684210509</v>
      </c>
      <c r="W131" s="93">
        <f t="shared" si="41"/>
        <v>3.5856573705179251E-2</v>
      </c>
      <c r="X131" s="93">
        <f t="shared" si="41"/>
        <v>-1.5151515151515138E-2</v>
      </c>
      <c r="Y131" s="93">
        <f t="shared" si="41"/>
        <v>-0.15384615384615385</v>
      </c>
      <c r="Z131" s="93">
        <f>Z127/X127-1</f>
        <v>-0.15384615384615385</v>
      </c>
      <c r="AA131" s="150">
        <v>0.06</v>
      </c>
      <c r="AB131" s="150">
        <v>0.06</v>
      </c>
      <c r="AC131" s="150">
        <v>0.06</v>
      </c>
      <c r="AD131" s="150">
        <v>0.06</v>
      </c>
      <c r="AE131" s="150">
        <v>0.06</v>
      </c>
      <c r="AF131" s="150">
        <v>0.06</v>
      </c>
      <c r="AG131" s="150">
        <v>0.06</v>
      </c>
      <c r="AH131" s="150">
        <v>0.06</v>
      </c>
      <c r="AI131" s="150">
        <v>0.06</v>
      </c>
      <c r="AJ131" s="150">
        <v>0.06</v>
      </c>
      <c r="AK131" s="150">
        <v>0.03</v>
      </c>
      <c r="AL131" s="150">
        <v>0.03</v>
      </c>
      <c r="AM131" s="150">
        <v>0.03</v>
      </c>
      <c r="AN131" s="150">
        <v>0.03</v>
      </c>
    </row>
    <row r="132" spans="1:40">
      <c r="B132" s="95"/>
      <c r="C132" s="39"/>
      <c r="E132" s="43"/>
      <c r="F132" s="43"/>
      <c r="G132" s="43"/>
      <c r="H132" s="43"/>
      <c r="I132" s="43"/>
      <c r="J132" s="43"/>
      <c r="K132" s="43"/>
      <c r="L132" s="43"/>
      <c r="M132" s="43"/>
      <c r="N132" s="43"/>
      <c r="O132" s="43"/>
      <c r="P132" s="43"/>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row>
    <row r="133" spans="1:40" s="539" customFormat="1">
      <c r="B133" s="537" t="s">
        <v>92</v>
      </c>
      <c r="C133" s="538"/>
      <c r="E133" s="540"/>
      <c r="F133" s="540"/>
      <c r="G133" s="540"/>
      <c r="H133" s="540"/>
      <c r="I133" s="540"/>
      <c r="J133" s="540"/>
      <c r="K133" s="540"/>
      <c r="L133" s="540"/>
      <c r="M133" s="540"/>
      <c r="N133" s="540"/>
      <c r="O133" s="540"/>
      <c r="P133" s="540"/>
      <c r="Q133" s="540"/>
      <c r="R133" s="540"/>
      <c r="S133" s="540"/>
      <c r="T133" s="540"/>
      <c r="U133" s="540"/>
      <c r="V133" s="540"/>
      <c r="W133" s="540"/>
      <c r="X133" s="540"/>
      <c r="Y133" s="540"/>
      <c r="Z133" s="540"/>
      <c r="AA133" s="540"/>
      <c r="AB133" s="540"/>
      <c r="AC133" s="540"/>
      <c r="AD133" s="540"/>
      <c r="AE133" s="540"/>
      <c r="AF133" s="540"/>
      <c r="AG133" s="540"/>
      <c r="AH133" s="540"/>
      <c r="AI133" s="540"/>
      <c r="AJ133" s="540"/>
      <c r="AK133" s="540"/>
      <c r="AL133" s="540"/>
      <c r="AM133" s="540"/>
      <c r="AN133" s="540"/>
    </row>
    <row r="134" spans="1:40" outlineLevel="1">
      <c r="B134" s="137"/>
      <c r="C134" s="39"/>
      <c r="E134" s="43"/>
      <c r="F134" s="41"/>
      <c r="G134" s="43"/>
      <c r="H134" s="41"/>
      <c r="I134" s="43"/>
      <c r="J134" s="41"/>
      <c r="K134" s="43"/>
      <c r="L134" s="41"/>
      <c r="M134" s="43"/>
      <c r="N134" s="41"/>
      <c r="O134" s="43"/>
      <c r="P134" s="41"/>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row>
    <row r="135" spans="1:40" outlineLevel="1">
      <c r="A135" s="684" t="s">
        <v>80</v>
      </c>
      <c r="B135" s="130" t="s">
        <v>93</v>
      </c>
      <c r="C135" s="39"/>
      <c r="E135" s="43"/>
      <c r="F135" s="43"/>
      <c r="G135" s="43"/>
      <c r="H135" s="43"/>
      <c r="I135" s="43"/>
      <c r="J135" s="43"/>
      <c r="K135" s="43"/>
      <c r="L135" s="43"/>
      <c r="M135" s="43"/>
      <c r="N135" s="43"/>
      <c r="O135" s="43"/>
      <c r="P135" s="43"/>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row>
    <row r="136" spans="1:40" outlineLevel="1">
      <c r="A136" s="683"/>
      <c r="B136" s="96" t="s">
        <v>70</v>
      </c>
      <c r="C136" s="39" t="s">
        <v>85</v>
      </c>
      <c r="E136" s="43">
        <v>297</v>
      </c>
      <c r="F136" s="43">
        <v>297</v>
      </c>
      <c r="G136" s="43">
        <v>297</v>
      </c>
      <c r="H136" s="43">
        <v>297</v>
      </c>
      <c r="I136" s="43">
        <v>297</v>
      </c>
      <c r="J136" s="43">
        <v>297</v>
      </c>
      <c r="K136" s="43">
        <v>297</v>
      </c>
      <c r="L136" s="43">
        <v>297</v>
      </c>
      <c r="M136" s="43">
        <v>297</v>
      </c>
      <c r="N136" s="43">
        <v>297</v>
      </c>
      <c r="O136" s="43">
        <v>297</v>
      </c>
      <c r="P136" s="43">
        <v>297</v>
      </c>
      <c r="Q136" s="43">
        <v>297</v>
      </c>
      <c r="R136" s="43">
        <v>297</v>
      </c>
      <c r="S136" s="41">
        <v>297</v>
      </c>
      <c r="T136" s="43">
        <f t="shared" ref="T136:AC138" si="42">R136</f>
        <v>297</v>
      </c>
      <c r="U136" s="43">
        <f t="shared" si="42"/>
        <v>297</v>
      </c>
      <c r="V136" s="43">
        <f t="shared" si="42"/>
        <v>297</v>
      </c>
      <c r="W136" s="43">
        <f t="shared" si="42"/>
        <v>297</v>
      </c>
      <c r="X136" s="43">
        <f t="shared" si="42"/>
        <v>297</v>
      </c>
      <c r="Y136" s="43">
        <f t="shared" si="42"/>
        <v>297</v>
      </c>
      <c r="Z136" s="43">
        <f t="shared" si="42"/>
        <v>297</v>
      </c>
      <c r="AA136" s="43">
        <f t="shared" si="42"/>
        <v>297</v>
      </c>
      <c r="AB136" s="43">
        <f t="shared" si="42"/>
        <v>297</v>
      </c>
      <c r="AC136" s="43">
        <f t="shared" si="42"/>
        <v>297</v>
      </c>
      <c r="AD136" s="43">
        <f t="shared" ref="AD136:AM138" si="43">AB136</f>
        <v>297</v>
      </c>
      <c r="AE136" s="43">
        <f t="shared" si="43"/>
        <v>297</v>
      </c>
      <c r="AF136" s="43">
        <f t="shared" si="43"/>
        <v>297</v>
      </c>
      <c r="AG136" s="43">
        <f t="shared" si="43"/>
        <v>297</v>
      </c>
      <c r="AH136" s="43">
        <f t="shared" si="43"/>
        <v>297</v>
      </c>
      <c r="AI136" s="43">
        <f t="shared" si="43"/>
        <v>297</v>
      </c>
      <c r="AJ136" s="43">
        <f t="shared" si="43"/>
        <v>297</v>
      </c>
      <c r="AK136" s="43">
        <f t="shared" si="43"/>
        <v>297</v>
      </c>
      <c r="AL136" s="43">
        <f t="shared" si="43"/>
        <v>297</v>
      </c>
      <c r="AM136" s="43">
        <f t="shared" si="43"/>
        <v>297</v>
      </c>
      <c r="AN136" s="43">
        <f t="shared" ref="AN136:AN138" si="44">AL136</f>
        <v>297</v>
      </c>
    </row>
    <row r="137" spans="1:40" outlineLevel="1">
      <c r="A137" s="683"/>
      <c r="B137" s="96" t="s">
        <v>77</v>
      </c>
      <c r="C137" s="39" t="s">
        <v>85</v>
      </c>
      <c r="E137" s="43">
        <v>30</v>
      </c>
      <c r="F137" s="43">
        <v>30</v>
      </c>
      <c r="G137" s="43">
        <v>30</v>
      </c>
      <c r="H137" s="43">
        <v>30</v>
      </c>
      <c r="I137" s="43">
        <v>30</v>
      </c>
      <c r="J137" s="43">
        <v>30</v>
      </c>
      <c r="K137" s="43">
        <v>30</v>
      </c>
      <c r="L137" s="43">
        <v>30</v>
      </c>
      <c r="M137" s="43">
        <v>30</v>
      </c>
      <c r="N137" s="43">
        <v>30</v>
      </c>
      <c r="O137" s="43">
        <v>30</v>
      </c>
      <c r="P137" s="43">
        <v>30</v>
      </c>
      <c r="Q137" s="43">
        <v>30</v>
      </c>
      <c r="R137" s="43">
        <v>30</v>
      </c>
      <c r="S137" s="41">
        <v>30</v>
      </c>
      <c r="T137" s="43">
        <f t="shared" si="42"/>
        <v>30</v>
      </c>
      <c r="U137" s="43">
        <f t="shared" si="42"/>
        <v>30</v>
      </c>
      <c r="V137" s="43">
        <f t="shared" si="42"/>
        <v>30</v>
      </c>
      <c r="W137" s="43">
        <f t="shared" si="42"/>
        <v>30</v>
      </c>
      <c r="X137" s="43">
        <f t="shared" si="42"/>
        <v>30</v>
      </c>
      <c r="Y137" s="43">
        <f t="shared" si="42"/>
        <v>30</v>
      </c>
      <c r="Z137" s="43">
        <f t="shared" si="42"/>
        <v>30</v>
      </c>
      <c r="AA137" s="43">
        <f t="shared" si="42"/>
        <v>30</v>
      </c>
      <c r="AB137" s="43">
        <f t="shared" si="42"/>
        <v>30</v>
      </c>
      <c r="AC137" s="43">
        <f t="shared" si="42"/>
        <v>30</v>
      </c>
      <c r="AD137" s="43">
        <f t="shared" si="43"/>
        <v>30</v>
      </c>
      <c r="AE137" s="43">
        <f t="shared" si="43"/>
        <v>30</v>
      </c>
      <c r="AF137" s="43">
        <f t="shared" si="43"/>
        <v>30</v>
      </c>
      <c r="AG137" s="43">
        <f t="shared" si="43"/>
        <v>30</v>
      </c>
      <c r="AH137" s="43">
        <f t="shared" si="43"/>
        <v>30</v>
      </c>
      <c r="AI137" s="43">
        <f t="shared" si="43"/>
        <v>30</v>
      </c>
      <c r="AJ137" s="43">
        <f t="shared" si="43"/>
        <v>30</v>
      </c>
      <c r="AK137" s="43">
        <f t="shared" si="43"/>
        <v>30</v>
      </c>
      <c r="AL137" s="43">
        <f t="shared" si="43"/>
        <v>30</v>
      </c>
      <c r="AM137" s="43">
        <f t="shared" si="43"/>
        <v>30</v>
      </c>
      <c r="AN137" s="43">
        <f t="shared" si="44"/>
        <v>30</v>
      </c>
    </row>
    <row r="138" spans="1:40" outlineLevel="1">
      <c r="A138" s="683"/>
      <c r="B138" s="96" t="s">
        <v>78</v>
      </c>
      <c r="C138" s="39" t="s">
        <v>86</v>
      </c>
      <c r="E138" s="43">
        <v>81</v>
      </c>
      <c r="F138" s="43">
        <v>81</v>
      </c>
      <c r="G138" s="43">
        <v>81</v>
      </c>
      <c r="H138" s="43">
        <v>81</v>
      </c>
      <c r="I138" s="43">
        <v>81</v>
      </c>
      <c r="J138" s="43">
        <v>81</v>
      </c>
      <c r="K138" s="43">
        <v>81</v>
      </c>
      <c r="L138" s="43">
        <v>81</v>
      </c>
      <c r="M138" s="43">
        <v>81</v>
      </c>
      <c r="N138" s="43">
        <v>81</v>
      </c>
      <c r="O138" s="43">
        <v>81</v>
      </c>
      <c r="P138" s="43">
        <v>81</v>
      </c>
      <c r="Q138" s="43">
        <v>81</v>
      </c>
      <c r="R138" s="43">
        <v>81</v>
      </c>
      <c r="S138" s="41">
        <v>81</v>
      </c>
      <c r="T138" s="43">
        <f t="shared" si="42"/>
        <v>81</v>
      </c>
      <c r="U138" s="43">
        <f t="shared" si="42"/>
        <v>81</v>
      </c>
      <c r="V138" s="43">
        <f t="shared" si="42"/>
        <v>81</v>
      </c>
      <c r="W138" s="43">
        <f t="shared" si="42"/>
        <v>81</v>
      </c>
      <c r="X138" s="43">
        <f t="shared" si="42"/>
        <v>81</v>
      </c>
      <c r="Y138" s="43">
        <f t="shared" si="42"/>
        <v>81</v>
      </c>
      <c r="Z138" s="43">
        <f t="shared" si="42"/>
        <v>81</v>
      </c>
      <c r="AA138" s="43">
        <f t="shared" si="42"/>
        <v>81</v>
      </c>
      <c r="AB138" s="43">
        <f t="shared" si="42"/>
        <v>81</v>
      </c>
      <c r="AC138" s="43">
        <f t="shared" si="42"/>
        <v>81</v>
      </c>
      <c r="AD138" s="43">
        <f t="shared" si="43"/>
        <v>81</v>
      </c>
      <c r="AE138" s="43">
        <f t="shared" si="43"/>
        <v>81</v>
      </c>
      <c r="AF138" s="43">
        <f t="shared" si="43"/>
        <v>81</v>
      </c>
      <c r="AG138" s="43">
        <f t="shared" si="43"/>
        <v>81</v>
      </c>
      <c r="AH138" s="43">
        <f t="shared" si="43"/>
        <v>81</v>
      </c>
      <c r="AI138" s="43">
        <f t="shared" si="43"/>
        <v>81</v>
      </c>
      <c r="AJ138" s="43">
        <f t="shared" si="43"/>
        <v>81</v>
      </c>
      <c r="AK138" s="43">
        <f t="shared" si="43"/>
        <v>81</v>
      </c>
      <c r="AL138" s="43">
        <f t="shared" si="43"/>
        <v>81</v>
      </c>
      <c r="AM138" s="43">
        <f t="shared" si="43"/>
        <v>81</v>
      </c>
      <c r="AN138" s="43">
        <f t="shared" si="44"/>
        <v>81</v>
      </c>
    </row>
    <row r="139" spans="1:40" s="123" customFormat="1" hidden="1" outlineLevel="2">
      <c r="A139" s="683"/>
      <c r="B139" s="623" t="s">
        <v>83</v>
      </c>
      <c r="C139" s="39"/>
      <c r="E139" s="132"/>
      <c r="F139" s="132"/>
      <c r="G139" s="132"/>
      <c r="H139" s="132"/>
      <c r="I139" s="132"/>
      <c r="J139" s="132"/>
      <c r="K139" s="132"/>
      <c r="L139" s="132"/>
      <c r="M139" s="132"/>
      <c r="N139" s="132"/>
      <c r="O139" s="132"/>
      <c r="P139" s="132"/>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row>
    <row r="140" spans="1:40" hidden="1" outlineLevel="2">
      <c r="A140" s="683"/>
      <c r="B140" s="126" t="s">
        <v>70</v>
      </c>
      <c r="C140" s="39" t="s">
        <v>82</v>
      </c>
      <c r="E140" s="43">
        <v>1808</v>
      </c>
      <c r="F140" s="41">
        <v>1808</v>
      </c>
      <c r="G140" s="43">
        <v>1808</v>
      </c>
      <c r="H140" s="41">
        <v>1808</v>
      </c>
      <c r="I140" s="43">
        <v>1808</v>
      </c>
      <c r="J140" s="41">
        <v>1808</v>
      </c>
      <c r="K140" s="43">
        <v>1808</v>
      </c>
      <c r="L140" s="41">
        <v>1808</v>
      </c>
      <c r="M140" s="43">
        <v>390</v>
      </c>
      <c r="N140" s="41">
        <v>390</v>
      </c>
      <c r="O140" s="43">
        <v>390</v>
      </c>
      <c r="P140" s="41">
        <v>390</v>
      </c>
      <c r="Q140" s="43">
        <v>390</v>
      </c>
      <c r="R140" s="43">
        <v>390</v>
      </c>
      <c r="S140" s="41">
        <v>390</v>
      </c>
      <c r="T140" s="43">
        <v>390</v>
      </c>
      <c r="U140" s="43">
        <v>390</v>
      </c>
      <c r="V140" s="43">
        <v>390</v>
      </c>
      <c r="W140" s="43">
        <v>390</v>
      </c>
      <c r="X140" s="43">
        <v>390</v>
      </c>
      <c r="Y140" s="43">
        <v>390</v>
      </c>
      <c r="Z140" s="43">
        <v>390</v>
      </c>
      <c r="AA140" s="43">
        <v>390</v>
      </c>
      <c r="AB140" s="43">
        <v>390</v>
      </c>
      <c r="AC140" s="43">
        <v>390</v>
      </c>
      <c r="AD140" s="43">
        <v>390</v>
      </c>
      <c r="AE140" s="43">
        <v>390</v>
      </c>
      <c r="AF140" s="43">
        <v>390</v>
      </c>
      <c r="AG140" s="43">
        <v>390</v>
      </c>
      <c r="AH140" s="43">
        <v>390</v>
      </c>
      <c r="AI140" s="43">
        <v>390</v>
      </c>
      <c r="AJ140" s="43">
        <v>390</v>
      </c>
      <c r="AK140" s="43">
        <v>390</v>
      </c>
      <c r="AL140" s="43">
        <v>390</v>
      </c>
      <c r="AM140" s="43">
        <v>390</v>
      </c>
      <c r="AN140" s="43">
        <v>390</v>
      </c>
    </row>
    <row r="141" spans="1:40" hidden="1" outlineLevel="2">
      <c r="A141" s="683"/>
      <c r="B141" s="126" t="s">
        <v>77</v>
      </c>
      <c r="C141" s="39" t="s">
        <v>82</v>
      </c>
      <c r="E141" s="43">
        <f>F141</f>
        <v>339</v>
      </c>
      <c r="F141" s="41">
        <v>339</v>
      </c>
      <c r="G141" s="43">
        <f>H141</f>
        <v>339</v>
      </c>
      <c r="H141" s="41">
        <v>339</v>
      </c>
      <c r="I141" s="43">
        <f>J141</f>
        <v>339</v>
      </c>
      <c r="J141" s="41">
        <v>339</v>
      </c>
      <c r="K141" s="43">
        <f>L141</f>
        <v>339</v>
      </c>
      <c r="L141" s="41">
        <v>339</v>
      </c>
      <c r="M141" s="43">
        <v>35</v>
      </c>
      <c r="N141" s="41">
        <v>35</v>
      </c>
      <c r="O141" s="43">
        <v>35</v>
      </c>
      <c r="P141" s="41">
        <v>35</v>
      </c>
      <c r="Q141" s="43">
        <v>35</v>
      </c>
      <c r="R141" s="43">
        <v>35</v>
      </c>
      <c r="S141" s="41">
        <v>35</v>
      </c>
      <c r="T141" s="43">
        <v>35</v>
      </c>
      <c r="U141" s="43">
        <v>35</v>
      </c>
      <c r="V141" s="43">
        <v>35</v>
      </c>
      <c r="W141" s="43">
        <v>35</v>
      </c>
      <c r="X141" s="43">
        <v>35</v>
      </c>
      <c r="Y141" s="43">
        <v>35</v>
      </c>
      <c r="Z141" s="43">
        <v>35</v>
      </c>
      <c r="AA141" s="43">
        <v>35</v>
      </c>
      <c r="AB141" s="43">
        <v>35</v>
      </c>
      <c r="AC141" s="43">
        <v>35</v>
      </c>
      <c r="AD141" s="43">
        <v>35</v>
      </c>
      <c r="AE141" s="43">
        <v>35</v>
      </c>
      <c r="AF141" s="43">
        <v>35</v>
      </c>
      <c r="AG141" s="43">
        <v>35</v>
      </c>
      <c r="AH141" s="43">
        <v>35</v>
      </c>
      <c r="AI141" s="43">
        <v>35</v>
      </c>
      <c r="AJ141" s="43">
        <v>35</v>
      </c>
      <c r="AK141" s="43">
        <v>35</v>
      </c>
      <c r="AL141" s="43">
        <v>35</v>
      </c>
      <c r="AM141" s="43">
        <v>35</v>
      </c>
      <c r="AN141" s="43">
        <v>35</v>
      </c>
    </row>
    <row r="142" spans="1:40" hidden="1" outlineLevel="2">
      <c r="A142" s="683"/>
      <c r="B142" s="126" t="s">
        <v>78</v>
      </c>
      <c r="C142" s="39" t="s">
        <v>82</v>
      </c>
      <c r="E142" s="43">
        <f>F142</f>
        <v>828</v>
      </c>
      <c r="F142" s="41">
        <v>828</v>
      </c>
      <c r="G142" s="43">
        <f>H142</f>
        <v>828</v>
      </c>
      <c r="H142" s="41">
        <v>828</v>
      </c>
      <c r="I142" s="43">
        <f>J142</f>
        <v>828</v>
      </c>
      <c r="J142" s="41">
        <v>828</v>
      </c>
      <c r="K142" s="41">
        <v>1035</v>
      </c>
      <c r="L142" s="41">
        <v>1080</v>
      </c>
      <c r="M142" s="43">
        <v>200</v>
      </c>
      <c r="N142" s="41">
        <v>200</v>
      </c>
      <c r="O142" s="43">
        <v>200</v>
      </c>
      <c r="P142" s="41">
        <v>200</v>
      </c>
      <c r="Q142" s="43">
        <v>200</v>
      </c>
      <c r="R142" s="43">
        <v>200</v>
      </c>
      <c r="S142" s="41">
        <v>200</v>
      </c>
      <c r="T142" s="43">
        <v>200</v>
      </c>
      <c r="U142" s="43">
        <v>200</v>
      </c>
      <c r="V142" s="43">
        <v>200</v>
      </c>
      <c r="W142" s="43">
        <v>200</v>
      </c>
      <c r="X142" s="43">
        <v>200</v>
      </c>
      <c r="Y142" s="43">
        <v>200</v>
      </c>
      <c r="Z142" s="43">
        <v>200</v>
      </c>
      <c r="AA142" s="43">
        <v>200</v>
      </c>
      <c r="AB142" s="43">
        <v>200</v>
      </c>
      <c r="AC142" s="43">
        <v>200</v>
      </c>
      <c r="AD142" s="43">
        <v>200</v>
      </c>
      <c r="AE142" s="43">
        <v>200</v>
      </c>
      <c r="AF142" s="43">
        <v>200</v>
      </c>
      <c r="AG142" s="43">
        <v>200</v>
      </c>
      <c r="AH142" s="43">
        <v>200</v>
      </c>
      <c r="AI142" s="43">
        <v>200</v>
      </c>
      <c r="AJ142" s="43">
        <v>200</v>
      </c>
      <c r="AK142" s="43">
        <v>200</v>
      </c>
      <c r="AL142" s="43">
        <v>200</v>
      </c>
      <c r="AM142" s="43">
        <v>200</v>
      </c>
      <c r="AN142" s="43">
        <v>200</v>
      </c>
    </row>
    <row r="143" spans="1:40" outlineLevel="1" collapsed="1">
      <c r="A143" s="683"/>
      <c r="B143" s="126"/>
      <c r="C143" s="39"/>
      <c r="E143" s="43"/>
      <c r="F143" s="41"/>
      <c r="G143" s="43"/>
      <c r="H143" s="41"/>
      <c r="I143" s="43"/>
      <c r="J143" s="41"/>
      <c r="K143" s="41"/>
      <c r="L143" s="41"/>
      <c r="M143" s="43"/>
      <c r="N143" s="41"/>
      <c r="O143" s="43"/>
      <c r="P143" s="41"/>
      <c r="Q143" s="43"/>
      <c r="R143" s="43"/>
      <c r="S143" s="41"/>
      <c r="T143" s="43"/>
      <c r="U143" s="43"/>
      <c r="V143" s="43"/>
      <c r="W143" s="43"/>
      <c r="X143" s="43"/>
      <c r="Y143" s="43"/>
      <c r="Z143" s="43"/>
      <c r="AA143" s="43"/>
      <c r="AB143" s="43"/>
      <c r="AC143" s="43"/>
      <c r="AD143" s="43"/>
      <c r="AE143" s="43"/>
      <c r="AF143" s="43"/>
      <c r="AG143" s="43"/>
      <c r="AH143" s="43"/>
      <c r="AI143" s="43"/>
      <c r="AJ143" s="43"/>
      <c r="AK143" s="43"/>
      <c r="AL143" s="43"/>
      <c r="AM143" s="43"/>
      <c r="AN143" s="43"/>
    </row>
    <row r="144" spans="1:40" outlineLevel="1">
      <c r="A144" s="683"/>
      <c r="B144" s="130" t="s">
        <v>94</v>
      </c>
      <c r="C144" s="39"/>
      <c r="E144" s="43"/>
      <c r="F144" s="43"/>
      <c r="G144" s="43"/>
      <c r="H144" s="43"/>
      <c r="I144" s="43"/>
      <c r="J144" s="43"/>
      <c r="K144" s="43"/>
      <c r="L144" s="43"/>
      <c r="M144" s="43"/>
      <c r="N144" s="43"/>
      <c r="O144" s="43"/>
      <c r="P144" s="43"/>
      <c r="Q144" s="43"/>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row>
    <row r="145" spans="1:40" outlineLevel="1">
      <c r="A145" s="683"/>
      <c r="B145" s="96" t="s">
        <v>70</v>
      </c>
      <c r="C145" s="39" t="s">
        <v>85</v>
      </c>
      <c r="E145" s="47">
        <f t="shared" ref="E145:V145" si="45">E154*1000000/E136/E$13</f>
        <v>1291.1176987263941</v>
      </c>
      <c r="F145" s="47">
        <f t="shared" si="45"/>
        <v>1478.2895250851054</v>
      </c>
      <c r="G145" s="47">
        <f t="shared" si="45"/>
        <v>1353.2059727711901</v>
      </c>
      <c r="H145" s="47">
        <f t="shared" si="45"/>
        <v>1446.0349349852115</v>
      </c>
      <c r="I145" s="47">
        <f t="shared" si="45"/>
        <v>1361.1660079051383</v>
      </c>
      <c r="J145" s="47">
        <f t="shared" si="45"/>
        <v>862.93428793428791</v>
      </c>
      <c r="K145" s="47">
        <f t="shared" si="45"/>
        <v>1004.55643390426</v>
      </c>
      <c r="L145" s="47">
        <f t="shared" si="45"/>
        <v>1265.63256878174</v>
      </c>
      <c r="M145" s="47">
        <f t="shared" si="45"/>
        <v>374.12165129556439</v>
      </c>
      <c r="N145" s="47">
        <f t="shared" si="45"/>
        <v>833.47285004743571</v>
      </c>
      <c r="O145" s="47">
        <f t="shared" si="45"/>
        <v>1055.8483384570341</v>
      </c>
      <c r="P145" s="47">
        <f t="shared" si="45"/>
        <v>1188.6824041520174</v>
      </c>
      <c r="Q145" s="47">
        <f t="shared" si="45"/>
        <v>1215.0490411359976</v>
      </c>
      <c r="R145" s="47">
        <f t="shared" si="45"/>
        <v>1132.2011322011319</v>
      </c>
      <c r="S145" s="47">
        <f t="shared" si="45"/>
        <v>1044.8689796515882</v>
      </c>
      <c r="T145" s="47">
        <f t="shared" si="45"/>
        <v>1071.4883643060439</v>
      </c>
      <c r="U145" s="47">
        <f t="shared" si="45"/>
        <v>997.2917581613234</v>
      </c>
      <c r="V145" s="47">
        <f t="shared" si="45"/>
        <v>928.25120449429869</v>
      </c>
      <c r="W145" s="94">
        <v>1020</v>
      </c>
      <c r="X145" s="94">
        <v>1080</v>
      </c>
      <c r="Y145" s="134">
        <f t="shared" ref="Y145:AN147" si="46">W145*(1+Y149)</f>
        <v>1060.8</v>
      </c>
      <c r="Z145" s="134">
        <f t="shared" si="46"/>
        <v>1123.2</v>
      </c>
      <c r="AA145" s="134">
        <f t="shared" si="46"/>
        <v>1071.4079999999999</v>
      </c>
      <c r="AB145" s="134">
        <f t="shared" si="46"/>
        <v>1134.432</v>
      </c>
      <c r="AC145" s="134">
        <f t="shared" si="46"/>
        <v>1082.1220799999999</v>
      </c>
      <c r="AD145" s="134">
        <f t="shared" si="46"/>
        <v>1145.7763199999999</v>
      </c>
      <c r="AE145" s="134">
        <f t="shared" si="46"/>
        <v>1092.9433007999999</v>
      </c>
      <c r="AF145" s="134">
        <f t="shared" si="46"/>
        <v>1157.2340832</v>
      </c>
      <c r="AG145" s="134">
        <f t="shared" si="46"/>
        <v>1103.8727338079998</v>
      </c>
      <c r="AH145" s="134">
        <f t="shared" si="46"/>
        <v>1168.806424032</v>
      </c>
      <c r="AI145" s="134">
        <f t="shared" si="46"/>
        <v>1114.9114611460798</v>
      </c>
      <c r="AJ145" s="134">
        <f t="shared" si="46"/>
        <v>1180.49448827232</v>
      </c>
      <c r="AK145" s="134">
        <f t="shared" si="46"/>
        <v>1126.0605757575406</v>
      </c>
      <c r="AL145" s="134">
        <f t="shared" si="46"/>
        <v>1192.2994331550433</v>
      </c>
      <c r="AM145" s="134">
        <f t="shared" si="46"/>
        <v>1137.321181515116</v>
      </c>
      <c r="AN145" s="134">
        <f t="shared" si="46"/>
        <v>1204.2224274865937</v>
      </c>
    </row>
    <row r="146" spans="1:40" outlineLevel="1">
      <c r="A146" s="683"/>
      <c r="B146" s="96" t="s">
        <v>77</v>
      </c>
      <c r="C146" s="39" t="s">
        <v>85</v>
      </c>
      <c r="E146" s="47">
        <f t="shared" ref="E146:V146" si="47">E155*1000000/E137/E$13</f>
        <v>756.52173913043475</v>
      </c>
      <c r="F146" s="47">
        <f t="shared" si="47"/>
        <v>836.99447513812152</v>
      </c>
      <c r="G146" s="47">
        <f t="shared" si="47"/>
        <v>677.71739130434787</v>
      </c>
      <c r="H146" s="47">
        <f t="shared" si="47"/>
        <v>826.58011049723757</v>
      </c>
      <c r="I146" s="47">
        <f t="shared" si="47"/>
        <v>803.80434782608677</v>
      </c>
      <c r="J146" s="47">
        <f t="shared" si="47"/>
        <v>631.46703296703311</v>
      </c>
      <c r="K146" s="47">
        <f t="shared" si="47"/>
        <v>819.56521739130437</v>
      </c>
      <c r="L146" s="47">
        <f t="shared" si="47"/>
        <v>1117.7016574585634</v>
      </c>
      <c r="M146" s="47">
        <f t="shared" si="47"/>
        <v>677.71739130434787</v>
      </c>
      <c r="N146" s="47">
        <f t="shared" si="47"/>
        <v>913.25966850828729</v>
      </c>
      <c r="O146" s="47">
        <f t="shared" si="47"/>
        <v>1195.6521739130435</v>
      </c>
      <c r="P146" s="47">
        <f t="shared" si="47"/>
        <v>1086.5561694290975</v>
      </c>
      <c r="Q146" s="47">
        <f t="shared" si="47"/>
        <v>1177.536231884058</v>
      </c>
      <c r="R146" s="47">
        <f t="shared" si="47"/>
        <v>1245.4212454212454</v>
      </c>
      <c r="S146" s="47">
        <f t="shared" si="47"/>
        <v>1177.536231884058</v>
      </c>
      <c r="T146" s="47">
        <f t="shared" si="47"/>
        <v>1289.1344383057092</v>
      </c>
      <c r="U146" s="47">
        <f t="shared" si="47"/>
        <v>1268.1159420289855</v>
      </c>
      <c r="V146" s="47">
        <f t="shared" si="47"/>
        <v>1270.7182320441989</v>
      </c>
      <c r="W146" s="134">
        <f>U146*(1+W150)</f>
        <v>1280.7971014492753</v>
      </c>
      <c r="X146" s="134">
        <f>V146*(1+X150)</f>
        <v>1283.4254143646408</v>
      </c>
      <c r="Y146" s="134">
        <f t="shared" si="46"/>
        <v>1293.605072463768</v>
      </c>
      <c r="Z146" s="134">
        <f t="shared" si="46"/>
        <v>1296.2596685082872</v>
      </c>
      <c r="AA146" s="134">
        <f t="shared" si="46"/>
        <v>1306.5411231884057</v>
      </c>
      <c r="AB146" s="134">
        <f t="shared" si="46"/>
        <v>1309.22226519337</v>
      </c>
      <c r="AC146" s="134">
        <f t="shared" si="46"/>
        <v>1319.6065344202898</v>
      </c>
      <c r="AD146" s="134">
        <f t="shared" si="46"/>
        <v>1322.3144878453038</v>
      </c>
      <c r="AE146" s="134">
        <f t="shared" si="46"/>
        <v>1332.8025997644927</v>
      </c>
      <c r="AF146" s="134">
        <f t="shared" si="46"/>
        <v>1335.5376327237568</v>
      </c>
      <c r="AG146" s="134">
        <f t="shared" si="46"/>
        <v>1346.1306257621377</v>
      </c>
      <c r="AH146" s="134">
        <f t="shared" si="46"/>
        <v>1348.8930090509944</v>
      </c>
      <c r="AI146" s="134">
        <f t="shared" si="46"/>
        <v>1359.591932019759</v>
      </c>
      <c r="AJ146" s="134">
        <f t="shared" si="46"/>
        <v>1362.3819391415043</v>
      </c>
      <c r="AK146" s="134">
        <f t="shared" si="46"/>
        <v>1373.1878513399568</v>
      </c>
      <c r="AL146" s="134">
        <f t="shared" si="46"/>
        <v>1376.0057585329193</v>
      </c>
      <c r="AM146" s="134">
        <f t="shared" si="46"/>
        <v>1386.9197298533563</v>
      </c>
      <c r="AN146" s="134">
        <f t="shared" si="46"/>
        <v>1389.7658161182485</v>
      </c>
    </row>
    <row r="147" spans="1:40" outlineLevel="1">
      <c r="A147" s="683"/>
      <c r="B147" s="96" t="s">
        <v>78</v>
      </c>
      <c r="C147" s="39" t="s">
        <v>85</v>
      </c>
      <c r="E147" s="47">
        <f t="shared" ref="E147:V147" si="48">E156*1000000/E138/E$13</f>
        <v>2695.2938583765763</v>
      </c>
      <c r="F147" s="47">
        <f t="shared" si="48"/>
        <v>2026.1129691519432</v>
      </c>
      <c r="G147" s="47">
        <f t="shared" si="48"/>
        <v>2664.7781838639758</v>
      </c>
      <c r="H147" s="47">
        <f t="shared" si="48"/>
        <v>2192.2779954181087</v>
      </c>
      <c r="I147" s="47">
        <f t="shared" si="48"/>
        <v>2524.3578161531295</v>
      </c>
      <c r="J147" s="47">
        <f t="shared" si="48"/>
        <v>973.64299790137568</v>
      </c>
      <c r="K147" s="47">
        <f t="shared" si="48"/>
        <v>2477.8250828874543</v>
      </c>
      <c r="L147" s="47">
        <f t="shared" si="48"/>
        <v>2722.221128350292</v>
      </c>
      <c r="M147" s="47">
        <f t="shared" si="48"/>
        <v>2288.6631924632607</v>
      </c>
      <c r="N147" s="47">
        <f t="shared" si="48"/>
        <v>1872.1404152114917</v>
      </c>
      <c r="O147" s="47">
        <f t="shared" si="48"/>
        <v>2677.1336553945248</v>
      </c>
      <c r="P147" s="47">
        <f t="shared" si="48"/>
        <v>2066.70759156947</v>
      </c>
      <c r="Q147" s="47">
        <f t="shared" si="48"/>
        <v>1952.4959742351048</v>
      </c>
      <c r="R147" s="47">
        <f t="shared" si="48"/>
        <v>1967.1686338353006</v>
      </c>
      <c r="S147" s="47">
        <f t="shared" si="48"/>
        <v>2033.011272141707</v>
      </c>
      <c r="T147" s="47">
        <f t="shared" si="48"/>
        <v>1855.2622604187982</v>
      </c>
      <c r="U147" s="47">
        <f t="shared" si="48"/>
        <v>2106.8169618894258</v>
      </c>
      <c r="V147" s="47">
        <f t="shared" si="48"/>
        <v>2053.0659573016846</v>
      </c>
      <c r="W147" s="94">
        <v>1950</v>
      </c>
      <c r="X147" s="134">
        <f>V147*(1+X151)</f>
        <v>2053.0659573016846</v>
      </c>
      <c r="Y147" s="134">
        <f t="shared" si="46"/>
        <v>1969.5</v>
      </c>
      <c r="Z147" s="134">
        <f t="shared" si="46"/>
        <v>2176.2499147397857</v>
      </c>
      <c r="AA147" s="134">
        <f t="shared" si="46"/>
        <v>2087.67</v>
      </c>
      <c r="AB147" s="134">
        <f t="shared" si="46"/>
        <v>2306.824909624173</v>
      </c>
      <c r="AC147" s="134">
        <f t="shared" si="46"/>
        <v>2212.9302000000002</v>
      </c>
      <c r="AD147" s="134">
        <f t="shared" si="46"/>
        <v>2445.2344042016234</v>
      </c>
      <c r="AE147" s="134">
        <f t="shared" si="46"/>
        <v>2345.7060120000006</v>
      </c>
      <c r="AF147" s="134">
        <f t="shared" si="46"/>
        <v>2591.948468453721</v>
      </c>
      <c r="AG147" s="134">
        <f t="shared" si="46"/>
        <v>2486.4483727200009</v>
      </c>
      <c r="AH147" s="134">
        <f t="shared" si="46"/>
        <v>2747.4653765609446</v>
      </c>
      <c r="AI147" s="134">
        <f t="shared" si="46"/>
        <v>2635.6352750832011</v>
      </c>
      <c r="AJ147" s="134">
        <f t="shared" si="46"/>
        <v>2912.3132991546013</v>
      </c>
      <c r="AK147" s="134">
        <f t="shared" si="46"/>
        <v>2661.9916278340334</v>
      </c>
      <c r="AL147" s="134">
        <f t="shared" si="46"/>
        <v>2941.4364321461471</v>
      </c>
      <c r="AM147" s="134">
        <f t="shared" si="46"/>
        <v>2688.6115441123738</v>
      </c>
      <c r="AN147" s="134">
        <f t="shared" si="46"/>
        <v>2970.8507964676087</v>
      </c>
    </row>
    <row r="148" spans="1:40" outlineLevel="1">
      <c r="A148" s="683"/>
      <c r="B148" s="139" t="s">
        <v>95</v>
      </c>
      <c r="C148" s="39"/>
      <c r="E148" s="47"/>
      <c r="F148" s="47"/>
      <c r="G148" s="47"/>
      <c r="H148" s="47"/>
      <c r="I148" s="47"/>
      <c r="J148" s="47"/>
      <c r="K148" s="47"/>
      <c r="L148" s="47"/>
      <c r="M148" s="47"/>
      <c r="N148" s="47"/>
      <c r="O148" s="47"/>
      <c r="P148" s="47"/>
      <c r="Q148" s="47"/>
      <c r="R148" s="47"/>
      <c r="S148" s="541"/>
      <c r="T148" s="541"/>
      <c r="U148" s="541"/>
      <c r="V148" s="541"/>
      <c r="W148" s="541"/>
      <c r="X148" s="541"/>
      <c r="Y148" s="541"/>
      <c r="Z148" s="541"/>
      <c r="AA148" s="541"/>
      <c r="AB148" s="541"/>
      <c r="AC148" s="541"/>
      <c r="AD148" s="541"/>
      <c r="AE148" s="541"/>
      <c r="AF148" s="541"/>
      <c r="AG148" s="541"/>
      <c r="AH148" s="541"/>
      <c r="AI148" s="541"/>
      <c r="AJ148" s="541"/>
      <c r="AK148" s="541"/>
      <c r="AL148" s="541"/>
      <c r="AM148" s="541"/>
      <c r="AN148" s="541"/>
    </row>
    <row r="149" spans="1:40" outlineLevel="1">
      <c r="A149" s="683"/>
      <c r="B149" s="137" t="s">
        <v>70</v>
      </c>
      <c r="C149" s="39"/>
      <c r="E149" s="47"/>
      <c r="F149" s="47"/>
      <c r="G149" s="93">
        <f t="shared" ref="G149:X149" si="49">G145/E145-1</f>
        <v>4.8088779284833683E-2</v>
      </c>
      <c r="H149" s="93">
        <f t="shared" si="49"/>
        <v>-2.1818858587959622E-2</v>
      </c>
      <c r="I149" s="93">
        <f t="shared" si="49"/>
        <v>5.8823529411764497E-3</v>
      </c>
      <c r="J149" s="93">
        <f t="shared" si="49"/>
        <v>-0.40324105105862251</v>
      </c>
      <c r="K149" s="93">
        <f t="shared" si="49"/>
        <v>-0.26198830409356721</v>
      </c>
      <c r="L149" s="93">
        <f t="shared" si="49"/>
        <v>0.46666158301745142</v>
      </c>
      <c r="M149" s="93">
        <f t="shared" si="49"/>
        <v>-0.62757527733755936</v>
      </c>
      <c r="N149" s="93">
        <f t="shared" si="49"/>
        <v>-0.34145748884313898</v>
      </c>
      <c r="O149" s="93">
        <f t="shared" si="49"/>
        <v>1.8222059183174366</v>
      </c>
      <c r="P149" s="93">
        <f t="shared" si="49"/>
        <v>0.42618011382658172</v>
      </c>
      <c r="Q149" s="93">
        <f t="shared" si="49"/>
        <v>0.15077989601386488</v>
      </c>
      <c r="R149" s="93">
        <f t="shared" si="49"/>
        <v>-4.7515864417273068E-2</v>
      </c>
      <c r="S149" s="93">
        <f t="shared" si="49"/>
        <v>-0.1400602409638555</v>
      </c>
      <c r="T149" s="93">
        <f t="shared" si="49"/>
        <v>-5.3623659408514546E-2</v>
      </c>
      <c r="U149" s="93">
        <f t="shared" si="49"/>
        <v>-4.5534150612959623E-2</v>
      </c>
      <c r="V149" s="93">
        <f t="shared" si="49"/>
        <v>-0.13368055555555536</v>
      </c>
      <c r="W149" s="93">
        <f t="shared" si="49"/>
        <v>2.2769908256880633E-2</v>
      </c>
      <c r="X149" s="93">
        <f t="shared" si="49"/>
        <v>0.16347815631262486</v>
      </c>
      <c r="Y149" s="514">
        <v>0.04</v>
      </c>
      <c r="Z149" s="514">
        <v>0.04</v>
      </c>
      <c r="AA149" s="150">
        <v>0.01</v>
      </c>
      <c r="AB149" s="150">
        <v>0.01</v>
      </c>
      <c r="AC149" s="150">
        <v>0.01</v>
      </c>
      <c r="AD149" s="150">
        <v>0.01</v>
      </c>
      <c r="AE149" s="150">
        <v>0.01</v>
      </c>
      <c r="AF149" s="150">
        <v>0.01</v>
      </c>
      <c r="AG149" s="150">
        <v>0.01</v>
      </c>
      <c r="AH149" s="150">
        <v>0.01</v>
      </c>
      <c r="AI149" s="150">
        <v>0.01</v>
      </c>
      <c r="AJ149" s="150">
        <v>0.01</v>
      </c>
      <c r="AK149" s="150">
        <v>0.01</v>
      </c>
      <c r="AL149" s="150">
        <v>0.01</v>
      </c>
      <c r="AM149" s="150">
        <v>0.01</v>
      </c>
      <c r="AN149" s="150">
        <v>0.01</v>
      </c>
    </row>
    <row r="150" spans="1:40" outlineLevel="1">
      <c r="A150" s="683"/>
      <c r="B150" s="137" t="s">
        <v>77</v>
      </c>
      <c r="C150" s="39"/>
      <c r="E150" s="47"/>
      <c r="F150" s="47"/>
      <c r="G150" s="93">
        <f t="shared" ref="G150:V151" si="50">G146/E146-1</f>
        <v>-0.10416666666666652</v>
      </c>
      <c r="H150" s="93">
        <f t="shared" si="50"/>
        <v>-1.2442572741194424E-2</v>
      </c>
      <c r="I150" s="93">
        <f t="shared" si="50"/>
        <v>0.18604651162790664</v>
      </c>
      <c r="J150" s="93">
        <f t="shared" si="50"/>
        <v>-0.23604859958804503</v>
      </c>
      <c r="K150" s="93">
        <f t="shared" si="50"/>
        <v>1.9607843137255276E-2</v>
      </c>
      <c r="L150" s="93">
        <f t="shared" si="50"/>
        <v>0.77000793249156851</v>
      </c>
      <c r="M150" s="93">
        <f t="shared" si="50"/>
        <v>-0.17307692307692302</v>
      </c>
      <c r="N150" s="93">
        <f t="shared" si="50"/>
        <v>-0.18291284403669716</v>
      </c>
      <c r="O150" s="93">
        <f t="shared" si="50"/>
        <v>0.76423416198877292</v>
      </c>
      <c r="P150" s="93">
        <f t="shared" si="50"/>
        <v>0.1897559991933857</v>
      </c>
      <c r="Q150" s="93">
        <f t="shared" si="50"/>
        <v>-1.5151515151515138E-2</v>
      </c>
      <c r="R150" s="93">
        <f t="shared" si="50"/>
        <v>0.14620972248090913</v>
      </c>
      <c r="S150" s="93">
        <f t="shared" si="50"/>
        <v>0</v>
      </c>
      <c r="T150" s="93">
        <f t="shared" si="50"/>
        <v>3.5099122521937032E-2</v>
      </c>
      <c r="U150" s="93">
        <f t="shared" si="50"/>
        <v>7.6923076923076872E-2</v>
      </c>
      <c r="V150" s="93">
        <f t="shared" si="50"/>
        <v>-1.4285714285714457E-2</v>
      </c>
      <c r="W150" s="150">
        <v>0.01</v>
      </c>
      <c r="X150" s="150">
        <v>0.01</v>
      </c>
      <c r="Y150" s="150">
        <v>0.01</v>
      </c>
      <c r="Z150" s="150">
        <v>0.01</v>
      </c>
      <c r="AA150" s="150">
        <v>0.01</v>
      </c>
      <c r="AB150" s="150">
        <v>0.01</v>
      </c>
      <c r="AC150" s="150">
        <v>0.01</v>
      </c>
      <c r="AD150" s="150">
        <v>0.01</v>
      </c>
      <c r="AE150" s="150">
        <v>0.01</v>
      </c>
      <c r="AF150" s="150">
        <v>0.01</v>
      </c>
      <c r="AG150" s="150">
        <v>0.01</v>
      </c>
      <c r="AH150" s="150">
        <v>0.01</v>
      </c>
      <c r="AI150" s="150">
        <v>0.01</v>
      </c>
      <c r="AJ150" s="150">
        <v>0.01</v>
      </c>
      <c r="AK150" s="150">
        <v>0.01</v>
      </c>
      <c r="AL150" s="150">
        <v>0.01</v>
      </c>
      <c r="AM150" s="150">
        <v>0.01</v>
      </c>
      <c r="AN150" s="150">
        <v>0.01</v>
      </c>
    </row>
    <row r="151" spans="1:40" outlineLevel="1">
      <c r="A151" s="683"/>
      <c r="B151" s="137" t="s">
        <v>78</v>
      </c>
      <c r="C151" s="39"/>
      <c r="E151" s="43"/>
      <c r="F151" s="43"/>
      <c r="G151" s="93">
        <f t="shared" si="50"/>
        <v>-1.1321835805681135E-2</v>
      </c>
      <c r="H151" s="93">
        <f t="shared" si="50"/>
        <v>8.2011728267904038E-2</v>
      </c>
      <c r="I151" s="93">
        <f t="shared" si="50"/>
        <v>-5.2694955460508286E-2</v>
      </c>
      <c r="J151" s="93">
        <f t="shared" si="50"/>
        <v>-0.55587612522850527</v>
      </c>
      <c r="K151" s="93">
        <f t="shared" si="50"/>
        <v>-1.8433493448478888E-2</v>
      </c>
      <c r="L151" s="93">
        <f t="shared" si="50"/>
        <v>1.7959130135150798</v>
      </c>
      <c r="M151" s="93">
        <f t="shared" si="50"/>
        <v>-7.6341906347868527E-2</v>
      </c>
      <c r="N151" s="93">
        <f t="shared" si="50"/>
        <v>-0.31227467316513058</v>
      </c>
      <c r="O151" s="93">
        <f t="shared" si="50"/>
        <v>0.16973684210526319</v>
      </c>
      <c r="P151" s="93">
        <f t="shared" si="50"/>
        <v>0.10392766203703707</v>
      </c>
      <c r="Q151" s="93">
        <f t="shared" si="50"/>
        <v>-0.27067669172932318</v>
      </c>
      <c r="R151" s="93">
        <f t="shared" si="50"/>
        <v>-4.8163058064048081E-2</v>
      </c>
      <c r="S151" s="93">
        <f t="shared" si="50"/>
        <v>4.1237113402061931E-2</v>
      </c>
      <c r="T151" s="93">
        <f t="shared" si="50"/>
        <v>-5.688702610020957E-2</v>
      </c>
      <c r="U151" s="93">
        <f t="shared" si="50"/>
        <v>3.630363036303641E-2</v>
      </c>
      <c r="V151" s="93">
        <f t="shared" si="50"/>
        <v>0.10661764705882337</v>
      </c>
      <c r="W151" s="150">
        <v>0</v>
      </c>
      <c r="X151" s="150">
        <v>0</v>
      </c>
      <c r="Y151" s="150">
        <v>0.01</v>
      </c>
      <c r="Z151" s="514">
        <v>0.06</v>
      </c>
      <c r="AA151" s="514">
        <v>0.06</v>
      </c>
      <c r="AB151" s="514">
        <v>0.06</v>
      </c>
      <c r="AC151" s="514">
        <v>0.06</v>
      </c>
      <c r="AD151" s="514">
        <v>0.06</v>
      </c>
      <c r="AE151" s="514">
        <v>0.06</v>
      </c>
      <c r="AF151" s="514">
        <v>0.06</v>
      </c>
      <c r="AG151" s="514">
        <v>0.06</v>
      </c>
      <c r="AH151" s="514">
        <v>0.06</v>
      </c>
      <c r="AI151" s="514">
        <v>0.06</v>
      </c>
      <c r="AJ151" s="514">
        <v>0.06</v>
      </c>
      <c r="AK151" s="150">
        <v>0.01</v>
      </c>
      <c r="AL151" s="150">
        <v>0.01</v>
      </c>
      <c r="AM151" s="150">
        <v>0.01</v>
      </c>
      <c r="AN151" s="150">
        <v>0.01</v>
      </c>
    </row>
    <row r="152" spans="1:40" outlineLevel="1">
      <c r="B152" s="137"/>
      <c r="C152" s="39"/>
      <c r="E152" s="43"/>
      <c r="F152" s="43"/>
      <c r="G152" s="93"/>
      <c r="H152" s="93"/>
      <c r="I152" s="93"/>
      <c r="J152" s="93"/>
      <c r="K152" s="93"/>
      <c r="L152" s="93"/>
      <c r="M152" s="93"/>
      <c r="N152" s="93"/>
      <c r="O152" s="93"/>
      <c r="P152" s="93"/>
      <c r="Q152" s="93"/>
      <c r="R152" s="93"/>
      <c r="S152" s="93"/>
      <c r="T152" s="93"/>
      <c r="U152" s="209"/>
      <c r="V152" s="209"/>
      <c r="W152" s="209"/>
      <c r="X152" s="209"/>
      <c r="Y152" s="209"/>
      <c r="Z152" s="209"/>
      <c r="AA152" s="209"/>
      <c r="AB152" s="209"/>
      <c r="AC152" s="209"/>
      <c r="AD152" s="209"/>
      <c r="AE152" s="209"/>
      <c r="AF152" s="209"/>
      <c r="AG152" s="209"/>
      <c r="AH152" s="209"/>
      <c r="AI152" s="209"/>
      <c r="AJ152" s="209"/>
      <c r="AK152" s="209"/>
      <c r="AL152" s="209"/>
      <c r="AM152" s="209"/>
      <c r="AN152" s="209"/>
    </row>
    <row r="153" spans="1:40" outlineLevel="1">
      <c r="B153" s="127" t="s">
        <v>96</v>
      </c>
      <c r="C153" s="39"/>
      <c r="E153" s="43"/>
      <c r="F153" s="131"/>
      <c r="G153" s="43"/>
      <c r="H153" s="131"/>
      <c r="I153" s="43"/>
      <c r="J153" s="131"/>
      <c r="K153" s="131"/>
      <c r="L153" s="131"/>
      <c r="M153" s="43"/>
      <c r="N153" s="131"/>
      <c r="O153" s="43"/>
      <c r="P153" s="131"/>
      <c r="Q153" s="131"/>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row>
    <row r="154" spans="1:40" outlineLevel="1">
      <c r="B154" s="95" t="s">
        <v>70</v>
      </c>
      <c r="C154" s="39" t="s">
        <v>72</v>
      </c>
      <c r="E154" s="47">
        <f t="shared" ref="E154:V154" si="51">E84</f>
        <v>70.556999999999988</v>
      </c>
      <c r="F154" s="47">
        <f t="shared" si="51"/>
        <v>79.46841000000002</v>
      </c>
      <c r="G154" s="47">
        <f t="shared" si="51"/>
        <v>73.95</v>
      </c>
      <c r="H154" s="47">
        <f t="shared" si="51"/>
        <v>77.734500000000011</v>
      </c>
      <c r="I154" s="47">
        <f t="shared" si="51"/>
        <v>74.385000000000005</v>
      </c>
      <c r="J154" s="47">
        <f t="shared" si="51"/>
        <v>46.645049999999998</v>
      </c>
      <c r="K154" s="47">
        <f t="shared" si="51"/>
        <v>54.896999999999998</v>
      </c>
      <c r="L154" s="47">
        <f t="shared" si="51"/>
        <v>68.036609999999996</v>
      </c>
      <c r="M154" s="47">
        <f t="shared" si="51"/>
        <v>20.445</v>
      </c>
      <c r="N154" s="47">
        <f t="shared" si="51"/>
        <v>44.805</v>
      </c>
      <c r="O154" s="47">
        <f t="shared" si="51"/>
        <v>57.7</v>
      </c>
      <c r="P154" s="47">
        <f t="shared" si="51"/>
        <v>63.899999999999991</v>
      </c>
      <c r="Q154" s="47">
        <f t="shared" si="51"/>
        <v>66.400000000000006</v>
      </c>
      <c r="R154" s="47">
        <f t="shared" si="51"/>
        <v>61.199999999999989</v>
      </c>
      <c r="S154" s="47">
        <f t="shared" si="51"/>
        <v>57.1</v>
      </c>
      <c r="T154" s="47">
        <f t="shared" si="51"/>
        <v>57.6</v>
      </c>
      <c r="U154" s="47">
        <f t="shared" si="51"/>
        <v>54.5</v>
      </c>
      <c r="V154" s="47">
        <f t="shared" si="51"/>
        <v>49.900000000000006</v>
      </c>
      <c r="W154" s="94">
        <v>47</v>
      </c>
      <c r="X154" s="94">
        <v>48</v>
      </c>
      <c r="Y154" s="94">
        <v>49</v>
      </c>
      <c r="Z154" s="47">
        <f t="shared" ref="Z154:AN155" si="52">X154*(1+Z158)</f>
        <v>49.92</v>
      </c>
      <c r="AA154" s="47">
        <f t="shared" si="52"/>
        <v>49.49</v>
      </c>
      <c r="AB154" s="47">
        <f t="shared" si="52"/>
        <v>50.419200000000004</v>
      </c>
      <c r="AC154" s="47">
        <f t="shared" si="52"/>
        <v>49.984900000000003</v>
      </c>
      <c r="AD154" s="47">
        <f t="shared" si="52"/>
        <v>50.923392000000007</v>
      </c>
      <c r="AE154" s="47">
        <f t="shared" si="52"/>
        <v>50.484749000000001</v>
      </c>
      <c r="AF154" s="47">
        <f t="shared" si="52"/>
        <v>51.432625920000007</v>
      </c>
      <c r="AG154" s="47">
        <f t="shared" si="52"/>
        <v>50.989596490000004</v>
      </c>
      <c r="AH154" s="47">
        <f t="shared" si="52"/>
        <v>51.946952179200004</v>
      </c>
      <c r="AI154" s="47">
        <f t="shared" si="52"/>
        <v>51.499492454900007</v>
      </c>
      <c r="AJ154" s="47">
        <f t="shared" si="52"/>
        <v>52.466421700992001</v>
      </c>
      <c r="AK154" s="47">
        <f t="shared" si="52"/>
        <v>52.014487379449008</v>
      </c>
      <c r="AL154" s="47">
        <f t="shared" si="52"/>
        <v>52.991085918001922</v>
      </c>
      <c r="AM154" s="47">
        <f t="shared" si="52"/>
        <v>52.534632253243501</v>
      </c>
      <c r="AN154" s="47">
        <f t="shared" si="52"/>
        <v>53.520996777181942</v>
      </c>
    </row>
    <row r="155" spans="1:40" outlineLevel="1">
      <c r="B155" s="95" t="s">
        <v>77</v>
      </c>
      <c r="C155" s="39" t="s">
        <v>72</v>
      </c>
      <c r="E155" s="47">
        <f t="shared" ref="E155:V155" si="53">E91</f>
        <v>4.1760000000000002</v>
      </c>
      <c r="F155" s="47">
        <f t="shared" si="53"/>
        <v>4.54488</v>
      </c>
      <c r="G155" s="47">
        <f t="shared" si="53"/>
        <v>3.7410000000000001</v>
      </c>
      <c r="H155" s="47">
        <f t="shared" si="53"/>
        <v>4.4883300000000004</v>
      </c>
      <c r="I155" s="47">
        <f t="shared" si="53"/>
        <v>4.4369999999999994</v>
      </c>
      <c r="J155" s="47">
        <f t="shared" si="53"/>
        <v>3.4478100000000009</v>
      </c>
      <c r="K155" s="47">
        <f t="shared" si="53"/>
        <v>4.524</v>
      </c>
      <c r="L155" s="47">
        <f t="shared" si="53"/>
        <v>6.0691199999999998</v>
      </c>
      <c r="M155" s="47">
        <f t="shared" si="53"/>
        <v>3.7410000000000001</v>
      </c>
      <c r="N155" s="47">
        <f t="shared" si="53"/>
        <v>4.9589999999999996</v>
      </c>
      <c r="O155" s="47">
        <f t="shared" si="53"/>
        <v>6.6</v>
      </c>
      <c r="P155" s="47">
        <f t="shared" si="53"/>
        <v>5.9</v>
      </c>
      <c r="Q155" s="47">
        <f t="shared" si="53"/>
        <v>6.5</v>
      </c>
      <c r="R155" s="47">
        <f t="shared" si="53"/>
        <v>6.8000000000000007</v>
      </c>
      <c r="S155" s="47">
        <f t="shared" si="53"/>
        <v>6.5</v>
      </c>
      <c r="T155" s="47">
        <f t="shared" si="53"/>
        <v>7</v>
      </c>
      <c r="U155" s="47">
        <f t="shared" si="53"/>
        <v>7</v>
      </c>
      <c r="V155" s="47">
        <f t="shared" si="53"/>
        <v>6.9</v>
      </c>
      <c r="W155" s="94">
        <v>6.9690000000000003</v>
      </c>
      <c r="X155" s="94">
        <v>6.9690000000000003</v>
      </c>
      <c r="Y155" s="94">
        <v>7.1406999999999989</v>
      </c>
      <c r="Z155" s="47">
        <f t="shared" si="52"/>
        <v>7.0386900000000008</v>
      </c>
      <c r="AA155" s="47">
        <f t="shared" si="52"/>
        <v>7.2121069999999987</v>
      </c>
      <c r="AB155" s="47">
        <f t="shared" si="52"/>
        <v>7.1090769000000007</v>
      </c>
      <c r="AC155" s="47">
        <f t="shared" si="52"/>
        <v>7.2842280699999984</v>
      </c>
      <c r="AD155" s="47">
        <f t="shared" si="52"/>
        <v>7.1801676690000011</v>
      </c>
      <c r="AE155" s="47">
        <f t="shared" si="52"/>
        <v>7.3570703506999982</v>
      </c>
      <c r="AF155" s="47">
        <f t="shared" si="52"/>
        <v>7.251969345690001</v>
      </c>
      <c r="AG155" s="47">
        <f t="shared" si="52"/>
        <v>7.4306410542069985</v>
      </c>
      <c r="AH155" s="47">
        <f t="shared" si="52"/>
        <v>7.3244890391469006</v>
      </c>
      <c r="AI155" s="47">
        <f t="shared" si="52"/>
        <v>7.5049474647490682</v>
      </c>
      <c r="AJ155" s="47">
        <f t="shared" si="52"/>
        <v>7.3977339295383695</v>
      </c>
      <c r="AK155" s="47">
        <f t="shared" si="52"/>
        <v>7.5799969393965592</v>
      </c>
      <c r="AL155" s="47">
        <f t="shared" si="52"/>
        <v>7.4717112688337535</v>
      </c>
      <c r="AM155" s="47">
        <f t="shared" si="52"/>
        <v>7.6557969087905251</v>
      </c>
      <c r="AN155" s="47">
        <f t="shared" si="52"/>
        <v>7.5464283815220909</v>
      </c>
    </row>
    <row r="156" spans="1:40" outlineLevel="1">
      <c r="B156" s="95" t="s">
        <v>78</v>
      </c>
      <c r="C156" s="39" t="s">
        <v>72</v>
      </c>
      <c r="E156" s="47">
        <f t="shared" ref="E156:V156" si="54">E98</f>
        <v>40.1706596652445</v>
      </c>
      <c r="F156" s="47">
        <f t="shared" si="54"/>
        <v>29.704842240736639</v>
      </c>
      <c r="G156" s="47">
        <f t="shared" si="54"/>
        <v>39.715854052308693</v>
      </c>
      <c r="H156" s="47">
        <f t="shared" si="54"/>
        <v>32.140987690824893</v>
      </c>
      <c r="I156" s="47">
        <f t="shared" si="54"/>
        <v>37.623028891946241</v>
      </c>
      <c r="J156" s="47">
        <f t="shared" si="54"/>
        <v>14.35344507506208</v>
      </c>
      <c r="K156" s="47">
        <f t="shared" si="54"/>
        <v>36.929505035354623</v>
      </c>
      <c r="L156" s="47">
        <f t="shared" si="54"/>
        <v>39.910483962743633</v>
      </c>
      <c r="M156" s="47">
        <f t="shared" si="54"/>
        <v>34.110236220472437</v>
      </c>
      <c r="N156" s="47">
        <f t="shared" si="54"/>
        <v>27.44745062741568</v>
      </c>
      <c r="O156" s="47">
        <f t="shared" si="54"/>
        <v>39.9</v>
      </c>
      <c r="P156" s="47">
        <f t="shared" si="54"/>
        <v>30.300000000000004</v>
      </c>
      <c r="Q156" s="47">
        <f t="shared" si="54"/>
        <v>29.1</v>
      </c>
      <c r="R156" s="47">
        <f t="shared" si="54"/>
        <v>29</v>
      </c>
      <c r="S156" s="47">
        <f t="shared" si="54"/>
        <v>30.3</v>
      </c>
      <c r="T156" s="47">
        <f t="shared" si="54"/>
        <v>27.2</v>
      </c>
      <c r="U156" s="47">
        <f t="shared" si="54"/>
        <v>31.4</v>
      </c>
      <c r="V156" s="47">
        <f t="shared" si="54"/>
        <v>30.1</v>
      </c>
      <c r="W156" s="94">
        <v>29</v>
      </c>
      <c r="X156" s="94">
        <v>30.1</v>
      </c>
      <c r="Y156" s="632">
        <v>25</v>
      </c>
      <c r="Z156" s="632">
        <v>25</v>
      </c>
      <c r="AA156" s="47">
        <f t="shared" ref="AA156:AN156" si="55">Y156*(1+AA160)</f>
        <v>26.5</v>
      </c>
      <c r="AB156" s="47">
        <f t="shared" si="55"/>
        <v>26.5</v>
      </c>
      <c r="AC156" s="47">
        <f t="shared" si="55"/>
        <v>28.09</v>
      </c>
      <c r="AD156" s="47">
        <f t="shared" si="55"/>
        <v>28.09</v>
      </c>
      <c r="AE156" s="47">
        <f t="shared" si="55"/>
        <v>29.775400000000001</v>
      </c>
      <c r="AF156" s="47">
        <f t="shared" si="55"/>
        <v>29.775400000000001</v>
      </c>
      <c r="AG156" s="47">
        <f t="shared" si="55"/>
        <v>31.561924000000001</v>
      </c>
      <c r="AH156" s="47">
        <f t="shared" si="55"/>
        <v>31.561924000000001</v>
      </c>
      <c r="AI156" s="47">
        <f t="shared" si="55"/>
        <v>33.455639440000006</v>
      </c>
      <c r="AJ156" s="47">
        <f t="shared" si="55"/>
        <v>33.455639440000006</v>
      </c>
      <c r="AK156" s="47">
        <f t="shared" si="55"/>
        <v>33.790195834400009</v>
      </c>
      <c r="AL156" s="47">
        <f t="shared" si="55"/>
        <v>33.790195834400009</v>
      </c>
      <c r="AM156" s="47">
        <f t="shared" si="55"/>
        <v>34.128097792744008</v>
      </c>
      <c r="AN156" s="47">
        <f t="shared" si="55"/>
        <v>34.128097792744008</v>
      </c>
    </row>
    <row r="157" spans="1:40" outlineLevel="1">
      <c r="B157" s="136" t="s">
        <v>91</v>
      </c>
      <c r="C157" s="39"/>
      <c r="E157" s="43"/>
      <c r="F157" s="43"/>
      <c r="G157" s="43"/>
      <c r="H157" s="43"/>
      <c r="I157" s="43"/>
      <c r="J157" s="43"/>
      <c r="K157" s="43"/>
      <c r="L157" s="43"/>
      <c r="M157" s="43"/>
      <c r="N157" s="43"/>
      <c r="O157" s="43"/>
      <c r="P157" s="43"/>
      <c r="Q157" s="43"/>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row>
    <row r="158" spans="1:40" outlineLevel="1">
      <c r="B158" s="126" t="s">
        <v>70</v>
      </c>
      <c r="C158" s="39" t="s">
        <v>72</v>
      </c>
      <c r="E158" s="43"/>
      <c r="F158" s="43"/>
      <c r="G158" s="93">
        <f t="shared" ref="G158:P160" si="56">G154/E154-1</f>
        <v>4.8088779284833683E-2</v>
      </c>
      <c r="H158" s="93">
        <f t="shared" si="56"/>
        <v>-2.1818858587959733E-2</v>
      </c>
      <c r="I158" s="93">
        <f t="shared" si="56"/>
        <v>5.8823529411764497E-3</v>
      </c>
      <c r="J158" s="93">
        <f t="shared" si="56"/>
        <v>-0.39994404029099062</v>
      </c>
      <c r="K158" s="93">
        <f t="shared" si="56"/>
        <v>-0.26198830409356733</v>
      </c>
      <c r="L158" s="93">
        <f t="shared" si="56"/>
        <v>0.45860300289098199</v>
      </c>
      <c r="M158" s="93">
        <f t="shared" si="56"/>
        <v>-0.62757527733755936</v>
      </c>
      <c r="N158" s="93">
        <f t="shared" si="56"/>
        <v>-0.34145748884313898</v>
      </c>
      <c r="O158" s="93">
        <f t="shared" si="56"/>
        <v>1.8222059183174371</v>
      </c>
      <c r="P158" s="93">
        <f t="shared" si="56"/>
        <v>0.42618011382658172</v>
      </c>
      <c r="Q158" s="93">
        <f t="shared" ref="Q158:Y160" si="57">Q154/O154-1</f>
        <v>0.15077989601386488</v>
      </c>
      <c r="R158" s="93">
        <f t="shared" si="57"/>
        <v>-4.2253521126760618E-2</v>
      </c>
      <c r="S158" s="93">
        <f t="shared" si="57"/>
        <v>-0.1400602409638555</v>
      </c>
      <c r="T158" s="93">
        <f t="shared" si="57"/>
        <v>-5.8823529411764497E-2</v>
      </c>
      <c r="U158" s="93">
        <f t="shared" si="57"/>
        <v>-4.5534150612959734E-2</v>
      </c>
      <c r="V158" s="93">
        <f t="shared" si="57"/>
        <v>-0.13368055555555547</v>
      </c>
      <c r="W158" s="93">
        <f t="shared" si="57"/>
        <v>-0.13761467889908252</v>
      </c>
      <c r="X158" s="93">
        <f t="shared" si="57"/>
        <v>-3.8076152304609368E-2</v>
      </c>
      <c r="Y158" s="93">
        <f t="shared" si="57"/>
        <v>4.2553191489361764E-2</v>
      </c>
      <c r="Z158" s="150">
        <v>0.04</v>
      </c>
      <c r="AA158" s="150">
        <v>0.01</v>
      </c>
      <c r="AB158" s="150">
        <v>0.01</v>
      </c>
      <c r="AC158" s="150">
        <v>0.01</v>
      </c>
      <c r="AD158" s="150">
        <v>0.01</v>
      </c>
      <c r="AE158" s="150">
        <v>0.01</v>
      </c>
      <c r="AF158" s="150">
        <v>0.01</v>
      </c>
      <c r="AG158" s="150">
        <v>0.01</v>
      </c>
      <c r="AH158" s="150">
        <v>0.01</v>
      </c>
      <c r="AI158" s="150">
        <v>0.01</v>
      </c>
      <c r="AJ158" s="150">
        <v>0.01</v>
      </c>
      <c r="AK158" s="150">
        <v>0.01</v>
      </c>
      <c r="AL158" s="150">
        <v>0.01</v>
      </c>
      <c r="AM158" s="150">
        <v>0.01</v>
      </c>
      <c r="AN158" s="150">
        <v>0.01</v>
      </c>
    </row>
    <row r="159" spans="1:40" outlineLevel="1">
      <c r="B159" s="126" t="s">
        <v>77</v>
      </c>
      <c r="C159" s="39" t="s">
        <v>72</v>
      </c>
      <c r="E159" s="43"/>
      <c r="F159" s="43"/>
      <c r="G159" s="93">
        <f t="shared" si="56"/>
        <v>-0.10416666666666663</v>
      </c>
      <c r="H159" s="93">
        <f t="shared" si="56"/>
        <v>-1.2442572741194424E-2</v>
      </c>
      <c r="I159" s="93">
        <f t="shared" si="56"/>
        <v>0.18604651162790686</v>
      </c>
      <c r="J159" s="93">
        <f t="shared" si="56"/>
        <v>-0.23182787361891821</v>
      </c>
      <c r="K159" s="93">
        <f t="shared" si="56"/>
        <v>1.9607843137255054E-2</v>
      </c>
      <c r="L159" s="93">
        <f t="shared" si="56"/>
        <v>0.76028261418117538</v>
      </c>
      <c r="M159" s="93">
        <f t="shared" si="56"/>
        <v>-0.17307692307692302</v>
      </c>
      <c r="N159" s="93">
        <f t="shared" si="56"/>
        <v>-0.18291284403669728</v>
      </c>
      <c r="O159" s="93">
        <f t="shared" si="56"/>
        <v>0.76423416198877292</v>
      </c>
      <c r="P159" s="93">
        <f t="shared" si="56"/>
        <v>0.18975599919338593</v>
      </c>
      <c r="Q159" s="93">
        <f t="shared" si="57"/>
        <v>-1.5151515151515138E-2</v>
      </c>
      <c r="R159" s="93">
        <f t="shared" si="57"/>
        <v>0.15254237288135597</v>
      </c>
      <c r="S159" s="93">
        <f t="shared" si="57"/>
        <v>0</v>
      </c>
      <c r="T159" s="93">
        <f t="shared" si="57"/>
        <v>2.9411764705882248E-2</v>
      </c>
      <c r="U159" s="93">
        <f t="shared" si="57"/>
        <v>7.6923076923076872E-2</v>
      </c>
      <c r="V159" s="93">
        <f t="shared" si="57"/>
        <v>-1.4285714285714235E-2</v>
      </c>
      <c r="W159" s="93">
        <f t="shared" si="57"/>
        <v>-4.4285714285713373E-3</v>
      </c>
      <c r="X159" s="93">
        <f t="shared" si="57"/>
        <v>1.0000000000000009E-2</v>
      </c>
      <c r="Y159" s="93">
        <f t="shared" si="57"/>
        <v>2.463768115942E-2</v>
      </c>
      <c r="Z159" s="150">
        <v>0.01</v>
      </c>
      <c r="AA159" s="150">
        <v>0.01</v>
      </c>
      <c r="AB159" s="150">
        <v>0.01</v>
      </c>
      <c r="AC159" s="150">
        <v>0.01</v>
      </c>
      <c r="AD159" s="150">
        <v>0.01</v>
      </c>
      <c r="AE159" s="150">
        <v>0.01</v>
      </c>
      <c r="AF159" s="150">
        <v>0.01</v>
      </c>
      <c r="AG159" s="150">
        <v>0.01</v>
      </c>
      <c r="AH159" s="150">
        <v>0.01</v>
      </c>
      <c r="AI159" s="150">
        <v>0.01</v>
      </c>
      <c r="AJ159" s="150">
        <v>0.01</v>
      </c>
      <c r="AK159" s="150">
        <v>0.01</v>
      </c>
      <c r="AL159" s="150">
        <v>0.01</v>
      </c>
      <c r="AM159" s="150">
        <v>0.01</v>
      </c>
      <c r="AN159" s="150">
        <v>0.01</v>
      </c>
    </row>
    <row r="160" spans="1:40" outlineLevel="1">
      <c r="B160" s="126" t="s">
        <v>78</v>
      </c>
      <c r="C160" s="39" t="s">
        <v>72</v>
      </c>
      <c r="E160" s="43"/>
      <c r="F160" s="43"/>
      <c r="G160" s="93">
        <f t="shared" si="56"/>
        <v>-1.1321835805681468E-2</v>
      </c>
      <c r="H160" s="93">
        <f t="shared" si="56"/>
        <v>8.201172826790426E-2</v>
      </c>
      <c r="I160" s="93">
        <f t="shared" si="56"/>
        <v>-5.2694955460508175E-2</v>
      </c>
      <c r="J160" s="93">
        <f t="shared" si="56"/>
        <v>-0.55342240216346938</v>
      </c>
      <c r="K160" s="93">
        <f t="shared" si="56"/>
        <v>-1.8433493448478777E-2</v>
      </c>
      <c r="L160" s="93">
        <f t="shared" si="56"/>
        <v>1.7805508541001625</v>
      </c>
      <c r="M160" s="93">
        <f t="shared" si="56"/>
        <v>-7.6341906347868638E-2</v>
      </c>
      <c r="N160" s="93">
        <f t="shared" si="56"/>
        <v>-0.31227467316513058</v>
      </c>
      <c r="O160" s="93">
        <f t="shared" si="56"/>
        <v>0.16973684210526319</v>
      </c>
      <c r="P160" s="93">
        <f t="shared" si="56"/>
        <v>0.10392766203703729</v>
      </c>
      <c r="Q160" s="93">
        <f t="shared" si="57"/>
        <v>-0.27067669172932329</v>
      </c>
      <c r="R160" s="93">
        <f t="shared" si="57"/>
        <v>-4.290429042904309E-2</v>
      </c>
      <c r="S160" s="93">
        <f t="shared" si="57"/>
        <v>4.1237113402061931E-2</v>
      </c>
      <c r="T160" s="93">
        <f t="shared" si="57"/>
        <v>-6.2068965517241392E-2</v>
      </c>
      <c r="U160" s="93">
        <f t="shared" si="57"/>
        <v>3.6303630363036188E-2</v>
      </c>
      <c r="V160" s="93">
        <f t="shared" si="57"/>
        <v>0.10661764705882359</v>
      </c>
      <c r="W160" s="93">
        <f t="shared" si="57"/>
        <v>-7.6433121019108263E-2</v>
      </c>
      <c r="X160" s="93">
        <f t="shared" si="57"/>
        <v>0</v>
      </c>
      <c r="Y160" s="93">
        <f t="shared" si="57"/>
        <v>-0.13793103448275867</v>
      </c>
      <c r="Z160" s="93">
        <v>0.06</v>
      </c>
      <c r="AA160" s="150">
        <v>0.06</v>
      </c>
      <c r="AB160" s="150">
        <v>0.06</v>
      </c>
      <c r="AC160" s="150">
        <v>0.06</v>
      </c>
      <c r="AD160" s="150">
        <v>0.06</v>
      </c>
      <c r="AE160" s="150">
        <v>0.06</v>
      </c>
      <c r="AF160" s="150">
        <v>0.06</v>
      </c>
      <c r="AG160" s="150">
        <v>0.06</v>
      </c>
      <c r="AH160" s="150">
        <v>0.06</v>
      </c>
      <c r="AI160" s="150">
        <v>0.06</v>
      </c>
      <c r="AJ160" s="150">
        <v>0.06</v>
      </c>
      <c r="AK160" s="150">
        <v>0.01</v>
      </c>
      <c r="AL160" s="150">
        <v>0.01</v>
      </c>
      <c r="AM160" s="150">
        <v>0.01</v>
      </c>
      <c r="AN160" s="150">
        <v>0.01</v>
      </c>
    </row>
    <row r="161" spans="1:40">
      <c r="B161" s="96"/>
      <c r="C161" s="39"/>
      <c r="E161" s="43"/>
      <c r="F161" s="43"/>
      <c r="G161" s="43"/>
      <c r="H161" s="43"/>
      <c r="I161" s="43"/>
      <c r="J161" s="43"/>
      <c r="K161" s="43"/>
      <c r="L161" s="43"/>
      <c r="M161" s="43"/>
      <c r="N161" s="43"/>
      <c r="O161" s="43"/>
      <c r="P161" s="43"/>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row>
    <row r="162" spans="1:40" s="539" customFormat="1">
      <c r="B162" s="537" t="s">
        <v>97</v>
      </c>
      <c r="C162" s="538"/>
      <c r="E162" s="540"/>
      <c r="F162" s="540"/>
      <c r="G162" s="540"/>
      <c r="H162" s="540"/>
      <c r="I162" s="540"/>
      <c r="J162" s="540"/>
      <c r="K162" s="540"/>
      <c r="L162" s="540"/>
      <c r="M162" s="540"/>
      <c r="N162" s="540"/>
      <c r="O162" s="540"/>
      <c r="P162" s="540"/>
      <c r="Q162" s="540"/>
      <c r="R162" s="540"/>
      <c r="S162" s="540"/>
      <c r="T162" s="540"/>
      <c r="U162" s="540"/>
      <c r="V162" s="540"/>
      <c r="W162" s="540"/>
      <c r="X162" s="540"/>
      <c r="Y162" s="540"/>
      <c r="Z162" s="540"/>
      <c r="AA162" s="540"/>
      <c r="AB162" s="540"/>
      <c r="AC162" s="540"/>
      <c r="AD162" s="540"/>
      <c r="AE162" s="540"/>
      <c r="AF162" s="540"/>
      <c r="AG162" s="540"/>
      <c r="AH162" s="540"/>
      <c r="AI162" s="540"/>
      <c r="AJ162" s="540"/>
      <c r="AK162" s="540"/>
      <c r="AL162" s="540"/>
      <c r="AM162" s="540"/>
      <c r="AN162" s="540"/>
    </row>
    <row r="163" spans="1:40" s="624" customFormat="1" outlineLevel="1">
      <c r="B163" s="625"/>
      <c r="C163" s="626"/>
      <c r="E163" s="627"/>
      <c r="F163" s="627"/>
      <c r="G163" s="627"/>
      <c r="H163" s="627"/>
      <c r="I163" s="627"/>
      <c r="J163" s="627"/>
      <c r="K163" s="627"/>
      <c r="L163" s="627"/>
      <c r="M163" s="627"/>
      <c r="N163" s="627"/>
      <c r="O163" s="627"/>
      <c r="P163" s="627"/>
      <c r="Q163" s="627"/>
      <c r="R163" s="627"/>
      <c r="S163" s="627"/>
      <c r="T163" s="627"/>
      <c r="U163" s="627"/>
      <c r="V163" s="627"/>
      <c r="W163" s="627"/>
      <c r="X163" s="627"/>
      <c r="Y163" s="627"/>
      <c r="Z163" s="627"/>
      <c r="AA163" s="627"/>
      <c r="AB163" s="627"/>
      <c r="AC163" s="627"/>
      <c r="AD163" s="627"/>
      <c r="AE163" s="627"/>
      <c r="AF163" s="627"/>
      <c r="AG163" s="627"/>
      <c r="AH163" s="627"/>
      <c r="AI163" s="627"/>
      <c r="AJ163" s="627"/>
      <c r="AK163" s="627"/>
      <c r="AL163" s="627"/>
      <c r="AM163" s="627"/>
      <c r="AN163" s="627"/>
    </row>
    <row r="164" spans="1:40" outlineLevel="1">
      <c r="A164" s="624"/>
      <c r="B164" s="127" t="s">
        <v>98</v>
      </c>
      <c r="C164" s="39"/>
      <c r="E164" s="43"/>
      <c r="F164" s="131"/>
      <c r="G164" s="43"/>
      <c r="H164" s="131"/>
      <c r="I164" s="43"/>
      <c r="J164" s="131"/>
      <c r="K164" s="131"/>
      <c r="L164" s="131"/>
      <c r="M164" s="43"/>
      <c r="N164" s="131"/>
      <c r="O164" s="43"/>
      <c r="P164" s="131"/>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row>
    <row r="165" spans="1:40" outlineLevel="1">
      <c r="B165" s="95" t="s">
        <v>70</v>
      </c>
      <c r="C165" s="39" t="s">
        <v>72</v>
      </c>
      <c r="E165" s="47"/>
      <c r="F165" s="47"/>
      <c r="G165" s="47"/>
      <c r="H165" s="47"/>
      <c r="I165" s="47"/>
      <c r="J165" s="47"/>
      <c r="K165" s="47"/>
      <c r="L165" s="47"/>
      <c r="M165" s="47"/>
      <c r="N165" s="47"/>
      <c r="O165" s="47">
        <f t="shared" ref="O165:V165" si="58">O85</f>
        <v>6.4</v>
      </c>
      <c r="P165" s="47">
        <f t="shared" si="58"/>
        <v>0.79999999999999982</v>
      </c>
      <c r="Q165" s="47">
        <f t="shared" si="58"/>
        <v>12.6</v>
      </c>
      <c r="R165" s="47">
        <f t="shared" si="58"/>
        <v>7.0000000000000018</v>
      </c>
      <c r="S165" s="47">
        <f t="shared" si="58"/>
        <v>5.9</v>
      </c>
      <c r="T165" s="47">
        <f t="shared" si="58"/>
        <v>3.2999999999999989</v>
      </c>
      <c r="U165" s="47">
        <f t="shared" si="58"/>
        <v>-0.8</v>
      </c>
      <c r="V165" s="47">
        <f t="shared" si="58"/>
        <v>-0.30000000000000004</v>
      </c>
      <c r="W165" s="94">
        <v>3</v>
      </c>
      <c r="X165" s="94">
        <v>3</v>
      </c>
      <c r="Y165" s="94">
        <v>3</v>
      </c>
      <c r="Z165" s="47">
        <f t="shared" ref="Z165:AN167" si="59">X165*(1+Z169)</f>
        <v>3.12</v>
      </c>
      <c r="AA165" s="47">
        <f t="shared" si="59"/>
        <v>3.12</v>
      </c>
      <c r="AB165" s="47">
        <f t="shared" si="59"/>
        <v>3.2448000000000001</v>
      </c>
      <c r="AC165" s="47">
        <f t="shared" si="59"/>
        <v>3.2448000000000001</v>
      </c>
      <c r="AD165" s="47">
        <f t="shared" si="59"/>
        <v>3.3745920000000003</v>
      </c>
      <c r="AE165" s="47">
        <f t="shared" si="59"/>
        <v>3.3745920000000003</v>
      </c>
      <c r="AF165" s="47">
        <f t="shared" si="59"/>
        <v>3.5095756800000002</v>
      </c>
      <c r="AG165" s="47">
        <f t="shared" si="59"/>
        <v>3.5095756800000002</v>
      </c>
      <c r="AH165" s="47">
        <f t="shared" si="59"/>
        <v>3.6499587072000002</v>
      </c>
      <c r="AI165" s="47">
        <f t="shared" si="59"/>
        <v>3.6499587072000002</v>
      </c>
      <c r="AJ165" s="47">
        <f t="shared" si="59"/>
        <v>3.7959570554880004</v>
      </c>
      <c r="AK165" s="47">
        <f t="shared" si="59"/>
        <v>3.7959570554880004</v>
      </c>
      <c r="AL165" s="134">
        <f t="shared" si="59"/>
        <v>3.9477953377075208</v>
      </c>
      <c r="AM165" s="134">
        <f t="shared" si="59"/>
        <v>3.9477953377075208</v>
      </c>
      <c r="AN165" s="134">
        <f t="shared" si="59"/>
        <v>4.1057071512158219</v>
      </c>
    </row>
    <row r="166" spans="1:40" outlineLevel="1">
      <c r="B166" s="95" t="s">
        <v>77</v>
      </c>
      <c r="C166" s="39" t="s">
        <v>72</v>
      </c>
      <c r="E166" s="47"/>
      <c r="F166" s="47"/>
      <c r="G166" s="47"/>
      <c r="H166" s="47"/>
      <c r="I166" s="47"/>
      <c r="J166" s="47"/>
      <c r="K166" s="47"/>
      <c r="L166" s="47"/>
      <c r="M166" s="47"/>
      <c r="N166" s="47"/>
      <c r="O166" s="47">
        <f t="shared" ref="O166:V166" si="60">O92</f>
        <v>1.7</v>
      </c>
      <c r="P166" s="47">
        <f t="shared" si="60"/>
        <v>-1</v>
      </c>
      <c r="Q166" s="47">
        <f t="shared" si="60"/>
        <v>0.4</v>
      </c>
      <c r="R166" s="47">
        <f t="shared" si="60"/>
        <v>0.70000000000000007</v>
      </c>
      <c r="S166" s="47">
        <f t="shared" si="60"/>
        <v>0.4</v>
      </c>
      <c r="T166" s="47">
        <f t="shared" si="60"/>
        <v>-0.5</v>
      </c>
      <c r="U166" s="47">
        <f t="shared" si="60"/>
        <v>0.1</v>
      </c>
      <c r="V166" s="47">
        <f t="shared" si="60"/>
        <v>0</v>
      </c>
      <c r="W166" s="94">
        <v>0.3</v>
      </c>
      <c r="X166" s="94">
        <v>0.3</v>
      </c>
      <c r="Y166" s="94">
        <v>0.3</v>
      </c>
      <c r="Z166" s="47">
        <f t="shared" si="59"/>
        <v>0.312</v>
      </c>
      <c r="AA166" s="47">
        <f t="shared" si="59"/>
        <v>0.312</v>
      </c>
      <c r="AB166" s="47">
        <f t="shared" si="59"/>
        <v>0.32447999999999999</v>
      </c>
      <c r="AC166" s="47">
        <f t="shared" si="59"/>
        <v>0.32447999999999999</v>
      </c>
      <c r="AD166" s="47">
        <f t="shared" si="59"/>
        <v>0.33745920000000001</v>
      </c>
      <c r="AE166" s="47">
        <f t="shared" si="59"/>
        <v>0.33745920000000001</v>
      </c>
      <c r="AF166" s="47">
        <f t="shared" si="59"/>
        <v>0.35095756800000005</v>
      </c>
      <c r="AG166" s="47">
        <f t="shared" si="59"/>
        <v>0.35095756800000005</v>
      </c>
      <c r="AH166" s="47">
        <f t="shared" si="59"/>
        <v>0.36499587072000006</v>
      </c>
      <c r="AI166" s="47">
        <f t="shared" si="59"/>
        <v>0.36499587072000006</v>
      </c>
      <c r="AJ166" s="47">
        <f t="shared" si="59"/>
        <v>0.37959570554880007</v>
      </c>
      <c r="AK166" s="47">
        <f t="shared" si="59"/>
        <v>0.37959570554880007</v>
      </c>
      <c r="AL166" s="134">
        <f t="shared" si="59"/>
        <v>0.39477953377075209</v>
      </c>
      <c r="AM166" s="134">
        <f t="shared" si="59"/>
        <v>0.39477953377075209</v>
      </c>
      <c r="AN166" s="134">
        <f t="shared" si="59"/>
        <v>0.41057071512158216</v>
      </c>
    </row>
    <row r="167" spans="1:40" outlineLevel="1">
      <c r="B167" s="95" t="s">
        <v>78</v>
      </c>
      <c r="C167" s="39" t="s">
        <v>90</v>
      </c>
      <c r="E167" s="47"/>
      <c r="F167" s="47"/>
      <c r="G167" s="47"/>
      <c r="H167" s="47"/>
      <c r="I167" s="47"/>
      <c r="J167" s="47"/>
      <c r="K167" s="47"/>
      <c r="L167" s="47"/>
      <c r="M167" s="47"/>
      <c r="N167" s="47"/>
      <c r="O167" s="47">
        <f t="shared" ref="O167:V167" si="61">O99</f>
        <v>3.6</v>
      </c>
      <c r="P167" s="47">
        <f t="shared" si="61"/>
        <v>4.9000000000000004</v>
      </c>
      <c r="Q167" s="47">
        <f t="shared" si="61"/>
        <v>5.3</v>
      </c>
      <c r="R167" s="47">
        <f t="shared" si="61"/>
        <v>6.3999999999999995</v>
      </c>
      <c r="S167" s="47">
        <f t="shared" si="61"/>
        <v>3.7</v>
      </c>
      <c r="T167" s="47">
        <f t="shared" si="61"/>
        <v>2.0999999999999996</v>
      </c>
      <c r="U167" s="47">
        <f t="shared" si="61"/>
        <v>1.7</v>
      </c>
      <c r="V167" s="47">
        <f t="shared" si="61"/>
        <v>-9.9999999999999867E-2</v>
      </c>
      <c r="W167" s="94">
        <v>1.7</v>
      </c>
      <c r="X167" s="94">
        <v>1.7</v>
      </c>
      <c r="Y167" s="94">
        <v>1.7</v>
      </c>
      <c r="Z167" s="47">
        <f t="shared" si="59"/>
        <v>1.768</v>
      </c>
      <c r="AA167" s="47">
        <f t="shared" si="59"/>
        <v>1.768</v>
      </c>
      <c r="AB167" s="47">
        <f t="shared" si="59"/>
        <v>1.8387200000000001</v>
      </c>
      <c r="AC167" s="47">
        <f t="shared" si="59"/>
        <v>1.8387200000000001</v>
      </c>
      <c r="AD167" s="47">
        <f t="shared" si="59"/>
        <v>1.9122688000000001</v>
      </c>
      <c r="AE167" s="47">
        <f t="shared" si="59"/>
        <v>1.9122688000000001</v>
      </c>
      <c r="AF167" s="47">
        <f t="shared" si="59"/>
        <v>1.9887595520000001</v>
      </c>
      <c r="AG167" s="47">
        <f t="shared" si="59"/>
        <v>1.9887595520000001</v>
      </c>
      <c r="AH167" s="47">
        <f t="shared" si="59"/>
        <v>2.0683099340800002</v>
      </c>
      <c r="AI167" s="47">
        <f t="shared" si="59"/>
        <v>2.0683099340800002</v>
      </c>
      <c r="AJ167" s="47">
        <f t="shared" si="59"/>
        <v>2.1510423314432003</v>
      </c>
      <c r="AK167" s="47">
        <f t="shared" si="59"/>
        <v>2.1510423314432003</v>
      </c>
      <c r="AL167" s="134">
        <f t="shared" si="59"/>
        <v>2.2370840247009283</v>
      </c>
      <c r="AM167" s="134">
        <f t="shared" si="59"/>
        <v>2.2370840247009283</v>
      </c>
      <c r="AN167" s="134">
        <f t="shared" si="59"/>
        <v>2.3265673856889655</v>
      </c>
    </row>
    <row r="168" spans="1:40" outlineLevel="1">
      <c r="B168" s="136" t="s">
        <v>91</v>
      </c>
      <c r="C168" s="39"/>
      <c r="E168" s="43"/>
      <c r="F168" s="43"/>
      <c r="G168" s="43"/>
      <c r="H168" s="43"/>
      <c r="I168" s="43"/>
      <c r="J168" s="43"/>
      <c r="K168" s="43"/>
      <c r="L168" s="43"/>
      <c r="M168" s="43"/>
      <c r="N168" s="43"/>
      <c r="O168" s="43"/>
      <c r="P168" s="43"/>
      <c r="Q168" s="43"/>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row>
    <row r="169" spans="1:40" outlineLevel="1">
      <c r="B169" s="126" t="s">
        <v>70</v>
      </c>
      <c r="C169" s="39" t="s">
        <v>88</v>
      </c>
      <c r="E169" s="43"/>
      <c r="F169" s="43"/>
      <c r="G169" s="93"/>
      <c r="H169" s="93"/>
      <c r="I169" s="93"/>
      <c r="J169" s="93"/>
      <c r="K169" s="93"/>
      <c r="L169" s="93"/>
      <c r="M169" s="93"/>
      <c r="N169" s="93"/>
      <c r="O169" s="93"/>
      <c r="P169" s="93"/>
      <c r="Q169" s="93"/>
      <c r="R169" s="93">
        <f t="shared" ref="R169:Y169" si="62">R165/P165-1</f>
        <v>7.7500000000000036</v>
      </c>
      <c r="S169" s="93">
        <f t="shared" si="62"/>
        <v>-0.53174603174603163</v>
      </c>
      <c r="T169" s="93">
        <f t="shared" si="62"/>
        <v>-0.52857142857142891</v>
      </c>
      <c r="U169" s="93">
        <f t="shared" si="62"/>
        <v>-1.1355932203389831</v>
      </c>
      <c r="V169" s="93">
        <f t="shared" si="62"/>
        <v>-1.0909090909090911</v>
      </c>
      <c r="W169" s="93">
        <f t="shared" si="62"/>
        <v>-4.75</v>
      </c>
      <c r="X169" s="93">
        <f t="shared" si="62"/>
        <v>-10.999999999999998</v>
      </c>
      <c r="Y169" s="93">
        <f t="shared" si="62"/>
        <v>0</v>
      </c>
      <c r="Z169" s="150">
        <v>0.04</v>
      </c>
      <c r="AA169" s="150">
        <v>0.04</v>
      </c>
      <c r="AB169" s="150">
        <v>0.04</v>
      </c>
      <c r="AC169" s="150">
        <v>0.04</v>
      </c>
      <c r="AD169" s="150">
        <v>0.04</v>
      </c>
      <c r="AE169" s="150">
        <v>0.04</v>
      </c>
      <c r="AF169" s="150">
        <v>0.04</v>
      </c>
      <c r="AG169" s="150">
        <v>0.04</v>
      </c>
      <c r="AH169" s="150">
        <v>0.04</v>
      </c>
      <c r="AI169" s="150">
        <v>0.04</v>
      </c>
      <c r="AJ169" s="150">
        <v>0.04</v>
      </c>
      <c r="AK169" s="150">
        <v>0.04</v>
      </c>
      <c r="AL169" s="150">
        <v>0.04</v>
      </c>
      <c r="AM169" s="150">
        <v>0.04</v>
      </c>
      <c r="AN169" s="150">
        <v>0.04</v>
      </c>
    </row>
    <row r="170" spans="1:40" outlineLevel="1">
      <c r="B170" s="126" t="s">
        <v>77</v>
      </c>
      <c r="C170" s="39" t="s">
        <v>88</v>
      </c>
      <c r="E170" s="43"/>
      <c r="F170" s="43"/>
      <c r="G170" s="93"/>
      <c r="H170" s="93"/>
      <c r="I170" s="93"/>
      <c r="J170" s="93"/>
      <c r="K170" s="93"/>
      <c r="L170" s="93"/>
      <c r="M170" s="93"/>
      <c r="N170" s="93"/>
      <c r="O170" s="93"/>
      <c r="P170" s="93"/>
      <c r="Q170" s="93"/>
      <c r="R170" s="93"/>
      <c r="S170" s="93">
        <f t="shared" ref="S170:Y171" si="63">S166/Q166-1</f>
        <v>0</v>
      </c>
      <c r="T170" s="93">
        <f t="shared" si="63"/>
        <v>-1.7142857142857142</v>
      </c>
      <c r="U170" s="93">
        <f t="shared" si="63"/>
        <v>-0.75</v>
      </c>
      <c r="V170" s="93">
        <f t="shared" si="63"/>
        <v>-1</v>
      </c>
      <c r="W170" s="93">
        <f t="shared" si="63"/>
        <v>1.9999999999999996</v>
      </c>
      <c r="X170" s="93" t="e">
        <f t="shared" si="63"/>
        <v>#DIV/0!</v>
      </c>
      <c r="Y170" s="93">
        <f t="shared" si="63"/>
        <v>0</v>
      </c>
      <c r="Z170" s="150">
        <v>0.04</v>
      </c>
      <c r="AA170" s="150">
        <v>0.04</v>
      </c>
      <c r="AB170" s="150">
        <v>0.04</v>
      </c>
      <c r="AC170" s="150">
        <v>0.04</v>
      </c>
      <c r="AD170" s="150">
        <v>0.04</v>
      </c>
      <c r="AE170" s="150">
        <v>0.04</v>
      </c>
      <c r="AF170" s="150">
        <v>0.04</v>
      </c>
      <c r="AG170" s="150">
        <v>0.04</v>
      </c>
      <c r="AH170" s="150">
        <v>0.04</v>
      </c>
      <c r="AI170" s="150">
        <v>0.04</v>
      </c>
      <c r="AJ170" s="150">
        <v>0.04</v>
      </c>
      <c r="AK170" s="150">
        <v>0.04</v>
      </c>
      <c r="AL170" s="150">
        <v>0.04</v>
      </c>
      <c r="AM170" s="150">
        <v>0.04</v>
      </c>
      <c r="AN170" s="150">
        <v>0.04</v>
      </c>
    </row>
    <row r="171" spans="1:40" outlineLevel="1">
      <c r="B171" s="126" t="s">
        <v>78</v>
      </c>
      <c r="C171" s="39" t="s">
        <v>88</v>
      </c>
      <c r="E171" s="43"/>
      <c r="F171" s="43"/>
      <c r="G171" s="93"/>
      <c r="H171" s="93"/>
      <c r="I171" s="93"/>
      <c r="J171" s="93"/>
      <c r="K171" s="93"/>
      <c r="L171" s="93"/>
      <c r="M171" s="93"/>
      <c r="N171" s="93"/>
      <c r="O171" s="93"/>
      <c r="P171" s="93"/>
      <c r="Q171" s="93"/>
      <c r="R171" s="93">
        <f>R167/P167-1</f>
        <v>0.30612244897959173</v>
      </c>
      <c r="S171" s="93">
        <f t="shared" si="63"/>
        <v>-0.30188679245283012</v>
      </c>
      <c r="T171" s="93">
        <f t="shared" si="63"/>
        <v>-0.671875</v>
      </c>
      <c r="U171" s="93">
        <f t="shared" si="63"/>
        <v>-0.54054054054054057</v>
      </c>
      <c r="V171" s="93">
        <f t="shared" si="63"/>
        <v>-1.0476190476190474</v>
      </c>
      <c r="W171" s="93">
        <f t="shared" si="63"/>
        <v>0</v>
      </c>
      <c r="X171" s="93">
        <f t="shared" si="63"/>
        <v>-18.000000000000021</v>
      </c>
      <c r="Y171" s="93">
        <f t="shared" si="63"/>
        <v>0</v>
      </c>
      <c r="Z171" s="150">
        <v>0.04</v>
      </c>
      <c r="AA171" s="150">
        <v>0.04</v>
      </c>
      <c r="AB171" s="150">
        <v>0.04</v>
      </c>
      <c r="AC171" s="150">
        <v>0.04</v>
      </c>
      <c r="AD171" s="150">
        <v>0.04</v>
      </c>
      <c r="AE171" s="150">
        <v>0.04</v>
      </c>
      <c r="AF171" s="150">
        <v>0.04</v>
      </c>
      <c r="AG171" s="150">
        <v>0.04</v>
      </c>
      <c r="AH171" s="150">
        <v>0.04</v>
      </c>
      <c r="AI171" s="150">
        <v>0.04</v>
      </c>
      <c r="AJ171" s="150">
        <v>0.04</v>
      </c>
      <c r="AK171" s="150">
        <v>0.04</v>
      </c>
      <c r="AL171" s="150">
        <v>0.04</v>
      </c>
      <c r="AM171" s="150">
        <v>0.04</v>
      </c>
      <c r="AN171" s="150">
        <v>0.04</v>
      </c>
    </row>
    <row r="172" spans="1:40">
      <c r="B172" s="95"/>
      <c r="C172" s="39"/>
      <c r="E172" s="43"/>
      <c r="F172" s="43"/>
      <c r="G172" s="43"/>
      <c r="H172" s="43"/>
      <c r="I172" s="43"/>
      <c r="J172" s="43"/>
      <c r="K172" s="43"/>
      <c r="L172" s="43"/>
      <c r="M172" s="43"/>
      <c r="N172" s="43"/>
      <c r="O172" s="43"/>
      <c r="P172" s="43"/>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row>
    <row r="173" spans="1:40" s="539" customFormat="1">
      <c r="B173" s="537" t="s">
        <v>99</v>
      </c>
      <c r="C173" s="538"/>
      <c r="E173" s="540"/>
      <c r="F173" s="540"/>
      <c r="G173" s="540"/>
      <c r="H173" s="540"/>
      <c r="I173" s="540"/>
      <c r="J173" s="540"/>
      <c r="K173" s="540"/>
      <c r="L173" s="540"/>
      <c r="M173" s="540"/>
      <c r="N173" s="540"/>
      <c r="O173" s="540"/>
      <c r="P173" s="540"/>
      <c r="Q173" s="540"/>
      <c r="R173" s="540"/>
      <c r="S173" s="540"/>
      <c r="T173" s="540"/>
      <c r="U173" s="540"/>
      <c r="V173" s="540"/>
      <c r="W173" s="540"/>
      <c r="X173" s="540"/>
      <c r="Y173" s="540"/>
      <c r="Z173" s="540"/>
      <c r="AA173" s="540"/>
      <c r="AB173" s="540"/>
      <c r="AC173" s="540"/>
      <c r="AD173" s="540"/>
      <c r="AE173" s="540"/>
      <c r="AF173" s="540"/>
      <c r="AG173" s="540"/>
      <c r="AH173" s="540"/>
      <c r="AI173" s="540"/>
      <c r="AJ173" s="540"/>
      <c r="AK173" s="540"/>
      <c r="AL173" s="540"/>
      <c r="AM173" s="540"/>
      <c r="AN173" s="540"/>
    </row>
    <row r="174" spans="1:40" s="624" customFormat="1" outlineLevel="1">
      <c r="B174" s="625"/>
      <c r="C174" s="626"/>
      <c r="E174" s="627"/>
      <c r="F174" s="627"/>
      <c r="G174" s="627"/>
      <c r="H174" s="627"/>
      <c r="I174" s="627"/>
      <c r="J174" s="627"/>
      <c r="K174" s="627"/>
      <c r="L174" s="627"/>
      <c r="M174" s="627"/>
      <c r="N174" s="627"/>
      <c r="O174" s="627"/>
      <c r="P174" s="627"/>
      <c r="Q174" s="627"/>
      <c r="R174" s="627"/>
      <c r="S174" s="627"/>
      <c r="T174" s="627"/>
      <c r="U174" s="627"/>
      <c r="V174" s="627"/>
      <c r="W174" s="627"/>
      <c r="X174" s="627"/>
      <c r="Y174" s="627"/>
      <c r="Z174" s="627"/>
      <c r="AA174" s="627"/>
      <c r="AB174" s="627"/>
      <c r="AC174" s="627"/>
      <c r="AD174" s="627"/>
      <c r="AE174" s="627"/>
      <c r="AF174" s="627"/>
      <c r="AG174" s="627"/>
      <c r="AH174" s="627"/>
      <c r="AI174" s="627"/>
      <c r="AJ174" s="627"/>
      <c r="AK174" s="627"/>
      <c r="AL174" s="627"/>
      <c r="AM174" s="627"/>
      <c r="AN174" s="627"/>
    </row>
    <row r="175" spans="1:40" outlineLevel="1">
      <c r="B175" s="130" t="s">
        <v>100</v>
      </c>
      <c r="C175" s="39"/>
      <c r="E175" s="43"/>
      <c r="F175" s="43"/>
      <c r="G175" s="43"/>
      <c r="H175" s="43"/>
      <c r="I175" s="43"/>
      <c r="J175" s="43"/>
      <c r="K175" s="43"/>
      <c r="L175" s="43"/>
      <c r="M175" s="43"/>
      <c r="N175" s="43"/>
      <c r="O175" s="43"/>
      <c r="P175" s="43"/>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row>
    <row r="176" spans="1:40" outlineLevel="1">
      <c r="B176" s="96" t="s">
        <v>101</v>
      </c>
      <c r="C176" s="39" t="s">
        <v>72</v>
      </c>
      <c r="E176" s="43"/>
      <c r="F176" s="43"/>
      <c r="G176" s="43"/>
      <c r="H176" s="43"/>
      <c r="I176" s="43"/>
      <c r="J176" s="43"/>
      <c r="K176" s="43"/>
      <c r="L176" s="43"/>
      <c r="M176" s="43"/>
      <c r="N176" s="46">
        <v>16.2</v>
      </c>
      <c r="O176" s="46">
        <v>26.4</v>
      </c>
      <c r="P176" s="46">
        <v>27.9</v>
      </c>
      <c r="Q176" s="46">
        <v>34.5</v>
      </c>
      <c r="R176" s="46">
        <f>67.6-Q176</f>
        <v>33.099999999999994</v>
      </c>
      <c r="S176" s="46">
        <v>32.5</v>
      </c>
      <c r="T176" s="46">
        <f>63.5-S176</f>
        <v>31</v>
      </c>
      <c r="U176" s="46">
        <v>33.200000000000003</v>
      </c>
      <c r="V176" s="46">
        <f>66.2-U176</f>
        <v>33</v>
      </c>
      <c r="W176" s="94">
        <v>35</v>
      </c>
      <c r="X176" s="94">
        <v>35</v>
      </c>
      <c r="Y176" s="94">
        <v>37</v>
      </c>
      <c r="Z176" s="94">
        <v>37</v>
      </c>
      <c r="AA176" s="40">
        <f t="shared" ref="AA176:AN178" si="64">Y176*(1+AA187)</f>
        <v>38.480000000000004</v>
      </c>
      <c r="AB176" s="40">
        <f t="shared" si="64"/>
        <v>38.480000000000004</v>
      </c>
      <c r="AC176" s="40">
        <f t="shared" si="64"/>
        <v>40.019200000000005</v>
      </c>
      <c r="AD176" s="40">
        <f t="shared" si="64"/>
        <v>40.019200000000005</v>
      </c>
      <c r="AE176" s="40">
        <f t="shared" si="64"/>
        <v>41.619968000000007</v>
      </c>
      <c r="AF176" s="40">
        <f t="shared" si="64"/>
        <v>41.619968000000007</v>
      </c>
      <c r="AG176" s="40">
        <f t="shared" si="64"/>
        <v>43.284766720000007</v>
      </c>
      <c r="AH176" s="40">
        <f t="shared" si="64"/>
        <v>43.284766720000007</v>
      </c>
      <c r="AI176" s="40">
        <f t="shared" si="64"/>
        <v>45.016157388800011</v>
      </c>
      <c r="AJ176" s="40">
        <f t="shared" si="64"/>
        <v>45.016157388800011</v>
      </c>
      <c r="AK176" s="40">
        <f t="shared" si="64"/>
        <v>46.81680368435201</v>
      </c>
      <c r="AL176" s="40">
        <f t="shared" si="64"/>
        <v>46.81680368435201</v>
      </c>
      <c r="AM176" s="40">
        <f t="shared" si="64"/>
        <v>48.689475831726092</v>
      </c>
      <c r="AN176" s="40">
        <f t="shared" si="64"/>
        <v>48.689475831726092</v>
      </c>
    </row>
    <row r="177" spans="2:40" outlineLevel="1">
      <c r="B177" s="96" t="s">
        <v>102</v>
      </c>
      <c r="C177" s="39" t="s">
        <v>72</v>
      </c>
      <c r="E177" s="43"/>
      <c r="F177" s="43"/>
      <c r="G177" s="43"/>
      <c r="H177" s="43"/>
      <c r="I177" s="43"/>
      <c r="J177" s="43"/>
      <c r="K177" s="43"/>
      <c r="L177" s="43"/>
      <c r="M177" s="43"/>
      <c r="N177" s="46">
        <v>11.5</v>
      </c>
      <c r="O177" s="46">
        <v>20.399999999999999</v>
      </c>
      <c r="P177" s="46">
        <f>42.4-O177</f>
        <v>22</v>
      </c>
      <c r="Q177" s="46">
        <v>23.9</v>
      </c>
      <c r="R177" s="46">
        <f>45-Q177</f>
        <v>21.1</v>
      </c>
      <c r="S177" s="46">
        <v>25.3</v>
      </c>
      <c r="T177" s="46">
        <f>52.3-S177</f>
        <v>26.999999999999996</v>
      </c>
      <c r="U177" s="46">
        <v>27.5</v>
      </c>
      <c r="V177" s="46">
        <f>59.8-U177</f>
        <v>32.299999999999997</v>
      </c>
      <c r="W177" s="94">
        <v>30</v>
      </c>
      <c r="X177" s="632">
        <v>26</v>
      </c>
      <c r="Y177" s="632">
        <v>28</v>
      </c>
      <c r="Z177" s="632">
        <v>28</v>
      </c>
      <c r="AA177" s="40">
        <f t="shared" si="64"/>
        <v>29.12</v>
      </c>
      <c r="AB177" s="40">
        <f t="shared" si="64"/>
        <v>29.12</v>
      </c>
      <c r="AC177" s="40">
        <f t="shared" si="64"/>
        <v>30.284800000000001</v>
      </c>
      <c r="AD177" s="40">
        <f t="shared" si="64"/>
        <v>30.284800000000001</v>
      </c>
      <c r="AE177" s="40">
        <f t="shared" si="64"/>
        <v>31.496192000000001</v>
      </c>
      <c r="AF177" s="40">
        <f t="shared" si="64"/>
        <v>31.496192000000001</v>
      </c>
      <c r="AG177" s="40">
        <f t="shared" si="64"/>
        <v>32.756039680000001</v>
      </c>
      <c r="AH177" s="40">
        <f t="shared" si="64"/>
        <v>32.756039680000001</v>
      </c>
      <c r="AI177" s="40">
        <f t="shared" si="64"/>
        <v>34.066281267200004</v>
      </c>
      <c r="AJ177" s="40">
        <f t="shared" si="64"/>
        <v>34.066281267200004</v>
      </c>
      <c r="AK177" s="40">
        <f t="shared" si="64"/>
        <v>35.428932517888008</v>
      </c>
      <c r="AL177" s="40">
        <f t="shared" si="64"/>
        <v>35.428932517888008</v>
      </c>
      <c r="AM177" s="40">
        <f t="shared" si="64"/>
        <v>36.846089818603531</v>
      </c>
      <c r="AN177" s="40">
        <f t="shared" si="64"/>
        <v>36.846089818603531</v>
      </c>
    </row>
    <row r="178" spans="2:40" outlineLevel="1">
      <c r="B178" s="96" t="s">
        <v>103</v>
      </c>
      <c r="C178" s="39"/>
      <c r="E178" s="43"/>
      <c r="F178" s="43"/>
      <c r="G178" s="43"/>
      <c r="H178" s="43"/>
      <c r="I178" s="43"/>
      <c r="J178" s="43"/>
      <c r="K178" s="43"/>
      <c r="L178" s="43"/>
      <c r="M178" s="43"/>
      <c r="N178" s="46">
        <v>7.3999999999999986</v>
      </c>
      <c r="O178" s="46">
        <v>11.8</v>
      </c>
      <c r="P178" s="46">
        <f>27.2-O178</f>
        <v>15.399999999999999</v>
      </c>
      <c r="Q178" s="46">
        <v>15.2</v>
      </c>
      <c r="R178" s="46">
        <f>39.3-Q178</f>
        <v>24.099999999999998</v>
      </c>
      <c r="S178" s="46">
        <v>19.2</v>
      </c>
      <c r="T178" s="46">
        <f>40.6-S178</f>
        <v>21.400000000000002</v>
      </c>
      <c r="U178" s="46">
        <v>22.7</v>
      </c>
      <c r="V178" s="46">
        <f>55.5-U178</f>
        <v>32.799999999999997</v>
      </c>
      <c r="W178" s="632">
        <v>42</v>
      </c>
      <c r="X178" s="632">
        <v>43</v>
      </c>
      <c r="Y178" s="632">
        <v>45</v>
      </c>
      <c r="Z178" s="40">
        <f>X178*(1+Z189)</f>
        <v>44.72</v>
      </c>
      <c r="AA178" s="40">
        <f t="shared" si="64"/>
        <v>46.800000000000004</v>
      </c>
      <c r="AB178" s="40">
        <f t="shared" si="64"/>
        <v>46.508800000000001</v>
      </c>
      <c r="AC178" s="40">
        <f t="shared" si="64"/>
        <v>48.672000000000004</v>
      </c>
      <c r="AD178" s="40">
        <f t="shared" si="64"/>
        <v>48.369152</v>
      </c>
      <c r="AE178" s="40">
        <f t="shared" si="64"/>
        <v>50.618880000000004</v>
      </c>
      <c r="AF178" s="40">
        <f t="shared" si="64"/>
        <v>50.303918080000003</v>
      </c>
      <c r="AG178" s="40">
        <f t="shared" si="64"/>
        <v>52.643635200000006</v>
      </c>
      <c r="AH178" s="40">
        <f t="shared" si="64"/>
        <v>52.316074803200003</v>
      </c>
      <c r="AI178" s="40">
        <f t="shared" si="64"/>
        <v>54.74938060800001</v>
      </c>
      <c r="AJ178" s="40">
        <f t="shared" si="64"/>
        <v>54.408717795328002</v>
      </c>
      <c r="AK178" s="40">
        <f t="shared" si="64"/>
        <v>56.939355832320011</v>
      </c>
      <c r="AL178" s="40">
        <f t="shared" si="64"/>
        <v>56.585066507141121</v>
      </c>
      <c r="AM178" s="40">
        <f t="shared" si="64"/>
        <v>59.216930065612814</v>
      </c>
      <c r="AN178" s="40">
        <f t="shared" si="64"/>
        <v>58.848469167426771</v>
      </c>
    </row>
    <row r="179" spans="2:40" outlineLevel="1">
      <c r="B179" s="96"/>
      <c r="C179" s="39"/>
      <c r="E179" s="43"/>
      <c r="F179" s="43"/>
      <c r="G179" s="43"/>
      <c r="H179" s="43"/>
      <c r="I179" s="43"/>
      <c r="J179" s="43"/>
      <c r="K179" s="43"/>
      <c r="L179" s="43"/>
      <c r="M179" s="43"/>
      <c r="N179" s="46"/>
      <c r="O179" s="46"/>
      <c r="P179" s="46"/>
      <c r="Q179" s="46"/>
      <c r="R179" s="46"/>
      <c r="S179" s="47"/>
      <c r="T179" s="47"/>
      <c r="U179" s="47"/>
      <c r="V179" s="47"/>
      <c r="W179" s="47"/>
      <c r="X179" s="47"/>
      <c r="Y179" s="47"/>
      <c r="Z179" s="47"/>
      <c r="AA179" s="47"/>
      <c r="AB179" s="47"/>
      <c r="AC179" s="47"/>
      <c r="AD179" s="47"/>
      <c r="AE179" s="47"/>
      <c r="AF179" s="47"/>
      <c r="AG179" s="47"/>
      <c r="AH179" s="47"/>
      <c r="AI179" s="47"/>
      <c r="AJ179" s="47"/>
      <c r="AK179" s="47"/>
      <c r="AL179" s="47"/>
      <c r="AM179" s="47"/>
      <c r="AN179" s="47"/>
    </row>
    <row r="180" spans="2:40" outlineLevel="1">
      <c r="B180" s="637" t="s">
        <v>104</v>
      </c>
      <c r="C180" s="39"/>
      <c r="E180" s="43"/>
      <c r="F180" s="43"/>
      <c r="G180" s="43"/>
      <c r="H180" s="43"/>
      <c r="I180" s="43"/>
      <c r="J180" s="43"/>
      <c r="K180" s="43"/>
      <c r="L180" s="43"/>
      <c r="M180" s="43"/>
      <c r="N180" s="46"/>
      <c r="O180" s="46"/>
      <c r="P180" s="46"/>
      <c r="Q180" s="46"/>
      <c r="R180" s="46"/>
      <c r="S180" s="47"/>
      <c r="T180" s="47"/>
      <c r="U180" s="47"/>
      <c r="V180" s="47"/>
      <c r="W180" s="47"/>
      <c r="X180" s="47"/>
      <c r="Y180" s="47"/>
      <c r="Z180" s="47"/>
      <c r="AA180" s="47"/>
      <c r="AB180" s="47"/>
      <c r="AC180" s="47"/>
      <c r="AD180" s="47"/>
      <c r="AE180" s="47"/>
      <c r="AF180" s="47"/>
      <c r="AG180" s="47"/>
      <c r="AH180" s="47"/>
      <c r="AI180" s="47"/>
      <c r="AJ180" s="47"/>
      <c r="AK180" s="47"/>
      <c r="AL180" s="47"/>
      <c r="AM180" s="47"/>
      <c r="AN180" s="47"/>
    </row>
    <row r="181" spans="2:40" hidden="1" outlineLevel="2">
      <c r="B181" s="126" t="s">
        <v>105</v>
      </c>
      <c r="C181" s="39" t="s">
        <v>72</v>
      </c>
      <c r="E181" s="43"/>
      <c r="F181" s="43"/>
      <c r="G181" s="43"/>
      <c r="H181" s="43"/>
      <c r="I181" s="43"/>
      <c r="J181" s="43"/>
      <c r="K181" s="43"/>
      <c r="L181" s="43"/>
      <c r="M181" s="43"/>
      <c r="N181" s="46">
        <v>4.0999999999999996</v>
      </c>
      <c r="O181" s="46">
        <v>6.5</v>
      </c>
      <c r="P181" s="46">
        <v>9</v>
      </c>
      <c r="Q181" s="46">
        <v>9.6999999999999993</v>
      </c>
      <c r="R181" s="46">
        <f>19.8-Q181</f>
        <v>10.100000000000001</v>
      </c>
      <c r="S181" s="94">
        <v>10.5</v>
      </c>
      <c r="T181" s="94">
        <v>11</v>
      </c>
      <c r="U181" s="94">
        <v>11.5</v>
      </c>
      <c r="V181" s="94">
        <v>11.44</v>
      </c>
      <c r="W181" s="94">
        <v>11.96</v>
      </c>
      <c r="X181" s="94">
        <v>11.897600000000001</v>
      </c>
      <c r="Y181" s="94">
        <v>12.4384</v>
      </c>
      <c r="Z181" s="94">
        <v>12.373504000000001</v>
      </c>
      <c r="AA181" s="94">
        <v>12.935936</v>
      </c>
      <c r="AB181" s="94">
        <v>12.868444159999999</v>
      </c>
      <c r="AC181" s="94">
        <v>13.45337344</v>
      </c>
      <c r="AD181" s="94">
        <v>13.383181926400001</v>
      </c>
      <c r="AE181" s="94">
        <v>13.991508377600001</v>
      </c>
      <c r="AF181" s="94">
        <v>13.918509203456001</v>
      </c>
      <c r="AG181" s="94">
        <v>14.551168712703999</v>
      </c>
      <c r="AH181" s="94">
        <v>14.47524957159424</v>
      </c>
      <c r="AI181" s="94">
        <v>15.13321546121216</v>
      </c>
      <c r="AJ181" s="94">
        <v>15.05425955445801</v>
      </c>
      <c r="AK181" s="94">
        <v>15.738544079660651</v>
      </c>
      <c r="AL181" s="94">
        <v>15.656429936636339</v>
      </c>
      <c r="AM181" s="94">
        <v>16.36808584284708</v>
      </c>
      <c r="AN181" s="94">
        <v>16.282687134101788</v>
      </c>
    </row>
    <row r="182" spans="2:40" hidden="1" outlineLevel="2">
      <c r="B182" s="126" t="s">
        <v>106</v>
      </c>
      <c r="C182" s="39" t="s">
        <v>72</v>
      </c>
      <c r="E182" s="43"/>
      <c r="F182" s="43"/>
      <c r="G182" s="43"/>
      <c r="H182" s="43"/>
      <c r="I182" s="43"/>
      <c r="J182" s="43"/>
      <c r="K182" s="43"/>
      <c r="L182" s="43"/>
      <c r="M182" s="43"/>
      <c r="N182" s="46"/>
      <c r="O182" s="46"/>
      <c r="P182" s="46"/>
      <c r="Q182" s="46"/>
      <c r="R182" s="541">
        <v>7</v>
      </c>
      <c r="S182" s="94">
        <v>10</v>
      </c>
      <c r="T182" s="94">
        <v>10</v>
      </c>
      <c r="U182" s="94">
        <v>10.4</v>
      </c>
      <c r="V182" s="94">
        <v>10.4</v>
      </c>
      <c r="W182" s="94">
        <v>10.816000000000001</v>
      </c>
      <c r="X182" s="94">
        <v>10.816000000000001</v>
      </c>
      <c r="Y182" s="94">
        <v>11.24864</v>
      </c>
      <c r="Z182" s="94">
        <v>11.24864</v>
      </c>
      <c r="AA182" s="94">
        <v>11.698585599999999</v>
      </c>
      <c r="AB182" s="94">
        <v>11.698585599999999</v>
      </c>
      <c r="AC182" s="94">
        <v>12.166529024000001</v>
      </c>
      <c r="AD182" s="94">
        <v>12.166529024000001</v>
      </c>
      <c r="AE182" s="94">
        <v>12.65319018496001</v>
      </c>
      <c r="AF182" s="94">
        <v>12.65319018496001</v>
      </c>
      <c r="AG182" s="94">
        <v>13.15931779235841</v>
      </c>
      <c r="AH182" s="94">
        <v>13.15931779235841</v>
      </c>
      <c r="AI182" s="94">
        <v>13.68569050405274</v>
      </c>
      <c r="AJ182" s="94">
        <v>13.68569050405274</v>
      </c>
      <c r="AK182" s="94">
        <v>14.233118124214849</v>
      </c>
      <c r="AL182" s="94">
        <v>14.233118124214849</v>
      </c>
      <c r="AM182" s="94">
        <v>14.80244284918345</v>
      </c>
      <c r="AN182" s="94">
        <v>14.80244284918345</v>
      </c>
    </row>
    <row r="183" spans="2:40" hidden="1" outlineLevel="2">
      <c r="B183" s="126" t="s">
        <v>107</v>
      </c>
      <c r="C183" s="39" t="s">
        <v>72</v>
      </c>
      <c r="E183" s="43"/>
      <c r="F183" s="43"/>
      <c r="G183" s="43"/>
      <c r="H183" s="43"/>
      <c r="I183" s="43"/>
      <c r="J183" s="43"/>
      <c r="K183" s="43"/>
      <c r="L183" s="43"/>
      <c r="M183" s="43"/>
      <c r="T183" s="40"/>
      <c r="U183" s="40"/>
      <c r="V183" s="94">
        <v>10</v>
      </c>
      <c r="W183" s="94">
        <v>14.56</v>
      </c>
      <c r="X183" s="94">
        <v>14.56</v>
      </c>
      <c r="Y183" s="94">
        <v>15.1424</v>
      </c>
      <c r="Z183" s="94">
        <v>15.1424</v>
      </c>
      <c r="AA183" s="94">
        <v>15.748096</v>
      </c>
      <c r="AB183" s="94">
        <v>15.748096</v>
      </c>
      <c r="AC183" s="94">
        <v>16.37801984</v>
      </c>
      <c r="AD183" s="94">
        <v>16.37801984</v>
      </c>
      <c r="AE183" s="94">
        <v>17.033140633599999</v>
      </c>
      <c r="AF183" s="94">
        <v>17.033140633599999</v>
      </c>
      <c r="AG183" s="94">
        <v>17.714466258944</v>
      </c>
      <c r="AH183" s="94">
        <v>17.714466258944</v>
      </c>
      <c r="AI183" s="94">
        <v>18.423044909301769</v>
      </c>
      <c r="AJ183" s="94">
        <v>18.423044909301769</v>
      </c>
      <c r="AK183" s="94">
        <v>19.159966705673838</v>
      </c>
      <c r="AL183" s="94">
        <v>19.159966705673838</v>
      </c>
      <c r="AM183" s="94">
        <v>19.92636537390079</v>
      </c>
      <c r="AN183" s="94">
        <v>19.92636537390079</v>
      </c>
    </row>
    <row r="184" spans="2:40" hidden="1" outlineLevel="2">
      <c r="B184" s="126" t="s">
        <v>108</v>
      </c>
      <c r="C184" s="39" t="s">
        <v>72</v>
      </c>
      <c r="E184" s="43"/>
      <c r="F184" s="43"/>
      <c r="G184" s="43"/>
      <c r="H184" s="43"/>
      <c r="I184" s="43"/>
      <c r="J184" s="43"/>
      <c r="K184" s="43"/>
      <c r="L184" s="43"/>
      <c r="M184" s="43"/>
      <c r="N184" s="541">
        <v>3.3</v>
      </c>
      <c r="O184" s="541">
        <v>5.3</v>
      </c>
      <c r="P184" s="541">
        <v>6.5000000000000009</v>
      </c>
      <c r="Q184" s="541">
        <v>5.6</v>
      </c>
      <c r="R184" s="541">
        <v>6.7999999999999989</v>
      </c>
      <c r="S184" s="94">
        <f t="shared" ref="S184:AN184" si="65">R184</f>
        <v>6.7999999999999989</v>
      </c>
      <c r="T184" s="94">
        <f t="shared" si="65"/>
        <v>6.7999999999999989</v>
      </c>
      <c r="U184" s="94">
        <f t="shared" si="65"/>
        <v>6.7999999999999989</v>
      </c>
      <c r="V184" s="94">
        <f t="shared" si="65"/>
        <v>6.7999999999999989</v>
      </c>
      <c r="W184" s="94">
        <f t="shared" si="65"/>
        <v>6.7999999999999989</v>
      </c>
      <c r="X184" s="94">
        <f t="shared" si="65"/>
        <v>6.7999999999999989</v>
      </c>
      <c r="Y184" s="94">
        <f t="shared" si="65"/>
        <v>6.7999999999999989</v>
      </c>
      <c r="Z184" s="94">
        <f t="shared" si="65"/>
        <v>6.7999999999999989</v>
      </c>
      <c r="AA184" s="94">
        <f t="shared" si="65"/>
        <v>6.7999999999999989</v>
      </c>
      <c r="AB184" s="94">
        <f t="shared" si="65"/>
        <v>6.7999999999999989</v>
      </c>
      <c r="AC184" s="94">
        <f t="shared" si="65"/>
        <v>6.7999999999999989</v>
      </c>
      <c r="AD184" s="94">
        <f t="shared" si="65"/>
        <v>6.7999999999999989</v>
      </c>
      <c r="AE184" s="94">
        <f t="shared" si="65"/>
        <v>6.7999999999999989</v>
      </c>
      <c r="AF184" s="94">
        <f t="shared" si="65"/>
        <v>6.7999999999999989</v>
      </c>
      <c r="AG184" s="94">
        <f t="shared" si="65"/>
        <v>6.7999999999999989</v>
      </c>
      <c r="AH184" s="94">
        <f t="shared" si="65"/>
        <v>6.7999999999999989</v>
      </c>
      <c r="AI184" s="94">
        <f t="shared" si="65"/>
        <v>6.7999999999999989</v>
      </c>
      <c r="AJ184" s="94">
        <f t="shared" si="65"/>
        <v>6.7999999999999989</v>
      </c>
      <c r="AK184" s="94">
        <f t="shared" si="65"/>
        <v>6.7999999999999989</v>
      </c>
      <c r="AL184" s="94">
        <f t="shared" si="65"/>
        <v>6.7999999999999989</v>
      </c>
      <c r="AM184" s="94">
        <f t="shared" si="65"/>
        <v>6.7999999999999989</v>
      </c>
      <c r="AN184" s="94">
        <f t="shared" si="65"/>
        <v>6.7999999999999989</v>
      </c>
    </row>
    <row r="185" spans="2:40" hidden="1" outlineLevel="2">
      <c r="B185" s="126"/>
      <c r="C185" s="39"/>
      <c r="E185" s="43"/>
      <c r="F185" s="43"/>
      <c r="G185" s="43"/>
      <c r="H185" s="43"/>
      <c r="I185" s="43"/>
      <c r="J185" s="43"/>
      <c r="K185" s="43"/>
      <c r="L185" s="43"/>
      <c r="M185" s="43"/>
      <c r="N185" s="541"/>
      <c r="O185" s="541"/>
      <c r="P185" s="541"/>
      <c r="Q185" s="541"/>
      <c r="R185" s="541"/>
      <c r="S185" s="541"/>
      <c r="T185" s="541"/>
      <c r="U185" s="541"/>
      <c r="V185" s="541"/>
      <c r="W185" s="541"/>
      <c r="X185" s="541"/>
      <c r="Y185" s="541"/>
      <c r="Z185" s="541"/>
      <c r="AA185" s="541"/>
      <c r="AB185" s="541"/>
      <c r="AC185" s="541"/>
      <c r="AD185" s="541"/>
      <c r="AE185" s="541"/>
      <c r="AF185" s="541"/>
      <c r="AG185" s="541"/>
      <c r="AH185" s="541"/>
      <c r="AI185" s="541"/>
      <c r="AJ185" s="541"/>
      <c r="AK185" s="541"/>
      <c r="AL185" s="541"/>
      <c r="AM185" s="541"/>
      <c r="AN185" s="541"/>
    </row>
    <row r="186" spans="2:40" outlineLevel="1" collapsed="1">
      <c r="B186" s="135" t="s">
        <v>109</v>
      </c>
      <c r="C186" s="39"/>
      <c r="E186" s="43"/>
      <c r="F186" s="43"/>
      <c r="G186" s="43"/>
      <c r="H186" s="43"/>
      <c r="I186" s="43"/>
      <c r="J186" s="43"/>
      <c r="K186" s="43"/>
      <c r="L186" s="43"/>
      <c r="M186" s="43"/>
      <c r="N186" s="43"/>
      <c r="O186" s="43"/>
      <c r="P186" s="43"/>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row>
    <row r="187" spans="2:40" outlineLevel="1">
      <c r="B187" s="126" t="s">
        <v>101</v>
      </c>
      <c r="C187" s="39" t="s">
        <v>88</v>
      </c>
      <c r="E187" s="43"/>
      <c r="F187" s="43"/>
      <c r="G187" s="93"/>
      <c r="H187" s="93"/>
      <c r="I187" s="93"/>
      <c r="J187" s="93"/>
      <c r="K187" s="93"/>
      <c r="L187" s="93"/>
      <c r="M187" s="93"/>
      <c r="N187" s="93"/>
      <c r="O187" s="93"/>
      <c r="P187" s="93">
        <f t="shared" ref="P187:W187" si="66">P176/N176-1</f>
        <v>0.72222222222222232</v>
      </c>
      <c r="Q187" s="93">
        <f t="shared" si="66"/>
        <v>0.30681818181818188</v>
      </c>
      <c r="R187" s="93">
        <f t="shared" si="66"/>
        <v>0.18637992831541195</v>
      </c>
      <c r="S187" s="93">
        <f t="shared" si="66"/>
        <v>-5.7971014492753659E-2</v>
      </c>
      <c r="T187" s="93">
        <f t="shared" si="66"/>
        <v>-6.344410876132911E-2</v>
      </c>
      <c r="U187" s="93">
        <f t="shared" si="66"/>
        <v>2.1538461538461728E-2</v>
      </c>
      <c r="V187" s="93">
        <f t="shared" si="66"/>
        <v>6.4516129032258007E-2</v>
      </c>
      <c r="W187" s="93">
        <f t="shared" si="66"/>
        <v>5.4216867469879526E-2</v>
      </c>
      <c r="X187" s="515">
        <v>0.06</v>
      </c>
      <c r="Y187" s="515">
        <v>0.06</v>
      </c>
      <c r="Z187" s="515">
        <v>0.06</v>
      </c>
      <c r="AA187" s="92">
        <v>0.04</v>
      </c>
      <c r="AB187" s="92">
        <v>0.04</v>
      </c>
      <c r="AC187" s="92">
        <v>0.04</v>
      </c>
      <c r="AD187" s="92">
        <v>0.04</v>
      </c>
      <c r="AE187" s="92">
        <v>0.04</v>
      </c>
      <c r="AF187" s="92">
        <v>0.04</v>
      </c>
      <c r="AG187" s="92">
        <v>0.04</v>
      </c>
      <c r="AH187" s="92">
        <v>0.04</v>
      </c>
      <c r="AI187" s="92">
        <v>0.04</v>
      </c>
      <c r="AJ187" s="92">
        <v>0.04</v>
      </c>
      <c r="AK187" s="92">
        <v>0.04</v>
      </c>
      <c r="AL187" s="92">
        <v>0.04</v>
      </c>
      <c r="AM187" s="92">
        <v>0.04</v>
      </c>
      <c r="AN187" s="92">
        <v>0.04</v>
      </c>
    </row>
    <row r="188" spans="2:40" outlineLevel="1">
      <c r="B188" s="126" t="s">
        <v>102</v>
      </c>
      <c r="C188" s="39" t="s">
        <v>88</v>
      </c>
      <c r="E188" s="43"/>
      <c r="F188" s="43"/>
      <c r="G188" s="93"/>
      <c r="H188" s="93"/>
      <c r="I188" s="93"/>
      <c r="J188" s="93"/>
      <c r="K188" s="93"/>
      <c r="L188" s="93"/>
      <c r="M188" s="93"/>
      <c r="N188" s="93"/>
      <c r="O188" s="93"/>
      <c r="P188" s="93">
        <f t="shared" ref="P188:U188" si="67">P177/N177-1</f>
        <v>0.91304347826086962</v>
      </c>
      <c r="Q188" s="93">
        <f t="shared" si="67"/>
        <v>0.17156862745098045</v>
      </c>
      <c r="R188" s="93">
        <f t="shared" si="67"/>
        <v>-4.0909090909090895E-2</v>
      </c>
      <c r="S188" s="93">
        <f t="shared" si="67"/>
        <v>5.8577405857740628E-2</v>
      </c>
      <c r="T188" s="93">
        <f t="shared" si="67"/>
        <v>0.27962085308056839</v>
      </c>
      <c r="U188" s="93">
        <f t="shared" si="67"/>
        <v>8.6956521739130377E-2</v>
      </c>
      <c r="V188" s="515">
        <v>0.05</v>
      </c>
      <c r="W188" s="515">
        <v>0.1</v>
      </c>
      <c r="X188" s="515">
        <v>0.1</v>
      </c>
      <c r="Y188" s="515">
        <v>0.06</v>
      </c>
      <c r="Z188" s="515">
        <v>0.06</v>
      </c>
      <c r="AA188" s="92">
        <v>0.04</v>
      </c>
      <c r="AB188" s="92">
        <v>0.04</v>
      </c>
      <c r="AC188" s="92">
        <v>0.04</v>
      </c>
      <c r="AD188" s="92">
        <v>0.04</v>
      </c>
      <c r="AE188" s="92">
        <v>0.04</v>
      </c>
      <c r="AF188" s="92">
        <v>0.04</v>
      </c>
      <c r="AG188" s="92">
        <v>0.04</v>
      </c>
      <c r="AH188" s="92">
        <v>0.04</v>
      </c>
      <c r="AI188" s="92">
        <v>0.04</v>
      </c>
      <c r="AJ188" s="92">
        <v>0.04</v>
      </c>
      <c r="AK188" s="92">
        <v>0.04</v>
      </c>
      <c r="AL188" s="92">
        <v>0.04</v>
      </c>
      <c r="AM188" s="92">
        <v>0.04</v>
      </c>
      <c r="AN188" s="92">
        <v>0.04</v>
      </c>
    </row>
    <row r="189" spans="2:40" outlineLevel="1">
      <c r="B189" s="126" t="s">
        <v>110</v>
      </c>
      <c r="C189" s="39" t="s">
        <v>88</v>
      </c>
      <c r="E189" s="43"/>
      <c r="F189" s="43"/>
      <c r="G189" s="93"/>
      <c r="H189" s="93"/>
      <c r="I189" s="93"/>
      <c r="J189" s="93"/>
      <c r="K189" s="93"/>
      <c r="L189" s="93"/>
      <c r="M189" s="93"/>
      <c r="N189" s="93"/>
      <c r="O189" s="93"/>
      <c r="P189" s="93">
        <f t="shared" ref="P189:U189" si="68">P181/N181-1</f>
        <v>1.1951219512195124</v>
      </c>
      <c r="Q189" s="93">
        <f t="shared" si="68"/>
        <v>0.49230769230769211</v>
      </c>
      <c r="R189" s="93">
        <f t="shared" si="68"/>
        <v>0.12222222222222245</v>
      </c>
      <c r="S189" s="93">
        <f t="shared" si="68"/>
        <v>8.2474226804123862E-2</v>
      </c>
      <c r="T189" s="93">
        <f t="shared" si="68"/>
        <v>8.9108910891088966E-2</v>
      </c>
      <c r="U189" s="93">
        <f t="shared" si="68"/>
        <v>9.5238095238095344E-2</v>
      </c>
      <c r="V189" s="92">
        <v>0.04</v>
      </c>
      <c r="W189" s="92">
        <v>0.04</v>
      </c>
      <c r="X189" s="92">
        <v>0.04</v>
      </c>
      <c r="Y189" s="92">
        <v>0.04</v>
      </c>
      <c r="Z189" s="92">
        <v>0.04</v>
      </c>
      <c r="AA189" s="92">
        <v>0.04</v>
      </c>
      <c r="AB189" s="92">
        <v>0.04</v>
      </c>
      <c r="AC189" s="92">
        <v>0.04</v>
      </c>
      <c r="AD189" s="92">
        <v>0.04</v>
      </c>
      <c r="AE189" s="92">
        <v>0.04</v>
      </c>
      <c r="AF189" s="92">
        <v>0.04</v>
      </c>
      <c r="AG189" s="92">
        <v>0.04</v>
      </c>
      <c r="AH189" s="92">
        <v>0.04</v>
      </c>
      <c r="AI189" s="92">
        <v>0.04</v>
      </c>
      <c r="AJ189" s="92">
        <v>0.04</v>
      </c>
      <c r="AK189" s="92">
        <v>0.04</v>
      </c>
      <c r="AL189" s="92">
        <v>0.04</v>
      </c>
      <c r="AM189" s="92">
        <v>0.04</v>
      </c>
      <c r="AN189" s="92">
        <v>0.04</v>
      </c>
    </row>
    <row r="190" spans="2:40" outlineLevel="1">
      <c r="B190" s="126"/>
      <c r="C190" s="39"/>
      <c r="E190" s="43"/>
      <c r="F190" s="43"/>
      <c r="G190" s="93"/>
      <c r="H190" s="93"/>
      <c r="I190" s="93"/>
      <c r="J190" s="93"/>
      <c r="K190" s="93"/>
      <c r="L190" s="93"/>
      <c r="M190" s="93"/>
      <c r="N190" s="93"/>
      <c r="O190" s="93"/>
      <c r="P190" s="93"/>
      <c r="Q190" s="93"/>
      <c r="R190" s="93"/>
      <c r="S190" s="93"/>
      <c r="T190" s="93"/>
      <c r="U190" s="146"/>
      <c r="V190" s="146"/>
      <c r="W190" s="146"/>
      <c r="X190" s="146"/>
      <c r="Y190" s="146"/>
      <c r="Z190" s="146"/>
      <c r="AA190" s="146"/>
      <c r="AB190" s="146"/>
      <c r="AC190" s="146"/>
      <c r="AD190" s="146"/>
      <c r="AE190" s="146"/>
      <c r="AF190" s="146"/>
      <c r="AG190" s="146"/>
      <c r="AH190" s="146"/>
      <c r="AI190" s="146"/>
      <c r="AJ190" s="146"/>
      <c r="AK190" s="146"/>
      <c r="AL190" s="146"/>
      <c r="AM190" s="146"/>
      <c r="AN190" s="146"/>
    </row>
    <row r="191" spans="2:40" outlineLevel="1">
      <c r="B191" s="130" t="s">
        <v>77</v>
      </c>
      <c r="C191" s="39"/>
      <c r="E191" s="43"/>
      <c r="F191" s="43"/>
      <c r="G191" s="43"/>
      <c r="H191" s="43"/>
      <c r="I191" s="43"/>
      <c r="J191" s="43"/>
      <c r="K191" s="43"/>
      <c r="L191" s="43"/>
      <c r="M191" s="43"/>
      <c r="N191" s="43"/>
      <c r="O191" s="43"/>
      <c r="P191" s="43"/>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row>
    <row r="192" spans="2:40" outlineLevel="1">
      <c r="B192" s="96" t="s">
        <v>101</v>
      </c>
      <c r="C192" s="39" t="s">
        <v>72</v>
      </c>
      <c r="E192" s="43"/>
      <c r="F192" s="43"/>
      <c r="G192" s="43"/>
      <c r="H192" s="43"/>
      <c r="I192" s="43"/>
      <c r="J192" s="43"/>
      <c r="K192" s="43"/>
      <c r="L192" s="43"/>
      <c r="M192" s="43"/>
      <c r="N192" s="541"/>
      <c r="O192" s="541"/>
      <c r="P192" s="541"/>
      <c r="Q192" s="46">
        <v>2.9</v>
      </c>
      <c r="R192" s="46">
        <f>5.6-Q192</f>
        <v>2.6999999999999997</v>
      </c>
      <c r="S192" s="46">
        <v>2.8</v>
      </c>
      <c r="T192" s="46">
        <f>5.4-S192</f>
        <v>2.6000000000000005</v>
      </c>
      <c r="U192" s="46">
        <v>2.8</v>
      </c>
      <c r="V192" s="46">
        <f>5.2-U192</f>
        <v>2.4000000000000004</v>
      </c>
      <c r="W192" s="94">
        <v>2.6</v>
      </c>
      <c r="X192" s="94">
        <v>2.4</v>
      </c>
      <c r="Y192" s="94">
        <v>2.6</v>
      </c>
      <c r="Z192" s="94">
        <v>2.4</v>
      </c>
      <c r="AA192" s="40">
        <f t="shared" ref="AA192:AN194" si="69">Y192*(1+AA197)</f>
        <v>2.7040000000000002</v>
      </c>
      <c r="AB192" s="40">
        <f t="shared" si="69"/>
        <v>2.496</v>
      </c>
      <c r="AC192" s="40">
        <f t="shared" si="69"/>
        <v>2.8121600000000004</v>
      </c>
      <c r="AD192" s="40">
        <f t="shared" si="69"/>
        <v>2.5958399999999999</v>
      </c>
      <c r="AE192" s="40">
        <f t="shared" si="69"/>
        <v>2.9246464000000008</v>
      </c>
      <c r="AF192" s="40">
        <f t="shared" si="69"/>
        <v>2.6996736000000001</v>
      </c>
      <c r="AG192" s="40">
        <f t="shared" si="69"/>
        <v>3.0416322560000011</v>
      </c>
      <c r="AH192" s="40">
        <f t="shared" si="69"/>
        <v>2.8076605440000004</v>
      </c>
      <c r="AI192" s="40">
        <f t="shared" si="69"/>
        <v>3.1632975462400013</v>
      </c>
      <c r="AJ192" s="40">
        <f t="shared" si="69"/>
        <v>2.9199669657600005</v>
      </c>
      <c r="AK192" s="40">
        <f t="shared" si="69"/>
        <v>3.2898294480896015</v>
      </c>
      <c r="AL192" s="40">
        <f t="shared" si="69"/>
        <v>3.0367656443904005</v>
      </c>
      <c r="AM192" s="40">
        <f t="shared" si="69"/>
        <v>3.4214226260131859</v>
      </c>
      <c r="AN192" s="40">
        <f t="shared" si="69"/>
        <v>3.1582362701660167</v>
      </c>
    </row>
    <row r="193" spans="2:40" outlineLevel="1">
      <c r="B193" s="96" t="s">
        <v>102</v>
      </c>
      <c r="C193" s="39" t="s">
        <v>72</v>
      </c>
      <c r="E193" s="43"/>
      <c r="F193" s="43"/>
      <c r="G193" s="43"/>
      <c r="H193" s="43"/>
      <c r="I193" s="43"/>
      <c r="J193" s="43"/>
      <c r="K193" s="43"/>
      <c r="L193" s="43"/>
      <c r="M193" s="43"/>
      <c r="N193" s="541"/>
      <c r="O193" s="541"/>
      <c r="P193" s="541"/>
      <c r="Q193" s="46">
        <v>0</v>
      </c>
      <c r="R193" s="46">
        <v>0</v>
      </c>
      <c r="S193" s="46">
        <v>0</v>
      </c>
      <c r="T193" s="46">
        <v>0</v>
      </c>
      <c r="U193" s="46">
        <v>0</v>
      </c>
      <c r="V193" s="46">
        <v>0</v>
      </c>
      <c r="W193" s="94">
        <v>0</v>
      </c>
      <c r="X193" s="94">
        <v>0</v>
      </c>
      <c r="Y193" s="94">
        <v>0</v>
      </c>
      <c r="Z193" s="94">
        <v>0</v>
      </c>
      <c r="AA193" s="40">
        <f t="shared" si="69"/>
        <v>0</v>
      </c>
      <c r="AB193" s="40">
        <f t="shared" si="69"/>
        <v>0</v>
      </c>
      <c r="AC193" s="40">
        <f t="shared" si="69"/>
        <v>0</v>
      </c>
      <c r="AD193" s="40">
        <f t="shared" si="69"/>
        <v>0</v>
      </c>
      <c r="AE193" s="40">
        <f t="shared" si="69"/>
        <v>0</v>
      </c>
      <c r="AF193" s="40">
        <f t="shared" si="69"/>
        <v>0</v>
      </c>
      <c r="AG193" s="40">
        <f t="shared" si="69"/>
        <v>0</v>
      </c>
      <c r="AH193" s="40">
        <f t="shared" si="69"/>
        <v>0</v>
      </c>
      <c r="AI193" s="40">
        <f t="shared" si="69"/>
        <v>0</v>
      </c>
      <c r="AJ193" s="40">
        <f t="shared" si="69"/>
        <v>0</v>
      </c>
      <c r="AK193" s="40">
        <f t="shared" si="69"/>
        <v>0</v>
      </c>
      <c r="AL193" s="40">
        <f t="shared" si="69"/>
        <v>0</v>
      </c>
      <c r="AM193" s="40">
        <f t="shared" si="69"/>
        <v>0</v>
      </c>
      <c r="AN193" s="40">
        <f t="shared" si="69"/>
        <v>0</v>
      </c>
    </row>
    <row r="194" spans="2:40" outlineLevel="1">
      <c r="B194" s="96" t="s">
        <v>103</v>
      </c>
      <c r="C194" s="39" t="s">
        <v>72</v>
      </c>
      <c r="E194" s="43"/>
      <c r="F194" s="43"/>
      <c r="G194" s="43"/>
      <c r="H194" s="43"/>
      <c r="I194" s="43"/>
      <c r="J194" s="43"/>
      <c r="K194" s="43"/>
      <c r="L194" s="43"/>
      <c r="M194" s="43"/>
      <c r="N194" s="541"/>
      <c r="O194" s="541"/>
      <c r="P194" s="541"/>
      <c r="Q194" s="46">
        <v>2.5</v>
      </c>
      <c r="R194" s="46">
        <f>4.8-Q194</f>
        <v>2.2999999999999998</v>
      </c>
      <c r="S194" s="46">
        <v>2.6</v>
      </c>
      <c r="T194" s="46">
        <f>4.8-S194</f>
        <v>2.1999999999999997</v>
      </c>
      <c r="U194" s="46">
        <v>2.7</v>
      </c>
      <c r="V194" s="46">
        <f>4.7-U194</f>
        <v>2</v>
      </c>
      <c r="W194" s="94">
        <v>2.4</v>
      </c>
      <c r="X194" s="94">
        <v>2.1</v>
      </c>
      <c r="Y194" s="94">
        <v>2.4</v>
      </c>
      <c r="Z194" s="94">
        <v>2.1</v>
      </c>
      <c r="AA194" s="40">
        <f t="shared" si="69"/>
        <v>2.496</v>
      </c>
      <c r="AB194" s="40">
        <f t="shared" si="69"/>
        <v>2.1840000000000002</v>
      </c>
      <c r="AC194" s="40">
        <f t="shared" si="69"/>
        <v>2.5958399999999999</v>
      </c>
      <c r="AD194" s="40">
        <f t="shared" si="69"/>
        <v>2.27136</v>
      </c>
      <c r="AE194" s="40">
        <f t="shared" si="69"/>
        <v>2.6996736000000001</v>
      </c>
      <c r="AF194" s="40">
        <f t="shared" si="69"/>
        <v>2.3622144</v>
      </c>
      <c r="AG194" s="40">
        <f t="shared" si="69"/>
        <v>2.8076605440000004</v>
      </c>
      <c r="AH194" s="40">
        <f t="shared" si="69"/>
        <v>2.4567029760000003</v>
      </c>
      <c r="AI194" s="40">
        <f t="shared" si="69"/>
        <v>2.9199669657600005</v>
      </c>
      <c r="AJ194" s="40">
        <f t="shared" si="69"/>
        <v>2.5549710950400004</v>
      </c>
      <c r="AK194" s="40">
        <f t="shared" si="69"/>
        <v>3.0367656443904005</v>
      </c>
      <c r="AL194" s="40">
        <f t="shared" si="69"/>
        <v>2.6571699388416006</v>
      </c>
      <c r="AM194" s="40">
        <f t="shared" si="69"/>
        <v>3.1582362701660167</v>
      </c>
      <c r="AN194" s="40">
        <f t="shared" si="69"/>
        <v>2.7634567363952649</v>
      </c>
    </row>
    <row r="195" spans="2:40" outlineLevel="1">
      <c r="B195" s="96"/>
      <c r="C195" s="39"/>
      <c r="E195" s="43"/>
      <c r="F195" s="43"/>
      <c r="G195" s="43"/>
      <c r="H195" s="43"/>
      <c r="I195" s="43"/>
      <c r="J195" s="43"/>
      <c r="K195" s="43"/>
      <c r="L195" s="43"/>
      <c r="M195" s="43"/>
      <c r="N195" s="46"/>
      <c r="O195" s="46"/>
      <c r="P195" s="46"/>
      <c r="Q195" s="46"/>
      <c r="R195" s="46"/>
      <c r="S195" s="541"/>
      <c r="T195" s="46"/>
      <c r="U195" s="541"/>
      <c r="V195" s="46"/>
      <c r="W195" s="541"/>
      <c r="X195" s="541"/>
      <c r="Y195" s="541"/>
      <c r="Z195" s="541"/>
      <c r="AA195" s="541"/>
      <c r="AB195" s="541"/>
      <c r="AC195" s="541"/>
      <c r="AD195" s="541"/>
      <c r="AE195" s="541"/>
      <c r="AF195" s="541"/>
      <c r="AG195" s="541"/>
      <c r="AH195" s="541"/>
      <c r="AI195" s="541"/>
      <c r="AJ195" s="541"/>
      <c r="AK195" s="541"/>
      <c r="AL195" s="541"/>
      <c r="AM195" s="541"/>
      <c r="AN195" s="541"/>
    </row>
    <row r="196" spans="2:40" outlineLevel="1">
      <c r="B196" s="135" t="s">
        <v>111</v>
      </c>
      <c r="C196" s="39"/>
      <c r="E196" s="43"/>
      <c r="F196" s="43"/>
      <c r="G196" s="43"/>
      <c r="H196" s="43"/>
      <c r="I196" s="43"/>
      <c r="J196" s="43"/>
      <c r="K196" s="43"/>
      <c r="L196" s="43"/>
      <c r="M196" s="43"/>
      <c r="N196" s="43"/>
      <c r="O196" s="43"/>
      <c r="P196" s="43"/>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row>
    <row r="197" spans="2:40" outlineLevel="1">
      <c r="B197" s="126" t="s">
        <v>101</v>
      </c>
      <c r="C197" s="39" t="s">
        <v>88</v>
      </c>
      <c r="E197" s="43"/>
      <c r="F197" s="43"/>
      <c r="G197" s="93"/>
      <c r="H197" s="93"/>
      <c r="I197" s="93"/>
      <c r="J197" s="93"/>
      <c r="K197" s="93"/>
      <c r="L197" s="93"/>
      <c r="M197" s="93"/>
      <c r="N197" s="93"/>
      <c r="O197" s="93"/>
      <c r="P197" s="93"/>
      <c r="Q197" s="93"/>
      <c r="R197" s="93"/>
      <c r="S197" s="93"/>
      <c r="T197" s="93"/>
      <c r="U197" s="93"/>
      <c r="V197" s="93"/>
      <c r="W197" s="93"/>
      <c r="X197" s="93"/>
      <c r="Y197" s="93"/>
      <c r="Z197" s="93"/>
      <c r="AA197" s="92">
        <v>0.04</v>
      </c>
      <c r="AB197" s="92">
        <v>0.04</v>
      </c>
      <c r="AC197" s="92">
        <v>0.04</v>
      </c>
      <c r="AD197" s="92">
        <v>0.04</v>
      </c>
      <c r="AE197" s="92">
        <v>0.04</v>
      </c>
      <c r="AF197" s="92">
        <v>0.04</v>
      </c>
      <c r="AG197" s="92">
        <v>0.04</v>
      </c>
      <c r="AH197" s="92">
        <v>0.04</v>
      </c>
      <c r="AI197" s="92">
        <v>0.04</v>
      </c>
      <c r="AJ197" s="92">
        <v>0.04</v>
      </c>
      <c r="AK197" s="92">
        <v>0.04</v>
      </c>
      <c r="AL197" s="92">
        <v>0.04</v>
      </c>
      <c r="AM197" s="92">
        <v>0.04</v>
      </c>
      <c r="AN197" s="92">
        <v>0.04</v>
      </c>
    </row>
    <row r="198" spans="2:40" outlineLevel="1">
      <c r="B198" s="126" t="s">
        <v>102</v>
      </c>
      <c r="C198" s="39" t="s">
        <v>88</v>
      </c>
      <c r="E198" s="43"/>
      <c r="F198" s="43"/>
      <c r="G198" s="93"/>
      <c r="H198" s="93"/>
      <c r="I198" s="93"/>
      <c r="J198" s="93"/>
      <c r="K198" s="93"/>
      <c r="L198" s="93"/>
      <c r="M198" s="93"/>
      <c r="N198" s="93"/>
      <c r="O198" s="93"/>
      <c r="P198" s="93"/>
      <c r="Q198" s="93"/>
      <c r="R198" s="93"/>
      <c r="S198" s="93"/>
      <c r="T198" s="93"/>
      <c r="U198" s="93"/>
      <c r="V198" s="93"/>
      <c r="W198" s="93"/>
      <c r="X198" s="93"/>
      <c r="Y198" s="93"/>
      <c r="Z198" s="93"/>
      <c r="AA198" s="92">
        <v>0.04</v>
      </c>
      <c r="AB198" s="92">
        <v>0.04</v>
      </c>
      <c r="AC198" s="92">
        <v>0.04</v>
      </c>
      <c r="AD198" s="92">
        <v>0.04</v>
      </c>
      <c r="AE198" s="92">
        <v>0.04</v>
      </c>
      <c r="AF198" s="92">
        <v>0.04</v>
      </c>
      <c r="AG198" s="92">
        <v>0.04</v>
      </c>
      <c r="AH198" s="92">
        <v>0.04</v>
      </c>
      <c r="AI198" s="92">
        <v>0.04</v>
      </c>
      <c r="AJ198" s="92">
        <v>0.04</v>
      </c>
      <c r="AK198" s="92">
        <v>0.04</v>
      </c>
      <c r="AL198" s="92">
        <v>0.04</v>
      </c>
      <c r="AM198" s="92">
        <v>0.04</v>
      </c>
      <c r="AN198" s="92">
        <v>0.04</v>
      </c>
    </row>
    <row r="199" spans="2:40" outlineLevel="1">
      <c r="B199" s="126" t="s">
        <v>110</v>
      </c>
      <c r="C199" s="39" t="s">
        <v>88</v>
      </c>
      <c r="E199" s="43"/>
      <c r="F199" s="43"/>
      <c r="G199" s="93"/>
      <c r="H199" s="93"/>
      <c r="I199" s="93"/>
      <c r="J199" s="93"/>
      <c r="K199" s="93"/>
      <c r="L199" s="93"/>
      <c r="M199" s="93"/>
      <c r="N199" s="93"/>
      <c r="O199" s="93"/>
      <c r="P199" s="93"/>
      <c r="Q199" s="93"/>
      <c r="R199" s="93"/>
      <c r="S199" s="93"/>
      <c r="T199" s="93"/>
      <c r="U199" s="93"/>
      <c r="V199" s="93"/>
      <c r="W199" s="93"/>
      <c r="X199" s="93"/>
      <c r="Y199" s="93"/>
      <c r="Z199" s="93"/>
      <c r="AA199" s="92">
        <v>0.04</v>
      </c>
      <c r="AB199" s="92">
        <v>0.04</v>
      </c>
      <c r="AC199" s="92">
        <v>0.04</v>
      </c>
      <c r="AD199" s="92">
        <v>0.04</v>
      </c>
      <c r="AE199" s="92">
        <v>0.04</v>
      </c>
      <c r="AF199" s="92">
        <v>0.04</v>
      </c>
      <c r="AG199" s="92">
        <v>0.04</v>
      </c>
      <c r="AH199" s="92">
        <v>0.04</v>
      </c>
      <c r="AI199" s="92">
        <v>0.04</v>
      </c>
      <c r="AJ199" s="92">
        <v>0.04</v>
      </c>
      <c r="AK199" s="92">
        <v>0.04</v>
      </c>
      <c r="AL199" s="92">
        <v>0.04</v>
      </c>
      <c r="AM199" s="92">
        <v>0.04</v>
      </c>
      <c r="AN199" s="92">
        <v>0.04</v>
      </c>
    </row>
    <row r="200" spans="2:40" outlineLevel="1">
      <c r="B200" s="129"/>
      <c r="C200" s="39"/>
      <c r="E200" s="43"/>
      <c r="F200" s="43"/>
      <c r="G200" s="43"/>
      <c r="H200" s="43"/>
      <c r="I200" s="43"/>
      <c r="J200" s="43"/>
      <c r="K200" s="43"/>
      <c r="L200" s="43"/>
      <c r="M200" s="43"/>
      <c r="N200" s="43"/>
      <c r="O200" s="43"/>
      <c r="P200" s="43"/>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row>
    <row r="201" spans="2:40" outlineLevel="1">
      <c r="B201" s="130" t="s">
        <v>112</v>
      </c>
      <c r="C201" s="39"/>
      <c r="E201" s="43"/>
      <c r="F201" s="43"/>
      <c r="G201" s="43"/>
      <c r="H201" s="43"/>
      <c r="I201" s="43"/>
      <c r="J201" s="43"/>
      <c r="K201" s="43"/>
      <c r="L201" s="43"/>
      <c r="M201" s="43"/>
      <c r="N201" s="43"/>
      <c r="O201" s="43"/>
      <c r="P201" s="43"/>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row>
    <row r="202" spans="2:40" outlineLevel="1">
      <c r="B202" s="96" t="s">
        <v>101</v>
      </c>
      <c r="C202" s="39" t="s">
        <v>72</v>
      </c>
      <c r="E202" s="43"/>
      <c r="F202" s="43"/>
      <c r="G202" s="43"/>
      <c r="H202" s="43"/>
      <c r="I202" s="43"/>
      <c r="J202" s="43"/>
      <c r="K202" s="43"/>
      <c r="L202" s="43"/>
      <c r="M202" s="43"/>
      <c r="N202" s="541">
        <v>14.613226028485199</v>
      </c>
      <c r="O202" s="541">
        <v>22.624434389140269</v>
      </c>
      <c r="P202" s="541">
        <v>22.306995230769239</v>
      </c>
      <c r="Q202" s="46">
        <v>23.6</v>
      </c>
      <c r="R202" s="46">
        <f>46-Q202</f>
        <v>22.4</v>
      </c>
      <c r="S202" s="46">
        <v>23.6</v>
      </c>
      <c r="T202" s="46">
        <f>45.1-S202</f>
        <v>21.5</v>
      </c>
      <c r="U202" s="46">
        <v>26.2</v>
      </c>
      <c r="V202" s="46">
        <f>50.2-U202</f>
        <v>24.000000000000004</v>
      </c>
      <c r="W202" s="94">
        <v>27</v>
      </c>
      <c r="X202" s="94">
        <v>25</v>
      </c>
      <c r="Y202" s="94">
        <v>27</v>
      </c>
      <c r="Z202" s="94">
        <v>25</v>
      </c>
      <c r="AA202" s="40">
        <f t="shared" ref="AA202:AN204" si="70">Y202*(1+AA207)</f>
        <v>28.080000000000002</v>
      </c>
      <c r="AB202" s="40">
        <f t="shared" si="70"/>
        <v>26</v>
      </c>
      <c r="AC202" s="40">
        <f t="shared" si="70"/>
        <v>29.203200000000002</v>
      </c>
      <c r="AD202" s="40">
        <f t="shared" si="70"/>
        <v>27.04</v>
      </c>
      <c r="AE202" s="40">
        <f t="shared" si="70"/>
        <v>30.371328000000002</v>
      </c>
      <c r="AF202" s="40">
        <f t="shared" si="70"/>
        <v>28.121600000000001</v>
      </c>
      <c r="AG202" s="40">
        <f t="shared" si="70"/>
        <v>31.586181120000003</v>
      </c>
      <c r="AH202" s="40">
        <f t="shared" si="70"/>
        <v>29.246464000000003</v>
      </c>
      <c r="AI202" s="40">
        <f t="shared" si="70"/>
        <v>32.849628364800004</v>
      </c>
      <c r="AJ202" s="40">
        <f t="shared" si="70"/>
        <v>30.416322560000005</v>
      </c>
      <c r="AK202" s="40">
        <f t="shared" si="70"/>
        <v>34.163613499392007</v>
      </c>
      <c r="AL202" s="40">
        <f t="shared" si="70"/>
        <v>31.632975462400005</v>
      </c>
      <c r="AM202" s="40">
        <f t="shared" si="70"/>
        <v>35.530158039367691</v>
      </c>
      <c r="AN202" s="40">
        <f t="shared" si="70"/>
        <v>32.898294480896006</v>
      </c>
    </row>
    <row r="203" spans="2:40" outlineLevel="1">
      <c r="B203" s="96" t="s">
        <v>102</v>
      </c>
      <c r="C203" s="39" t="s">
        <v>72</v>
      </c>
      <c r="E203" s="43"/>
      <c r="F203" s="43"/>
      <c r="G203" s="43"/>
      <c r="H203" s="43"/>
      <c r="I203" s="43"/>
      <c r="J203" s="43"/>
      <c r="K203" s="43"/>
      <c r="L203" s="43"/>
      <c r="M203" s="43"/>
      <c r="N203" s="541">
        <v>6.8830412453010004</v>
      </c>
      <c r="O203" s="541">
        <v>7.7254166206820436</v>
      </c>
      <c r="P203" s="541">
        <v>7.7966196923076962</v>
      </c>
      <c r="Q203" s="46">
        <v>7.3</v>
      </c>
      <c r="R203" s="46">
        <f>14.8-Q203</f>
        <v>7.5000000000000009</v>
      </c>
      <c r="S203" s="46">
        <v>7.6</v>
      </c>
      <c r="T203" s="46">
        <f>15.5-S203</f>
        <v>7.9</v>
      </c>
      <c r="U203" s="46">
        <v>8.9</v>
      </c>
      <c r="V203" s="46">
        <f>17.4-U203</f>
        <v>8.4999999999999982</v>
      </c>
      <c r="W203" s="94">
        <v>8.5</v>
      </c>
      <c r="X203" s="94">
        <v>8.4999999999999982</v>
      </c>
      <c r="Y203" s="94">
        <v>8.5</v>
      </c>
      <c r="Z203" s="94">
        <v>8.4999999999999982</v>
      </c>
      <c r="AA203" s="40">
        <f t="shared" si="70"/>
        <v>8.84</v>
      </c>
      <c r="AB203" s="40">
        <f t="shared" si="70"/>
        <v>8.8399999999999981</v>
      </c>
      <c r="AC203" s="40">
        <f t="shared" si="70"/>
        <v>9.1936</v>
      </c>
      <c r="AD203" s="40">
        <f t="shared" si="70"/>
        <v>9.1935999999999982</v>
      </c>
      <c r="AE203" s="40">
        <f t="shared" si="70"/>
        <v>9.5613440000000001</v>
      </c>
      <c r="AF203" s="40">
        <f t="shared" si="70"/>
        <v>9.5613439999999983</v>
      </c>
      <c r="AG203" s="40">
        <f t="shared" si="70"/>
        <v>9.9437977600000007</v>
      </c>
      <c r="AH203" s="40">
        <f t="shared" si="70"/>
        <v>9.9437977599999989</v>
      </c>
      <c r="AI203" s="40">
        <f t="shared" si="70"/>
        <v>10.341549670400001</v>
      </c>
      <c r="AJ203" s="40">
        <f t="shared" si="70"/>
        <v>10.341549670399999</v>
      </c>
      <c r="AK203" s="40">
        <f t="shared" si="70"/>
        <v>10.755211657216002</v>
      </c>
      <c r="AL203" s="40">
        <f t="shared" si="70"/>
        <v>10.755211657216</v>
      </c>
      <c r="AM203" s="40">
        <f t="shared" si="70"/>
        <v>11.185420123504642</v>
      </c>
      <c r="AN203" s="40">
        <f t="shared" si="70"/>
        <v>11.18542012350464</v>
      </c>
    </row>
    <row r="204" spans="2:40" outlineLevel="1">
      <c r="B204" s="96" t="s">
        <v>103</v>
      </c>
      <c r="C204" s="39" t="s">
        <v>72</v>
      </c>
      <c r="E204" s="43"/>
      <c r="F204" s="43"/>
      <c r="G204" s="43"/>
      <c r="H204" s="43"/>
      <c r="I204" s="43"/>
      <c r="J204" s="43"/>
      <c r="K204" s="43"/>
      <c r="L204" s="43"/>
      <c r="M204" s="43"/>
      <c r="N204" s="541">
        <v>2.2237517869433998</v>
      </c>
      <c r="O204" s="541">
        <v>4.6352499724092269</v>
      </c>
      <c r="P204" s="541">
        <v>6.3888966923076964</v>
      </c>
      <c r="Q204" s="46">
        <v>4.9000000000000004</v>
      </c>
      <c r="R204" s="46">
        <f>8.2-Q204</f>
        <v>3.2999999999999989</v>
      </c>
      <c r="S204" s="46">
        <v>7.7</v>
      </c>
      <c r="T204" s="46">
        <f>12.1-S204</f>
        <v>4.3999999999999995</v>
      </c>
      <c r="U204" s="46">
        <v>6.1</v>
      </c>
      <c r="V204" s="46">
        <f>12.8-U204</f>
        <v>6.7000000000000011</v>
      </c>
      <c r="W204" s="94">
        <v>6.8</v>
      </c>
      <c r="X204" s="94">
        <v>6.8</v>
      </c>
      <c r="Y204" s="94">
        <v>6.8</v>
      </c>
      <c r="Z204" s="94">
        <v>6.8</v>
      </c>
      <c r="AA204" s="40">
        <f t="shared" si="70"/>
        <v>7.0720000000000001</v>
      </c>
      <c r="AB204" s="40">
        <f t="shared" si="70"/>
        <v>7.0720000000000001</v>
      </c>
      <c r="AC204" s="40">
        <f t="shared" si="70"/>
        <v>7.3548800000000005</v>
      </c>
      <c r="AD204" s="40">
        <f t="shared" si="70"/>
        <v>7.3548800000000005</v>
      </c>
      <c r="AE204" s="40">
        <f t="shared" si="70"/>
        <v>7.6490752000000004</v>
      </c>
      <c r="AF204" s="40">
        <f t="shared" si="70"/>
        <v>7.6490752000000004</v>
      </c>
      <c r="AG204" s="40">
        <f t="shared" si="70"/>
        <v>7.9550382080000004</v>
      </c>
      <c r="AH204" s="40">
        <f t="shared" si="70"/>
        <v>7.9550382080000004</v>
      </c>
      <c r="AI204" s="40">
        <f t="shared" si="70"/>
        <v>8.2732397363200008</v>
      </c>
      <c r="AJ204" s="40">
        <f t="shared" si="70"/>
        <v>8.2732397363200008</v>
      </c>
      <c r="AK204" s="40">
        <f t="shared" si="70"/>
        <v>8.6041693257728014</v>
      </c>
      <c r="AL204" s="40">
        <f t="shared" si="70"/>
        <v>8.6041693257728014</v>
      </c>
      <c r="AM204" s="40">
        <f t="shared" si="70"/>
        <v>8.9483360988037131</v>
      </c>
      <c r="AN204" s="40">
        <f t="shared" si="70"/>
        <v>8.9483360988037131</v>
      </c>
    </row>
    <row r="205" spans="2:40" outlineLevel="1">
      <c r="B205" s="96"/>
      <c r="C205" s="39"/>
      <c r="E205" s="43"/>
      <c r="F205" s="43"/>
      <c r="G205" s="43"/>
      <c r="H205" s="43"/>
      <c r="I205" s="43"/>
      <c r="J205" s="43"/>
      <c r="K205" s="43"/>
      <c r="L205" s="43"/>
      <c r="M205" s="43"/>
      <c r="N205" s="46"/>
      <c r="O205" s="46"/>
      <c r="P205" s="46"/>
      <c r="Q205" s="46"/>
      <c r="R205" s="46"/>
      <c r="S205" s="541"/>
      <c r="T205" s="541"/>
      <c r="U205" s="541"/>
      <c r="V205" s="541"/>
      <c r="W205" s="541"/>
      <c r="X205" s="541"/>
      <c r="Y205" s="541"/>
      <c r="Z205" s="541"/>
      <c r="AA205" s="541"/>
      <c r="AB205" s="541"/>
      <c r="AC205" s="541"/>
      <c r="AD205" s="541"/>
      <c r="AE205" s="541"/>
      <c r="AF205" s="541"/>
      <c r="AG205" s="541"/>
      <c r="AH205" s="541"/>
      <c r="AI205" s="541"/>
      <c r="AJ205" s="541"/>
      <c r="AK205" s="541"/>
      <c r="AL205" s="541"/>
      <c r="AM205" s="541"/>
      <c r="AN205" s="541"/>
    </row>
    <row r="206" spans="2:40" outlineLevel="1">
      <c r="B206" s="135" t="s">
        <v>113</v>
      </c>
      <c r="C206" s="39"/>
      <c r="E206" s="43"/>
      <c r="F206" s="43"/>
      <c r="G206" s="43"/>
      <c r="H206" s="43"/>
      <c r="I206" s="43"/>
      <c r="J206" s="43"/>
      <c r="K206" s="43"/>
      <c r="L206" s="43"/>
      <c r="M206" s="43"/>
      <c r="N206" s="43"/>
      <c r="O206" s="43"/>
      <c r="P206" s="43"/>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row>
    <row r="207" spans="2:40" outlineLevel="1">
      <c r="B207" s="126" t="s">
        <v>101</v>
      </c>
      <c r="C207" s="39" t="s">
        <v>88</v>
      </c>
      <c r="E207" s="43"/>
      <c r="F207" s="43"/>
      <c r="G207" s="93"/>
      <c r="H207" s="93"/>
      <c r="I207" s="93"/>
      <c r="J207" s="93"/>
      <c r="K207" s="93"/>
      <c r="L207" s="93"/>
      <c r="M207" s="93"/>
      <c r="N207" s="93"/>
      <c r="O207" s="93"/>
      <c r="P207" s="93">
        <f t="shared" ref="P207:V209" si="71">P202/N202-1</f>
        <v>0.52649354682441563</v>
      </c>
      <c r="Q207" s="93">
        <f t="shared" si="71"/>
        <v>4.3120000000000269E-2</v>
      </c>
      <c r="R207" s="93">
        <f t="shared" si="71"/>
        <v>4.1693095940806835E-3</v>
      </c>
      <c r="S207" s="93">
        <f t="shared" si="71"/>
        <v>0</v>
      </c>
      <c r="T207" s="93">
        <f t="shared" si="71"/>
        <v>-4.0178571428571397E-2</v>
      </c>
      <c r="U207" s="93">
        <f t="shared" si="71"/>
        <v>0.11016949152542366</v>
      </c>
      <c r="V207" s="93">
        <f t="shared" si="71"/>
        <v>0.11627906976744207</v>
      </c>
      <c r="W207" s="92">
        <v>0.04</v>
      </c>
      <c r="X207" s="92">
        <v>0.04</v>
      </c>
      <c r="Y207" s="92">
        <v>0.04</v>
      </c>
      <c r="Z207" s="92">
        <v>0.04</v>
      </c>
      <c r="AA207" s="92">
        <v>0.04</v>
      </c>
      <c r="AB207" s="92">
        <v>0.04</v>
      </c>
      <c r="AC207" s="92">
        <v>0.04</v>
      </c>
      <c r="AD207" s="92">
        <v>0.04</v>
      </c>
      <c r="AE207" s="92">
        <v>0.04</v>
      </c>
      <c r="AF207" s="92">
        <v>0.04</v>
      </c>
      <c r="AG207" s="92">
        <v>0.04</v>
      </c>
      <c r="AH207" s="92">
        <v>0.04</v>
      </c>
      <c r="AI207" s="92">
        <v>0.04</v>
      </c>
      <c r="AJ207" s="92">
        <v>0.04</v>
      </c>
      <c r="AK207" s="92">
        <v>0.04</v>
      </c>
      <c r="AL207" s="92">
        <v>0.04</v>
      </c>
      <c r="AM207" s="92">
        <v>0.04</v>
      </c>
      <c r="AN207" s="92">
        <v>0.04</v>
      </c>
    </row>
    <row r="208" spans="2:40" outlineLevel="1">
      <c r="B208" s="126" t="s">
        <v>102</v>
      </c>
      <c r="C208" s="39" t="s">
        <v>88</v>
      </c>
      <c r="E208" s="43"/>
      <c r="F208" s="43"/>
      <c r="G208" s="93"/>
      <c r="H208" s="93"/>
      <c r="I208" s="93"/>
      <c r="J208" s="93"/>
      <c r="K208" s="93"/>
      <c r="L208" s="93"/>
      <c r="M208" s="93"/>
      <c r="N208" s="93"/>
      <c r="O208" s="93"/>
      <c r="P208" s="93">
        <f t="shared" si="71"/>
        <v>0.13272889329704207</v>
      </c>
      <c r="Q208" s="93">
        <f t="shared" si="71"/>
        <v>-5.506714285714287E-2</v>
      </c>
      <c r="R208" s="93">
        <f t="shared" si="71"/>
        <v>-3.8044653197634615E-2</v>
      </c>
      <c r="S208" s="93">
        <f t="shared" si="71"/>
        <v>4.1095890410958846E-2</v>
      </c>
      <c r="T208" s="93">
        <f t="shared" si="71"/>
        <v>5.3333333333333233E-2</v>
      </c>
      <c r="U208" s="93">
        <f t="shared" si="71"/>
        <v>0.17105263157894757</v>
      </c>
      <c r="V208" s="93">
        <f t="shared" si="71"/>
        <v>7.5949367088607334E-2</v>
      </c>
      <c r="W208" s="92">
        <v>0.04</v>
      </c>
      <c r="X208" s="92">
        <v>0.04</v>
      </c>
      <c r="Y208" s="92">
        <v>0.04</v>
      </c>
      <c r="Z208" s="92">
        <v>0.04</v>
      </c>
      <c r="AA208" s="92">
        <v>0.04</v>
      </c>
      <c r="AB208" s="92">
        <v>0.04</v>
      </c>
      <c r="AC208" s="92">
        <v>0.04</v>
      </c>
      <c r="AD208" s="92">
        <v>0.04</v>
      </c>
      <c r="AE208" s="92">
        <v>0.04</v>
      </c>
      <c r="AF208" s="92">
        <v>0.04</v>
      </c>
      <c r="AG208" s="92">
        <v>0.04</v>
      </c>
      <c r="AH208" s="92">
        <v>0.04</v>
      </c>
      <c r="AI208" s="92">
        <v>0.04</v>
      </c>
      <c r="AJ208" s="92">
        <v>0.04</v>
      </c>
      <c r="AK208" s="92">
        <v>0.04</v>
      </c>
      <c r="AL208" s="92">
        <v>0.04</v>
      </c>
      <c r="AM208" s="92">
        <v>0.04</v>
      </c>
      <c r="AN208" s="92">
        <v>0.04</v>
      </c>
    </row>
    <row r="209" spans="1:40" outlineLevel="1">
      <c r="B209" s="126" t="s">
        <v>110</v>
      </c>
      <c r="C209" s="39" t="s">
        <v>88</v>
      </c>
      <c r="E209" s="43"/>
      <c r="F209" s="43"/>
      <c r="G209" s="93"/>
      <c r="H209" s="93"/>
      <c r="I209" s="93"/>
      <c r="J209" s="93"/>
      <c r="K209" s="93"/>
      <c r="L209" s="93"/>
      <c r="M209" s="93"/>
      <c r="N209" s="93"/>
      <c r="O209" s="93"/>
      <c r="P209" s="93">
        <f t="shared" si="71"/>
        <v>1.8730259958956066</v>
      </c>
      <c r="Q209" s="93">
        <f t="shared" si="71"/>
        <v>5.7116666666666704E-2</v>
      </c>
      <c r="R209" s="93">
        <f t="shared" si="71"/>
        <v>-0.48347889175086578</v>
      </c>
      <c r="S209" s="93">
        <f t="shared" si="71"/>
        <v>0.5714285714285714</v>
      </c>
      <c r="T209" s="93">
        <f t="shared" si="71"/>
        <v>0.3333333333333337</v>
      </c>
      <c r="U209" s="93">
        <f t="shared" si="71"/>
        <v>-0.20779220779220786</v>
      </c>
      <c r="V209" s="93">
        <f t="shared" si="71"/>
        <v>0.52272727272727315</v>
      </c>
      <c r="W209" s="92">
        <v>0.04</v>
      </c>
      <c r="X209" s="92">
        <v>0.04</v>
      </c>
      <c r="Y209" s="92">
        <v>0.04</v>
      </c>
      <c r="Z209" s="92">
        <v>0.04</v>
      </c>
      <c r="AA209" s="92">
        <v>0.04</v>
      </c>
      <c r="AB209" s="92">
        <v>0.04</v>
      </c>
      <c r="AC209" s="92">
        <v>0.04</v>
      </c>
      <c r="AD209" s="92">
        <v>0.04</v>
      </c>
      <c r="AE209" s="92">
        <v>0.04</v>
      </c>
      <c r="AF209" s="92">
        <v>0.04</v>
      </c>
      <c r="AG209" s="92">
        <v>0.04</v>
      </c>
      <c r="AH209" s="92">
        <v>0.04</v>
      </c>
      <c r="AI209" s="92">
        <v>0.04</v>
      </c>
      <c r="AJ209" s="92">
        <v>0.04</v>
      </c>
      <c r="AK209" s="92">
        <v>0.04</v>
      </c>
      <c r="AL209" s="92">
        <v>0.04</v>
      </c>
      <c r="AM209" s="92">
        <v>0.04</v>
      </c>
      <c r="AN209" s="92">
        <v>0.04</v>
      </c>
    </row>
    <row r="210" spans="1:40" outlineLevel="1">
      <c r="B210" s="126"/>
      <c r="C210" s="39"/>
      <c r="E210" s="43"/>
      <c r="F210" s="43"/>
      <c r="G210" s="93"/>
      <c r="H210" s="93"/>
      <c r="I210" s="93"/>
      <c r="J210" s="93"/>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c r="AI210" s="93"/>
      <c r="AJ210" s="93"/>
      <c r="AK210" s="93"/>
      <c r="AL210" s="93"/>
      <c r="AM210" s="93"/>
      <c r="AN210" s="93"/>
    </row>
    <row r="211" spans="1:40" outlineLevel="1">
      <c r="B211" s="127" t="s">
        <v>114</v>
      </c>
      <c r="C211" s="39"/>
      <c r="E211" s="43"/>
      <c r="F211" s="131"/>
      <c r="G211" s="43"/>
      <c r="H211" s="131"/>
      <c r="I211" s="43"/>
      <c r="J211" s="131"/>
      <c r="K211" s="131"/>
      <c r="L211" s="131"/>
      <c r="M211" s="43"/>
      <c r="N211" s="131"/>
      <c r="O211" s="43"/>
      <c r="P211" s="131"/>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row>
    <row r="212" spans="1:40" outlineLevel="1">
      <c r="B212" s="95" t="s">
        <v>70</v>
      </c>
      <c r="C212" s="39" t="s">
        <v>72</v>
      </c>
      <c r="E212" s="47">
        <f t="shared" ref="E212:V212" si="72">E86</f>
        <v>83.2</v>
      </c>
      <c r="F212" s="47">
        <f t="shared" si="72"/>
        <v>87.3</v>
      </c>
      <c r="G212" s="47">
        <f t="shared" si="72"/>
        <v>88.1</v>
      </c>
      <c r="H212" s="47">
        <f t="shared" si="72"/>
        <v>84.200000000000017</v>
      </c>
      <c r="I212" s="47">
        <f t="shared" si="72"/>
        <v>80.7</v>
      </c>
      <c r="J212" s="47">
        <f t="shared" si="72"/>
        <v>57.8</v>
      </c>
      <c r="K212" s="47">
        <f t="shared" si="72"/>
        <v>46.9</v>
      </c>
      <c r="L212" s="47">
        <f t="shared" si="72"/>
        <v>44.000000000000007</v>
      </c>
      <c r="M212" s="47">
        <f t="shared" si="72"/>
        <v>35</v>
      </c>
      <c r="N212" s="47">
        <f t="shared" si="72"/>
        <v>35.099999999999987</v>
      </c>
      <c r="O212" s="47">
        <f t="shared" si="72"/>
        <v>58.6</v>
      </c>
      <c r="P212" s="47">
        <f t="shared" si="72"/>
        <v>65.300000000000011</v>
      </c>
      <c r="Q212" s="47">
        <f t="shared" si="72"/>
        <v>73.7</v>
      </c>
      <c r="R212" s="47">
        <f t="shared" si="72"/>
        <v>78.100000000000009</v>
      </c>
      <c r="S212" s="47">
        <f t="shared" si="72"/>
        <v>77</v>
      </c>
      <c r="T212" s="47">
        <f t="shared" si="72"/>
        <v>79.400000000000006</v>
      </c>
      <c r="U212" s="47">
        <f t="shared" si="72"/>
        <v>83.5</v>
      </c>
      <c r="V212" s="47">
        <f t="shared" si="72"/>
        <v>97.9</v>
      </c>
      <c r="W212" s="134">
        <f t="shared" ref="W212:AN212" si="73">SUM(W176:W178)</f>
        <v>107</v>
      </c>
      <c r="X212" s="134">
        <f t="shared" si="73"/>
        <v>104</v>
      </c>
      <c r="Y212" s="134">
        <f t="shared" si="73"/>
        <v>110</v>
      </c>
      <c r="Z212" s="134">
        <f t="shared" si="73"/>
        <v>109.72</v>
      </c>
      <c r="AA212" s="134">
        <f t="shared" si="73"/>
        <v>114.4</v>
      </c>
      <c r="AB212" s="134">
        <f t="shared" si="73"/>
        <v>114.1088</v>
      </c>
      <c r="AC212" s="134">
        <f t="shared" si="73"/>
        <v>118.976</v>
      </c>
      <c r="AD212" s="134">
        <f t="shared" si="73"/>
        <v>118.673152</v>
      </c>
      <c r="AE212" s="134">
        <f t="shared" si="73"/>
        <v>123.73504000000001</v>
      </c>
      <c r="AF212" s="134">
        <f t="shared" si="73"/>
        <v>123.42007808000001</v>
      </c>
      <c r="AG212" s="134">
        <f t="shared" si="73"/>
        <v>128.68444160000001</v>
      </c>
      <c r="AH212" s="134">
        <f t="shared" si="73"/>
        <v>128.3568812032</v>
      </c>
      <c r="AI212" s="134">
        <f t="shared" si="73"/>
        <v>133.83181926400005</v>
      </c>
      <c r="AJ212" s="134">
        <f t="shared" si="73"/>
        <v>133.49115645132804</v>
      </c>
      <c r="AK212" s="134">
        <f t="shared" si="73"/>
        <v>139.18509203456003</v>
      </c>
      <c r="AL212" s="134">
        <f t="shared" si="73"/>
        <v>138.83080270938115</v>
      </c>
      <c r="AM212" s="134">
        <f t="shared" si="73"/>
        <v>144.75249571594244</v>
      </c>
      <c r="AN212" s="134">
        <f t="shared" si="73"/>
        <v>144.3840348177564</v>
      </c>
    </row>
    <row r="213" spans="1:40" outlineLevel="1">
      <c r="B213" s="95" t="s">
        <v>77</v>
      </c>
      <c r="C213" s="39" t="s">
        <v>72</v>
      </c>
      <c r="E213" s="47">
        <f t="shared" ref="E213:V213" si="74">E93</f>
        <v>5.3</v>
      </c>
      <c r="F213" s="47">
        <f t="shared" si="74"/>
        <v>4.6000000000000014</v>
      </c>
      <c r="G213" s="47">
        <f t="shared" si="74"/>
        <v>5.2</v>
      </c>
      <c r="H213" s="47">
        <f t="shared" si="74"/>
        <v>4.7</v>
      </c>
      <c r="I213" s="47">
        <f t="shared" si="74"/>
        <v>5.5</v>
      </c>
      <c r="J213" s="47">
        <f t="shared" si="74"/>
        <v>5.0999999999999996</v>
      </c>
      <c r="K213" s="47">
        <f t="shared" si="74"/>
        <v>5.9</v>
      </c>
      <c r="L213" s="47">
        <f t="shared" si="74"/>
        <v>4.6000000000000014</v>
      </c>
      <c r="M213" s="47">
        <f t="shared" si="74"/>
        <v>4.6999999999999993</v>
      </c>
      <c r="N213" s="47">
        <f t="shared" si="74"/>
        <v>3.8000000000000012</v>
      </c>
      <c r="O213" s="47">
        <f t="shared" si="74"/>
        <v>5.7</v>
      </c>
      <c r="P213" s="47">
        <f t="shared" si="74"/>
        <v>4.9999999999999991</v>
      </c>
      <c r="Q213" s="47">
        <f t="shared" si="74"/>
        <v>5.4</v>
      </c>
      <c r="R213" s="47">
        <f t="shared" si="74"/>
        <v>5</v>
      </c>
      <c r="S213" s="47">
        <f t="shared" si="74"/>
        <v>5.4</v>
      </c>
      <c r="T213" s="47">
        <f t="shared" si="74"/>
        <v>4.6999999999999993</v>
      </c>
      <c r="U213" s="47">
        <f t="shared" si="74"/>
        <v>5.4</v>
      </c>
      <c r="V213" s="47">
        <f t="shared" si="74"/>
        <v>4.5999999999999996</v>
      </c>
      <c r="W213" s="134">
        <f t="shared" ref="W213:AN213" si="75">SUM(W192:W194)</f>
        <v>5</v>
      </c>
      <c r="X213" s="134">
        <f t="shared" si="75"/>
        <v>4.5</v>
      </c>
      <c r="Y213" s="134">
        <f t="shared" si="75"/>
        <v>5</v>
      </c>
      <c r="Z213" s="134">
        <f t="shared" si="75"/>
        <v>4.5</v>
      </c>
      <c r="AA213" s="134">
        <f t="shared" si="75"/>
        <v>5.2</v>
      </c>
      <c r="AB213" s="134">
        <f t="shared" si="75"/>
        <v>4.68</v>
      </c>
      <c r="AC213" s="134">
        <f t="shared" si="75"/>
        <v>5.4080000000000004</v>
      </c>
      <c r="AD213" s="134">
        <f t="shared" si="75"/>
        <v>4.8672000000000004</v>
      </c>
      <c r="AE213" s="134">
        <f t="shared" si="75"/>
        <v>5.6243200000000009</v>
      </c>
      <c r="AF213" s="134">
        <f t="shared" si="75"/>
        <v>5.0618879999999997</v>
      </c>
      <c r="AG213" s="134">
        <f t="shared" si="75"/>
        <v>5.8492928000000015</v>
      </c>
      <c r="AH213" s="134">
        <f t="shared" si="75"/>
        <v>5.2643635200000007</v>
      </c>
      <c r="AI213" s="134">
        <f t="shared" si="75"/>
        <v>6.0832645120000013</v>
      </c>
      <c r="AJ213" s="134">
        <f t="shared" si="75"/>
        <v>5.4749380608000013</v>
      </c>
      <c r="AK213" s="134">
        <f t="shared" si="75"/>
        <v>6.3265950924800016</v>
      </c>
      <c r="AL213" s="134">
        <f t="shared" si="75"/>
        <v>5.6939355832320011</v>
      </c>
      <c r="AM213" s="134">
        <f t="shared" si="75"/>
        <v>6.5796588961792022</v>
      </c>
      <c r="AN213" s="134">
        <f t="shared" si="75"/>
        <v>5.9216930065612816</v>
      </c>
    </row>
    <row r="214" spans="1:40" outlineLevel="1">
      <c r="B214" s="95" t="s">
        <v>78</v>
      </c>
      <c r="C214" s="39" t="s">
        <v>72</v>
      </c>
      <c r="E214" s="47">
        <f t="shared" ref="E214:V214" si="76">E100</f>
        <v>11.3</v>
      </c>
      <c r="F214" s="47">
        <f t="shared" si="76"/>
        <v>10.399999999999999</v>
      </c>
      <c r="G214" s="47">
        <f t="shared" si="76"/>
        <v>10.6</v>
      </c>
      <c r="H214" s="47">
        <f t="shared" si="76"/>
        <v>9.2000000000000011</v>
      </c>
      <c r="I214" s="47">
        <f t="shared" si="76"/>
        <v>11.4</v>
      </c>
      <c r="J214" s="47">
        <f t="shared" si="76"/>
        <v>14.4</v>
      </c>
      <c r="K214" s="47">
        <f t="shared" si="76"/>
        <v>25.4</v>
      </c>
      <c r="L214" s="47">
        <f t="shared" si="76"/>
        <v>23.9</v>
      </c>
      <c r="M214" s="47">
        <f t="shared" si="76"/>
        <v>23.412073490813651</v>
      </c>
      <c r="N214" s="47">
        <f t="shared" si="76"/>
        <v>23.720019060729602</v>
      </c>
      <c r="O214" s="47">
        <f t="shared" si="76"/>
        <v>34.799999999999997</v>
      </c>
      <c r="P214" s="47">
        <f t="shared" si="76"/>
        <v>36.5</v>
      </c>
      <c r="Q214" s="47">
        <f t="shared" si="76"/>
        <v>35.799264546831068</v>
      </c>
      <c r="R214" s="47">
        <f t="shared" si="76"/>
        <v>33.200735453168932</v>
      </c>
      <c r="S214" s="47">
        <f t="shared" si="76"/>
        <v>38.9</v>
      </c>
      <c r="T214" s="47">
        <f t="shared" si="76"/>
        <v>33.800000000000004</v>
      </c>
      <c r="U214" s="47">
        <f t="shared" si="76"/>
        <v>41.1</v>
      </c>
      <c r="V214" s="47">
        <f t="shared" si="76"/>
        <v>39.300000000000004</v>
      </c>
      <c r="W214" s="134">
        <f t="shared" ref="W214:AN214" si="77">SUM(W202:W204)</f>
        <v>42.3</v>
      </c>
      <c r="X214" s="134">
        <f t="shared" si="77"/>
        <v>40.299999999999997</v>
      </c>
      <c r="Y214" s="134">
        <f t="shared" si="77"/>
        <v>42.3</v>
      </c>
      <c r="Z214" s="134">
        <f t="shared" si="77"/>
        <v>40.299999999999997</v>
      </c>
      <c r="AA214" s="134">
        <f t="shared" si="77"/>
        <v>43.992000000000004</v>
      </c>
      <c r="AB214" s="134">
        <f t="shared" si="77"/>
        <v>41.911999999999999</v>
      </c>
      <c r="AC214" s="134">
        <f t="shared" si="77"/>
        <v>45.75168</v>
      </c>
      <c r="AD214" s="134">
        <f t="shared" si="77"/>
        <v>43.588479999999997</v>
      </c>
      <c r="AE214" s="134">
        <f t="shared" si="77"/>
        <v>47.581747200000002</v>
      </c>
      <c r="AF214" s="134">
        <f t="shared" si="77"/>
        <v>45.332019199999998</v>
      </c>
      <c r="AG214" s="134">
        <f t="shared" si="77"/>
        <v>49.485017087999999</v>
      </c>
      <c r="AH214" s="134">
        <f t="shared" si="77"/>
        <v>47.145299967999996</v>
      </c>
      <c r="AI214" s="134">
        <f t="shared" si="77"/>
        <v>51.464417771520004</v>
      </c>
      <c r="AJ214" s="134">
        <f t="shared" si="77"/>
        <v>49.031111966720005</v>
      </c>
      <c r="AK214" s="134">
        <f t="shared" si="77"/>
        <v>53.52299448238081</v>
      </c>
      <c r="AL214" s="134">
        <f t="shared" si="77"/>
        <v>50.992356445388808</v>
      </c>
      <c r="AM214" s="134">
        <f t="shared" si="77"/>
        <v>55.663914261676048</v>
      </c>
      <c r="AN214" s="134">
        <f t="shared" si="77"/>
        <v>53.032050703204362</v>
      </c>
    </row>
    <row r="215" spans="1:40" outlineLevel="1"/>
    <row r="216" spans="1:40" outlineLevel="1">
      <c r="B216" s="135" t="s">
        <v>115</v>
      </c>
      <c r="C216" s="39"/>
      <c r="E216" s="43"/>
      <c r="F216" s="43"/>
      <c r="G216" s="43"/>
      <c r="H216" s="43"/>
      <c r="I216" s="43"/>
      <c r="J216" s="43"/>
      <c r="K216" s="43"/>
      <c r="L216" s="43"/>
      <c r="M216" s="43"/>
      <c r="N216" s="43"/>
      <c r="O216" s="43"/>
      <c r="P216" s="43"/>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row>
    <row r="217" spans="1:40" outlineLevel="1">
      <c r="B217" s="126" t="s">
        <v>70</v>
      </c>
      <c r="C217" s="39" t="s">
        <v>88</v>
      </c>
      <c r="E217" s="43"/>
      <c r="F217" s="43"/>
      <c r="G217" s="93">
        <f t="shared" ref="G217:P219" si="78">G212/E212-1</f>
        <v>5.8894230769230616E-2</v>
      </c>
      <c r="H217" s="93">
        <f t="shared" si="78"/>
        <v>-3.5509736540664139E-2</v>
      </c>
      <c r="I217" s="93">
        <f t="shared" si="78"/>
        <v>-8.3995459704880759E-2</v>
      </c>
      <c r="J217" s="93">
        <f t="shared" si="78"/>
        <v>-0.31353919239905004</v>
      </c>
      <c r="K217" s="93">
        <f t="shared" si="78"/>
        <v>-0.4188351920693929</v>
      </c>
      <c r="L217" s="93">
        <f t="shared" si="78"/>
        <v>-0.23875432525951545</v>
      </c>
      <c r="M217" s="93">
        <f t="shared" si="78"/>
        <v>-0.25373134328358204</v>
      </c>
      <c r="N217" s="93">
        <f t="shared" si="78"/>
        <v>-0.20227272727272771</v>
      </c>
      <c r="O217" s="93">
        <f t="shared" si="78"/>
        <v>0.67428571428571438</v>
      </c>
      <c r="P217" s="93">
        <f t="shared" si="78"/>
        <v>0.86039886039886149</v>
      </c>
      <c r="Q217" s="93">
        <f t="shared" ref="Q217:Z219" si="79">Q212/O212-1</f>
        <v>0.25767918088737196</v>
      </c>
      <c r="R217" s="93">
        <f t="shared" si="79"/>
        <v>0.19601837672281763</v>
      </c>
      <c r="S217" s="93">
        <f t="shared" si="79"/>
        <v>4.4776119402984982E-2</v>
      </c>
      <c r="T217" s="93">
        <f t="shared" si="79"/>
        <v>1.6645326504481472E-2</v>
      </c>
      <c r="U217" s="93">
        <f t="shared" si="79"/>
        <v>8.4415584415584499E-2</v>
      </c>
      <c r="V217" s="93">
        <f t="shared" si="79"/>
        <v>0.23299748110831242</v>
      </c>
      <c r="W217" s="93">
        <f t="shared" si="79"/>
        <v>0.2814371257485031</v>
      </c>
      <c r="X217" s="93">
        <f t="shared" si="79"/>
        <v>6.2308478038815007E-2</v>
      </c>
      <c r="Y217" s="93">
        <f t="shared" si="79"/>
        <v>2.8037383177569986E-2</v>
      </c>
      <c r="Z217" s="93">
        <f t="shared" si="79"/>
        <v>5.4999999999999938E-2</v>
      </c>
      <c r="AA217" s="93">
        <f t="shared" ref="AA217:AJ219" si="80">AA212/Y212-1</f>
        <v>4.0000000000000036E-2</v>
      </c>
      <c r="AB217" s="93">
        <f t="shared" si="80"/>
        <v>4.0000000000000036E-2</v>
      </c>
      <c r="AC217" s="93">
        <f t="shared" si="80"/>
        <v>4.0000000000000036E-2</v>
      </c>
      <c r="AD217" s="93">
        <f t="shared" si="80"/>
        <v>4.0000000000000036E-2</v>
      </c>
      <c r="AE217" s="93">
        <f t="shared" si="80"/>
        <v>4.0000000000000036E-2</v>
      </c>
      <c r="AF217" s="93">
        <f t="shared" si="80"/>
        <v>4.0000000000000036E-2</v>
      </c>
      <c r="AG217" s="93">
        <f t="shared" si="80"/>
        <v>4.0000000000000036E-2</v>
      </c>
      <c r="AH217" s="93">
        <f t="shared" si="80"/>
        <v>4.0000000000000036E-2</v>
      </c>
      <c r="AI217" s="93">
        <f t="shared" si="80"/>
        <v>4.0000000000000258E-2</v>
      </c>
      <c r="AJ217" s="93">
        <f t="shared" si="80"/>
        <v>4.0000000000000258E-2</v>
      </c>
      <c r="AK217" s="93">
        <f t="shared" ref="AK217:AN219" si="81">AK212/AI212-1</f>
        <v>3.9999999999999813E-2</v>
      </c>
      <c r="AL217" s="93">
        <f t="shared" si="81"/>
        <v>3.9999999999999813E-2</v>
      </c>
      <c r="AM217" s="93">
        <f t="shared" si="81"/>
        <v>4.0000000000000036E-2</v>
      </c>
      <c r="AN217" s="93">
        <f t="shared" si="81"/>
        <v>4.0000000000000036E-2</v>
      </c>
    </row>
    <row r="218" spans="1:40" outlineLevel="1">
      <c r="B218" s="126" t="s">
        <v>77</v>
      </c>
      <c r="C218" s="39" t="s">
        <v>88</v>
      </c>
      <c r="E218" s="43"/>
      <c r="F218" s="43"/>
      <c r="G218" s="93">
        <f t="shared" si="78"/>
        <v>-1.8867924528301772E-2</v>
      </c>
      <c r="H218" s="93">
        <f t="shared" si="78"/>
        <v>2.1739130434782261E-2</v>
      </c>
      <c r="I218" s="93">
        <f t="shared" si="78"/>
        <v>5.7692307692307709E-2</v>
      </c>
      <c r="J218" s="93">
        <f t="shared" si="78"/>
        <v>8.5106382978723305E-2</v>
      </c>
      <c r="K218" s="93">
        <f t="shared" si="78"/>
        <v>7.2727272727272751E-2</v>
      </c>
      <c r="L218" s="93">
        <f t="shared" si="78"/>
        <v>-9.8039215686274161E-2</v>
      </c>
      <c r="M218" s="93">
        <f t="shared" si="78"/>
        <v>-0.2033898305084747</v>
      </c>
      <c r="N218" s="93">
        <f t="shared" si="78"/>
        <v>-0.17391304347826086</v>
      </c>
      <c r="O218" s="93">
        <f t="shared" si="78"/>
        <v>0.21276595744680882</v>
      </c>
      <c r="P218" s="93">
        <f t="shared" si="78"/>
        <v>0.31578947368420995</v>
      </c>
      <c r="Q218" s="93">
        <f t="shared" si="79"/>
        <v>-5.2631578947368363E-2</v>
      </c>
      <c r="R218" s="93">
        <f t="shared" si="79"/>
        <v>0</v>
      </c>
      <c r="S218" s="93">
        <f t="shared" si="79"/>
        <v>0</v>
      </c>
      <c r="T218" s="93">
        <f t="shared" si="79"/>
        <v>-6.0000000000000164E-2</v>
      </c>
      <c r="U218" s="93">
        <f t="shared" si="79"/>
        <v>0</v>
      </c>
      <c r="V218" s="93">
        <f t="shared" si="79"/>
        <v>-2.1276595744680771E-2</v>
      </c>
      <c r="W218" s="93">
        <f t="shared" si="79"/>
        <v>-7.4074074074074181E-2</v>
      </c>
      <c r="X218" s="93">
        <f t="shared" si="79"/>
        <v>-2.1739130434782483E-2</v>
      </c>
      <c r="Y218" s="93">
        <f t="shared" si="79"/>
        <v>0</v>
      </c>
      <c r="Z218" s="93">
        <f t="shared" si="79"/>
        <v>0</v>
      </c>
      <c r="AA218" s="93">
        <f t="shared" si="80"/>
        <v>4.0000000000000036E-2</v>
      </c>
      <c r="AB218" s="93">
        <f t="shared" si="80"/>
        <v>4.0000000000000036E-2</v>
      </c>
      <c r="AC218" s="93">
        <f t="shared" si="80"/>
        <v>4.0000000000000036E-2</v>
      </c>
      <c r="AD218" s="93">
        <f t="shared" si="80"/>
        <v>4.0000000000000258E-2</v>
      </c>
      <c r="AE218" s="93">
        <f t="shared" si="80"/>
        <v>4.0000000000000036E-2</v>
      </c>
      <c r="AF218" s="93">
        <f t="shared" si="80"/>
        <v>3.9999999999999813E-2</v>
      </c>
      <c r="AG218" s="93">
        <f t="shared" si="80"/>
        <v>4.0000000000000036E-2</v>
      </c>
      <c r="AH218" s="93">
        <f t="shared" si="80"/>
        <v>4.0000000000000258E-2</v>
      </c>
      <c r="AI218" s="93">
        <f t="shared" si="80"/>
        <v>4.0000000000000036E-2</v>
      </c>
      <c r="AJ218" s="93">
        <f t="shared" si="80"/>
        <v>4.0000000000000036E-2</v>
      </c>
      <c r="AK218" s="93">
        <f t="shared" si="81"/>
        <v>4.0000000000000036E-2</v>
      </c>
      <c r="AL218" s="93">
        <f t="shared" si="81"/>
        <v>4.0000000000000036E-2</v>
      </c>
      <c r="AM218" s="93">
        <f t="shared" si="81"/>
        <v>4.0000000000000036E-2</v>
      </c>
      <c r="AN218" s="93">
        <f t="shared" si="81"/>
        <v>4.0000000000000036E-2</v>
      </c>
    </row>
    <row r="219" spans="1:40" outlineLevel="1">
      <c r="B219" s="126" t="s">
        <v>78</v>
      </c>
      <c r="C219" s="39" t="s">
        <v>88</v>
      </c>
      <c r="E219" s="43"/>
      <c r="F219" s="43"/>
      <c r="G219" s="93">
        <f t="shared" si="78"/>
        <v>-6.1946902654867353E-2</v>
      </c>
      <c r="H219" s="93">
        <f t="shared" si="78"/>
        <v>-0.1153846153846152</v>
      </c>
      <c r="I219" s="93">
        <f t="shared" si="78"/>
        <v>7.547169811320753E-2</v>
      </c>
      <c r="J219" s="93">
        <f t="shared" si="78"/>
        <v>0.56521739130434767</v>
      </c>
      <c r="K219" s="93">
        <f t="shared" si="78"/>
        <v>1.2280701754385963</v>
      </c>
      <c r="L219" s="93">
        <f t="shared" si="78"/>
        <v>0.6597222222222221</v>
      </c>
      <c r="M219" s="93">
        <f t="shared" si="78"/>
        <v>-7.8264823196312894E-2</v>
      </c>
      <c r="N219" s="93">
        <f t="shared" si="78"/>
        <v>-7.5305832330709865E-3</v>
      </c>
      <c r="O219" s="93">
        <f t="shared" si="78"/>
        <v>0.48641255605381151</v>
      </c>
      <c r="P219" s="93">
        <f t="shared" si="78"/>
        <v>0.53878459821428581</v>
      </c>
      <c r="Q219" s="93">
        <f t="shared" si="79"/>
        <v>2.8714498472157235E-2</v>
      </c>
      <c r="R219" s="93">
        <f t="shared" si="79"/>
        <v>-9.0390809502221003E-2</v>
      </c>
      <c r="S219" s="93">
        <f t="shared" si="79"/>
        <v>8.6614501510573705E-2</v>
      </c>
      <c r="T219" s="93">
        <f t="shared" si="79"/>
        <v>1.8049737111286657E-2</v>
      </c>
      <c r="U219" s="93">
        <f t="shared" si="79"/>
        <v>5.6555269922879292E-2</v>
      </c>
      <c r="V219" s="93">
        <f t="shared" si="79"/>
        <v>0.16272189349112431</v>
      </c>
      <c r="W219" s="93">
        <f t="shared" si="79"/>
        <v>2.9197080291970767E-2</v>
      </c>
      <c r="X219" s="93">
        <f t="shared" si="79"/>
        <v>2.5445292620865034E-2</v>
      </c>
      <c r="Y219" s="93">
        <f t="shared" si="79"/>
        <v>0</v>
      </c>
      <c r="Z219" s="93">
        <f t="shared" si="79"/>
        <v>0</v>
      </c>
      <c r="AA219" s="93">
        <f t="shared" si="80"/>
        <v>4.0000000000000258E-2</v>
      </c>
      <c r="AB219" s="93">
        <f t="shared" si="80"/>
        <v>4.0000000000000036E-2</v>
      </c>
      <c r="AC219" s="93">
        <f t="shared" si="80"/>
        <v>3.9999999999999813E-2</v>
      </c>
      <c r="AD219" s="93">
        <f t="shared" si="80"/>
        <v>4.0000000000000036E-2</v>
      </c>
      <c r="AE219" s="93">
        <f t="shared" si="80"/>
        <v>4.0000000000000036E-2</v>
      </c>
      <c r="AF219" s="93">
        <f t="shared" si="80"/>
        <v>4.0000000000000036E-2</v>
      </c>
      <c r="AG219" s="93">
        <f t="shared" si="80"/>
        <v>4.0000000000000036E-2</v>
      </c>
      <c r="AH219" s="93">
        <f t="shared" si="80"/>
        <v>4.0000000000000036E-2</v>
      </c>
      <c r="AI219" s="93">
        <f t="shared" si="80"/>
        <v>4.0000000000000036E-2</v>
      </c>
      <c r="AJ219" s="93">
        <f t="shared" si="80"/>
        <v>4.0000000000000258E-2</v>
      </c>
      <c r="AK219" s="93">
        <f t="shared" si="81"/>
        <v>4.0000000000000036E-2</v>
      </c>
      <c r="AL219" s="93">
        <f t="shared" si="81"/>
        <v>4.0000000000000036E-2</v>
      </c>
      <c r="AM219" s="93">
        <f t="shared" si="81"/>
        <v>4.0000000000000036E-2</v>
      </c>
      <c r="AN219" s="93">
        <f t="shared" si="81"/>
        <v>4.0000000000000036E-2</v>
      </c>
    </row>
    <row r="220" spans="1:40">
      <c r="B220" s="95"/>
      <c r="C220" s="39"/>
      <c r="E220" s="43"/>
      <c r="F220" s="43"/>
      <c r="G220" s="43"/>
      <c r="H220" s="43"/>
      <c r="I220" s="43"/>
      <c r="J220" s="43"/>
      <c r="K220" s="43"/>
      <c r="L220" s="43"/>
      <c r="M220" s="43"/>
      <c r="N220" s="43"/>
      <c r="O220" s="43"/>
      <c r="P220" s="43"/>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row>
    <row r="221" spans="1:40" s="539" customFormat="1">
      <c r="A221" s="539" t="s">
        <v>7</v>
      </c>
      <c r="B221" s="537" t="s">
        <v>116</v>
      </c>
      <c r="C221" s="538"/>
      <c r="E221" s="540"/>
      <c r="F221" s="540"/>
      <c r="G221" s="540"/>
      <c r="H221" s="540"/>
      <c r="I221" s="540"/>
      <c r="J221" s="540"/>
      <c r="K221" s="540"/>
      <c r="L221" s="540"/>
      <c r="M221" s="540"/>
      <c r="N221" s="540"/>
      <c r="O221" s="540"/>
      <c r="P221" s="540"/>
      <c r="Q221" s="540"/>
      <c r="R221" s="540"/>
      <c r="S221" s="540"/>
      <c r="T221" s="540"/>
      <c r="U221" s="540"/>
      <c r="V221" s="540"/>
      <c r="W221" s="540"/>
      <c r="X221" s="540"/>
      <c r="Y221" s="540"/>
      <c r="Z221" s="540"/>
      <c r="AA221" s="540"/>
      <c r="AB221" s="540"/>
      <c r="AC221" s="540"/>
      <c r="AD221" s="540"/>
      <c r="AE221" s="540"/>
      <c r="AF221" s="540"/>
      <c r="AG221" s="540"/>
      <c r="AH221" s="540"/>
      <c r="AI221" s="540"/>
      <c r="AJ221" s="540"/>
      <c r="AK221" s="540"/>
      <c r="AL221" s="540"/>
      <c r="AM221" s="540"/>
      <c r="AN221" s="540"/>
    </row>
    <row r="222" spans="1:40" outlineLevel="1">
      <c r="C222" s="104"/>
    </row>
    <row r="223" spans="1:40" outlineLevel="1">
      <c r="B223" s="129" t="s">
        <v>117</v>
      </c>
      <c r="C223" s="39"/>
      <c r="E223" s="46"/>
      <c r="F223" s="46"/>
      <c r="G223" s="46"/>
      <c r="H223" s="46"/>
      <c r="I223" s="46"/>
      <c r="J223" s="46"/>
      <c r="K223" s="46"/>
      <c r="L223" s="46"/>
      <c r="M223" s="46"/>
      <c r="N223" s="46"/>
      <c r="O223" s="46"/>
      <c r="P223" s="46"/>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row>
    <row r="224" spans="1:40" outlineLevel="1">
      <c r="B224" s="95" t="s">
        <v>70</v>
      </c>
      <c r="C224" s="39" t="s">
        <v>72</v>
      </c>
      <c r="E224" s="46"/>
      <c r="F224" s="46"/>
      <c r="G224" s="46"/>
      <c r="H224" s="46"/>
      <c r="I224" s="46"/>
      <c r="J224" s="46"/>
      <c r="K224" s="46"/>
      <c r="L224" s="46"/>
      <c r="M224" s="46"/>
      <c r="N224" s="46"/>
      <c r="O224" s="40">
        <f t="shared" ref="O224:AN224" si="82">O87</f>
        <v>258.3</v>
      </c>
      <c r="P224" s="40">
        <f t="shared" si="82"/>
        <v>259.70000000000005</v>
      </c>
      <c r="Q224" s="40">
        <f t="shared" si="82"/>
        <v>280.60000000000002</v>
      </c>
      <c r="R224" s="40">
        <f t="shared" si="82"/>
        <v>266.09999999999997</v>
      </c>
      <c r="S224" s="40">
        <f t="shared" si="82"/>
        <v>258.3</v>
      </c>
      <c r="T224" s="40">
        <f t="shared" si="82"/>
        <v>255.99999999999994</v>
      </c>
      <c r="U224" s="40">
        <f t="shared" si="82"/>
        <v>248.1</v>
      </c>
      <c r="V224" s="40">
        <f t="shared" si="82"/>
        <v>250.50000000000003</v>
      </c>
      <c r="W224" s="40">
        <f t="shared" si="82"/>
        <v>256</v>
      </c>
      <c r="X224" s="40">
        <f t="shared" si="82"/>
        <v>258</v>
      </c>
      <c r="Y224" s="40">
        <f t="shared" si="82"/>
        <v>272</v>
      </c>
      <c r="Z224" s="40">
        <f t="shared" si="82"/>
        <v>271.42499999999995</v>
      </c>
      <c r="AA224" s="40">
        <f t="shared" si="82"/>
        <v>280.31</v>
      </c>
      <c r="AB224" s="40">
        <f t="shared" si="82"/>
        <v>279.69775000000004</v>
      </c>
      <c r="AC224" s="40">
        <f t="shared" si="82"/>
        <v>288.90469999999999</v>
      </c>
      <c r="AD224" s="40">
        <f t="shared" si="82"/>
        <v>288.25383450000004</v>
      </c>
      <c r="AE224" s="40">
        <f t="shared" si="82"/>
        <v>297.79435100000001</v>
      </c>
      <c r="AF224" s="40">
        <f t="shared" si="82"/>
        <v>297.10345913500004</v>
      </c>
      <c r="AG224" s="40">
        <f t="shared" si="82"/>
        <v>306.98958287000005</v>
      </c>
      <c r="AH224" s="40">
        <f t="shared" si="82"/>
        <v>306.25720692825001</v>
      </c>
      <c r="AI224" s="40">
        <f t="shared" si="82"/>
        <v>316.50141859910002</v>
      </c>
      <c r="AJ224" s="40">
        <f t="shared" si="82"/>
        <v>315.72605249161757</v>
      </c>
      <c r="AK224" s="40">
        <f t="shared" si="82"/>
        <v>326.34128908768707</v>
      </c>
      <c r="AL224" s="40">
        <f t="shared" si="82"/>
        <v>325.52137676741438</v>
      </c>
      <c r="AM224" s="40">
        <f t="shared" si="82"/>
        <v>336.52104850362917</v>
      </c>
      <c r="AN224" s="40">
        <f t="shared" si="82"/>
        <v>335.65498233254766</v>
      </c>
    </row>
    <row r="225" spans="2:40" outlineLevel="1">
      <c r="B225" s="95" t="s">
        <v>77</v>
      </c>
      <c r="C225" s="39" t="s">
        <v>72</v>
      </c>
      <c r="E225" s="46"/>
      <c r="F225" s="46"/>
      <c r="G225" s="46"/>
      <c r="H225" s="46"/>
      <c r="I225" s="46"/>
      <c r="J225" s="46"/>
      <c r="K225" s="46"/>
      <c r="L225" s="46"/>
      <c r="M225" s="46"/>
      <c r="N225" s="46"/>
      <c r="O225" s="40">
        <f t="shared" ref="O225:AN225" si="83">O94</f>
        <v>42.2</v>
      </c>
      <c r="P225" s="40">
        <f t="shared" si="83"/>
        <v>35.700000000000003</v>
      </c>
      <c r="Q225" s="40">
        <f t="shared" si="83"/>
        <v>38.699999999999996</v>
      </c>
      <c r="R225" s="40">
        <f t="shared" si="83"/>
        <v>38.400000000000006</v>
      </c>
      <c r="S225" s="40">
        <f t="shared" si="83"/>
        <v>38.299999999999997</v>
      </c>
      <c r="T225" s="40">
        <f t="shared" si="83"/>
        <v>35.900000000000006</v>
      </c>
      <c r="U225" s="40">
        <f t="shared" si="83"/>
        <v>37.4</v>
      </c>
      <c r="V225" s="40">
        <f t="shared" si="83"/>
        <v>36.500000000000007</v>
      </c>
      <c r="W225" s="40">
        <f t="shared" si="83"/>
        <v>37.564999999999998</v>
      </c>
      <c r="X225" s="40">
        <f t="shared" si="83"/>
        <v>37.268999999999998</v>
      </c>
      <c r="Y225" s="40">
        <f t="shared" si="83"/>
        <v>38.748539999999991</v>
      </c>
      <c r="Z225" s="40">
        <f t="shared" si="83"/>
        <v>38.370689999999996</v>
      </c>
      <c r="AA225" s="40">
        <f t="shared" si="83"/>
        <v>40.084260599999993</v>
      </c>
      <c r="AB225" s="40">
        <f t="shared" si="83"/>
        <v>39.429156900000002</v>
      </c>
      <c r="AC225" s="40">
        <f t="shared" si="83"/>
        <v>41.197666278</v>
      </c>
      <c r="AD225" s="40">
        <f t="shared" si="83"/>
        <v>40.519894868999998</v>
      </c>
      <c r="AE225" s="40">
        <f t="shared" si="83"/>
        <v>42.34523650493999</v>
      </c>
      <c r="AF225" s="40">
        <f t="shared" si="83"/>
        <v>41.643934953690007</v>
      </c>
      <c r="AG225" s="40">
        <f t="shared" si="83"/>
        <v>43.528069985074197</v>
      </c>
      <c r="AH225" s="40">
        <f t="shared" si="83"/>
        <v>42.80234207106691</v>
      </c>
      <c r="AI225" s="40">
        <f t="shared" si="83"/>
        <v>44.747301767222282</v>
      </c>
      <c r="AJ225" s="40">
        <f t="shared" si="83"/>
        <v>43.996216146323171</v>
      </c>
      <c r="AK225" s="40">
        <f t="shared" si="83"/>
        <v>46.004104474771168</v>
      </c>
      <c r="AL225" s="40">
        <f t="shared" si="83"/>
        <v>45.226693289785587</v>
      </c>
      <c r="AM225" s="40">
        <f t="shared" si="83"/>
        <v>47.299689578206667</v>
      </c>
      <c r="AN225" s="40">
        <f t="shared" si="83"/>
        <v>46.494947014272512</v>
      </c>
    </row>
    <row r="226" spans="2:40" outlineLevel="1">
      <c r="B226" s="95" t="s">
        <v>78</v>
      </c>
      <c r="C226" s="39" t="s">
        <v>72</v>
      </c>
      <c r="E226" s="46"/>
      <c r="F226" s="46"/>
      <c r="G226" s="46"/>
      <c r="H226" s="46"/>
      <c r="I226" s="46"/>
      <c r="J226" s="46"/>
      <c r="K226" s="46"/>
      <c r="L226" s="46"/>
      <c r="M226" s="46"/>
      <c r="N226" s="46"/>
      <c r="O226" s="40">
        <f t="shared" ref="O226:AN226" si="84">O101</f>
        <v>129.89999999999998</v>
      </c>
      <c r="P226" s="40">
        <f t="shared" si="84"/>
        <v>119.9</v>
      </c>
      <c r="Q226" s="40">
        <f t="shared" si="84"/>
        <v>116.79926454683107</v>
      </c>
      <c r="R226" s="40">
        <f t="shared" si="84"/>
        <v>119.90073545316895</v>
      </c>
      <c r="S226" s="40">
        <f t="shared" si="84"/>
        <v>123.2</v>
      </c>
      <c r="T226" s="40">
        <f t="shared" si="84"/>
        <v>108.8</v>
      </c>
      <c r="U226" s="40">
        <f t="shared" si="84"/>
        <v>124.5</v>
      </c>
      <c r="V226" s="40">
        <f t="shared" si="84"/>
        <v>122.1</v>
      </c>
      <c r="W226" s="40">
        <f t="shared" si="84"/>
        <v>125</v>
      </c>
      <c r="X226" s="40">
        <f t="shared" si="84"/>
        <v>124.1</v>
      </c>
      <c r="Y226" s="40">
        <f t="shared" si="84"/>
        <v>113</v>
      </c>
      <c r="Z226" s="40">
        <f t="shared" si="84"/>
        <v>111.068</v>
      </c>
      <c r="AA226" s="40">
        <f t="shared" si="84"/>
        <v>118.9</v>
      </c>
      <c r="AB226" s="40">
        <f t="shared" si="84"/>
        <v>116.89071999999999</v>
      </c>
      <c r="AC226" s="40">
        <f t="shared" si="84"/>
        <v>125.11879999999999</v>
      </c>
      <c r="AD226" s="40">
        <f t="shared" si="84"/>
        <v>123.0291488</v>
      </c>
      <c r="AE226" s="40">
        <f t="shared" si="84"/>
        <v>131.67412000000002</v>
      </c>
      <c r="AF226" s="40">
        <f t="shared" si="84"/>
        <v>129.500882752</v>
      </c>
      <c r="AG226" s="40">
        <f t="shared" si="84"/>
        <v>138.58468688000002</v>
      </c>
      <c r="AH226" s="40">
        <f t="shared" si="84"/>
        <v>136.32452014208002</v>
      </c>
      <c r="AI226" s="40">
        <f t="shared" si="84"/>
        <v>145.87029256000002</v>
      </c>
      <c r="AJ226" s="40">
        <f t="shared" si="84"/>
        <v>143.51971915256323</v>
      </c>
      <c r="AK226" s="40">
        <f t="shared" si="84"/>
        <v>150.11261582505603</v>
      </c>
      <c r="AL226" s="40">
        <f t="shared" si="84"/>
        <v>147.66801948132178</v>
      </c>
      <c r="AM226" s="40">
        <f t="shared" si="84"/>
        <v>154.49693075125796</v>
      </c>
      <c r="AN226" s="40">
        <f t="shared" si="84"/>
        <v>151.95455055377431</v>
      </c>
    </row>
    <row r="227" spans="2:40" outlineLevel="1">
      <c r="B227" s="95"/>
      <c r="C227" s="39"/>
      <c r="E227" s="46"/>
      <c r="F227" s="46"/>
      <c r="G227" s="46"/>
      <c r="H227" s="46"/>
      <c r="I227" s="46"/>
      <c r="J227" s="46"/>
      <c r="K227" s="46"/>
      <c r="L227" s="46"/>
      <c r="M227" s="46"/>
      <c r="N227" s="46"/>
      <c r="O227" s="46"/>
      <c r="P227" s="46"/>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row>
    <row r="228" spans="2:40" outlineLevel="1">
      <c r="B228" s="129" t="s">
        <v>118</v>
      </c>
      <c r="C228" s="104"/>
    </row>
    <row r="229" spans="2:40" outlineLevel="1">
      <c r="B229" s="628" t="s">
        <v>119</v>
      </c>
      <c r="C229" s="104"/>
    </row>
    <row r="230" spans="2:40" outlineLevel="1">
      <c r="B230" s="189" t="s">
        <v>120</v>
      </c>
      <c r="C230" s="36" t="s">
        <v>88</v>
      </c>
      <c r="E230" s="97">
        <v>-0.04</v>
      </c>
      <c r="F230" s="97">
        <v>-0.04</v>
      </c>
      <c r="G230" s="97">
        <v>-0.04</v>
      </c>
      <c r="H230" s="97">
        <v>-0.04</v>
      </c>
      <c r="I230" s="97">
        <v>-0.04</v>
      </c>
      <c r="J230" s="97">
        <v>-0.04</v>
      </c>
      <c r="K230" s="97">
        <v>-0.04</v>
      </c>
      <c r="L230" s="97">
        <v>-0.04</v>
      </c>
      <c r="M230" s="97">
        <v>-0.04</v>
      </c>
      <c r="N230" s="97">
        <v>-0.04</v>
      </c>
      <c r="O230" s="97">
        <v>-0.04</v>
      </c>
      <c r="P230" s="97">
        <v>-0.04</v>
      </c>
      <c r="Q230" s="97">
        <v>-0.04</v>
      </c>
      <c r="R230" s="97">
        <v>-0.04</v>
      </c>
      <c r="S230" s="97">
        <v>-0.04</v>
      </c>
      <c r="T230" s="97">
        <v>-0.04</v>
      </c>
      <c r="U230" s="97">
        <v>-0.04</v>
      </c>
      <c r="V230" s="97">
        <v>-0.04</v>
      </c>
      <c r="W230" s="146">
        <f t="shared" ref="W230:AN230" si="85">V230</f>
        <v>-0.04</v>
      </c>
      <c r="X230" s="146">
        <f t="shared" si="85"/>
        <v>-0.04</v>
      </c>
      <c r="Y230" s="146">
        <f t="shared" si="85"/>
        <v>-0.04</v>
      </c>
      <c r="Z230" s="146">
        <f t="shared" si="85"/>
        <v>-0.04</v>
      </c>
      <c r="AA230" s="146">
        <f t="shared" si="85"/>
        <v>-0.04</v>
      </c>
      <c r="AB230" s="146">
        <f t="shared" si="85"/>
        <v>-0.04</v>
      </c>
      <c r="AC230" s="146">
        <f t="shared" si="85"/>
        <v>-0.04</v>
      </c>
      <c r="AD230" s="146">
        <f t="shared" si="85"/>
        <v>-0.04</v>
      </c>
      <c r="AE230" s="146">
        <f t="shared" si="85"/>
        <v>-0.04</v>
      </c>
      <c r="AF230" s="146">
        <f t="shared" si="85"/>
        <v>-0.04</v>
      </c>
      <c r="AG230" s="146">
        <f t="shared" si="85"/>
        <v>-0.04</v>
      </c>
      <c r="AH230" s="146">
        <f t="shared" si="85"/>
        <v>-0.04</v>
      </c>
      <c r="AI230" s="146">
        <f t="shared" si="85"/>
        <v>-0.04</v>
      </c>
      <c r="AJ230" s="146">
        <f t="shared" si="85"/>
        <v>-0.04</v>
      </c>
      <c r="AK230" s="146">
        <f t="shared" si="85"/>
        <v>-0.04</v>
      </c>
      <c r="AL230" s="146">
        <f t="shared" si="85"/>
        <v>-0.04</v>
      </c>
      <c r="AM230" s="146">
        <f t="shared" si="85"/>
        <v>-0.04</v>
      </c>
      <c r="AN230" s="146">
        <f t="shared" si="85"/>
        <v>-0.04</v>
      </c>
    </row>
    <row r="231" spans="2:40" outlineLevel="1">
      <c r="B231" s="189" t="s">
        <v>121</v>
      </c>
      <c r="C231" s="36" t="s">
        <v>88</v>
      </c>
      <c r="E231" s="97">
        <v>-7.1999999999999998E-3</v>
      </c>
      <c r="F231" s="97">
        <v>-7.1999999999999998E-3</v>
      </c>
      <c r="G231" s="97">
        <v>-7.1999999999999998E-3</v>
      </c>
      <c r="H231" s="97">
        <v>-7.1999999999999998E-3</v>
      </c>
      <c r="I231" s="97">
        <v>-7.1999999999999998E-3</v>
      </c>
      <c r="J231" s="97">
        <v>-7.1999999999999998E-3</v>
      </c>
      <c r="K231" s="97">
        <v>-7.1999999999999998E-3</v>
      </c>
      <c r="L231" s="97">
        <v>-7.1999999999999998E-3</v>
      </c>
      <c r="M231" s="97">
        <v>-7.1999999999999998E-3</v>
      </c>
      <c r="N231" s="97">
        <v>-7.1999999999999998E-3</v>
      </c>
      <c r="O231" s="97">
        <v>-7.1999999999999998E-3</v>
      </c>
      <c r="P231" s="97">
        <v>-7.1999999999999998E-3</v>
      </c>
      <c r="Q231" s="97">
        <v>-7.1999999999999998E-3</v>
      </c>
      <c r="R231" s="97">
        <v>-7.1999999999999998E-3</v>
      </c>
      <c r="S231" s="97">
        <v>-7.1999999999999998E-3</v>
      </c>
      <c r="T231" s="97">
        <v>-7.1999999999999998E-3</v>
      </c>
      <c r="U231" s="97">
        <v>-7.1999999999999998E-3</v>
      </c>
      <c r="V231" s="97">
        <v>-7.1999999999999998E-3</v>
      </c>
      <c r="W231" s="146">
        <f t="shared" ref="W231:AN231" si="86">V231</f>
        <v>-7.1999999999999998E-3</v>
      </c>
      <c r="X231" s="146">
        <f t="shared" si="86"/>
        <v>-7.1999999999999998E-3</v>
      </c>
      <c r="Y231" s="146">
        <f t="shared" si="86"/>
        <v>-7.1999999999999998E-3</v>
      </c>
      <c r="Z231" s="146">
        <f t="shared" si="86"/>
        <v>-7.1999999999999998E-3</v>
      </c>
      <c r="AA231" s="146">
        <f t="shared" si="86"/>
        <v>-7.1999999999999998E-3</v>
      </c>
      <c r="AB231" s="146">
        <f t="shared" si="86"/>
        <v>-7.1999999999999998E-3</v>
      </c>
      <c r="AC231" s="146">
        <f t="shared" si="86"/>
        <v>-7.1999999999999998E-3</v>
      </c>
      <c r="AD231" s="146">
        <f t="shared" si="86"/>
        <v>-7.1999999999999998E-3</v>
      </c>
      <c r="AE231" s="146">
        <f t="shared" si="86"/>
        <v>-7.1999999999999998E-3</v>
      </c>
      <c r="AF231" s="146">
        <f t="shared" si="86"/>
        <v>-7.1999999999999998E-3</v>
      </c>
      <c r="AG231" s="146">
        <f t="shared" si="86"/>
        <v>-7.1999999999999998E-3</v>
      </c>
      <c r="AH231" s="146">
        <f t="shared" si="86"/>
        <v>-7.1999999999999998E-3</v>
      </c>
      <c r="AI231" s="146">
        <f t="shared" si="86"/>
        <v>-7.1999999999999998E-3</v>
      </c>
      <c r="AJ231" s="146">
        <f t="shared" si="86"/>
        <v>-7.1999999999999998E-3</v>
      </c>
      <c r="AK231" s="146">
        <f t="shared" si="86"/>
        <v>-7.1999999999999998E-3</v>
      </c>
      <c r="AL231" s="146">
        <f t="shared" si="86"/>
        <v>-7.1999999999999998E-3</v>
      </c>
      <c r="AM231" s="146">
        <f t="shared" si="86"/>
        <v>-7.1999999999999998E-3</v>
      </c>
      <c r="AN231" s="146">
        <f t="shared" si="86"/>
        <v>-7.1999999999999998E-3</v>
      </c>
    </row>
    <row r="232" spans="2:40" outlineLevel="1">
      <c r="B232" s="189" t="s">
        <v>122</v>
      </c>
      <c r="C232" s="36" t="s">
        <v>88</v>
      </c>
      <c r="E232" s="97">
        <v>-0.159</v>
      </c>
      <c r="F232" s="97">
        <v>-0.159</v>
      </c>
      <c r="G232" s="97">
        <v>-0.159</v>
      </c>
      <c r="H232" s="97">
        <v>-0.159</v>
      </c>
      <c r="I232" s="97">
        <v>-0.159</v>
      </c>
      <c r="J232" s="97">
        <v>-0.159</v>
      </c>
      <c r="K232" s="97">
        <v>-0.159</v>
      </c>
      <c r="L232" s="97">
        <v>-0.159</v>
      </c>
      <c r="M232" s="97">
        <v>-0.159</v>
      </c>
      <c r="N232" s="97">
        <v>-0.159</v>
      </c>
      <c r="O232" s="97">
        <v>-0.159</v>
      </c>
      <c r="P232" s="97">
        <v>-0.159</v>
      </c>
      <c r="Q232" s="97">
        <v>-0.159</v>
      </c>
      <c r="R232" s="97">
        <v>-0.159</v>
      </c>
      <c r="S232" s="97">
        <v>-0.185</v>
      </c>
      <c r="T232" s="97">
        <v>-0.185</v>
      </c>
      <c r="U232" s="97">
        <v>-0.185</v>
      </c>
      <c r="V232" s="97">
        <v>-0.185</v>
      </c>
      <c r="W232" s="146">
        <f t="shared" ref="W232:AN232" si="87">V232</f>
        <v>-0.185</v>
      </c>
      <c r="X232" s="146">
        <f t="shared" si="87"/>
        <v>-0.185</v>
      </c>
      <c r="Y232" s="146">
        <f t="shared" si="87"/>
        <v>-0.185</v>
      </c>
      <c r="Z232" s="146">
        <f t="shared" si="87"/>
        <v>-0.185</v>
      </c>
      <c r="AA232" s="146">
        <f t="shared" si="87"/>
        <v>-0.185</v>
      </c>
      <c r="AB232" s="146">
        <f t="shared" si="87"/>
        <v>-0.185</v>
      </c>
      <c r="AC232" s="146">
        <f t="shared" si="87"/>
        <v>-0.185</v>
      </c>
      <c r="AD232" s="146">
        <f t="shared" si="87"/>
        <v>-0.185</v>
      </c>
      <c r="AE232" s="146">
        <f t="shared" si="87"/>
        <v>-0.185</v>
      </c>
      <c r="AF232" s="146">
        <f t="shared" si="87"/>
        <v>-0.185</v>
      </c>
      <c r="AG232" s="146">
        <f t="shared" si="87"/>
        <v>-0.185</v>
      </c>
      <c r="AH232" s="146">
        <f t="shared" si="87"/>
        <v>-0.185</v>
      </c>
      <c r="AI232" s="146">
        <f t="shared" si="87"/>
        <v>-0.185</v>
      </c>
      <c r="AJ232" s="146">
        <f t="shared" si="87"/>
        <v>-0.185</v>
      </c>
      <c r="AK232" s="146">
        <f t="shared" si="87"/>
        <v>-0.185</v>
      </c>
      <c r="AL232" s="146">
        <f t="shared" si="87"/>
        <v>-0.185</v>
      </c>
      <c r="AM232" s="146">
        <f t="shared" si="87"/>
        <v>-0.185</v>
      </c>
      <c r="AN232" s="146">
        <f t="shared" si="87"/>
        <v>-0.185</v>
      </c>
    </row>
    <row r="233" spans="2:40" outlineLevel="1">
      <c r="B233" s="629"/>
      <c r="C233" s="104"/>
    </row>
    <row r="234" spans="2:40" outlineLevel="1">
      <c r="B234" s="140" t="s">
        <v>123</v>
      </c>
      <c r="C234" s="104"/>
    </row>
    <row r="235" spans="2:40" outlineLevel="1">
      <c r="B235" s="137" t="s">
        <v>70</v>
      </c>
      <c r="C235" s="39" t="s">
        <v>72</v>
      </c>
      <c r="E235" s="40"/>
      <c r="F235" s="40"/>
      <c r="G235" s="40"/>
      <c r="H235" s="40"/>
      <c r="I235" s="40"/>
      <c r="J235" s="40"/>
      <c r="K235" s="40"/>
      <c r="L235" s="40"/>
      <c r="M235" s="40"/>
      <c r="N235" s="40"/>
      <c r="O235" s="40">
        <f t="shared" ref="O235:AN235" si="88">(O83+O84+O85)*(O$230+O$231)</f>
        <v>-9.4258400000000009</v>
      </c>
      <c r="P235" s="40">
        <f t="shared" si="88"/>
        <v>-9.1756800000000016</v>
      </c>
      <c r="Q235" s="40">
        <f t="shared" si="88"/>
        <v>-9.7656799999999997</v>
      </c>
      <c r="R235" s="40">
        <f t="shared" si="88"/>
        <v>-8.8735999999999979</v>
      </c>
      <c r="S235" s="40">
        <f t="shared" si="88"/>
        <v>-8.557360000000001</v>
      </c>
      <c r="T235" s="40">
        <f t="shared" si="88"/>
        <v>-8.3308000000000018</v>
      </c>
      <c r="U235" s="40">
        <f t="shared" si="88"/>
        <v>-7.7691199999999991</v>
      </c>
      <c r="V235" s="40">
        <f t="shared" si="88"/>
        <v>-7.2074399999999992</v>
      </c>
      <c r="W235" s="40">
        <f t="shared" si="88"/>
        <v>-7.0327999999999999</v>
      </c>
      <c r="X235" s="40">
        <f t="shared" si="88"/>
        <v>-7.2687999999999997</v>
      </c>
      <c r="Y235" s="40">
        <f t="shared" si="88"/>
        <v>-7.6463999999999999</v>
      </c>
      <c r="Z235" s="40">
        <f t="shared" si="88"/>
        <v>-7.6324759999999987</v>
      </c>
      <c r="AA235" s="40">
        <f t="shared" si="88"/>
        <v>-7.8309519999999999</v>
      </c>
      <c r="AB235" s="40">
        <f t="shared" si="88"/>
        <v>-7.81579844</v>
      </c>
      <c r="AC235" s="40">
        <f t="shared" si="88"/>
        <v>-8.020634639999999</v>
      </c>
      <c r="AD235" s="40">
        <f t="shared" si="88"/>
        <v>-8.0042082140000002</v>
      </c>
      <c r="AE235" s="40">
        <f t="shared" si="88"/>
        <v>-8.2155994791999998</v>
      </c>
      <c r="AF235" s="40">
        <f t="shared" si="88"/>
        <v>-8.1978555857960007</v>
      </c>
      <c r="AG235" s="40">
        <f t="shared" si="88"/>
        <v>-8.4160026679440012</v>
      </c>
      <c r="AH235" s="40">
        <f t="shared" si="88"/>
        <v>-8.3968953742223604</v>
      </c>
      <c r="AI235" s="40">
        <f t="shared" si="88"/>
        <v>-8.6220050886167208</v>
      </c>
      <c r="AJ235" s="40">
        <f t="shared" si="88"/>
        <v>-8.6014870931016638</v>
      </c>
      <c r="AK235" s="40">
        <f t="shared" si="88"/>
        <v>-8.8337725009075942</v>
      </c>
      <c r="AL235" s="40">
        <f t="shared" si="88"/>
        <v>-8.8117950955391677</v>
      </c>
      <c r="AM235" s="40">
        <f t="shared" si="88"/>
        <v>-9.0514756915788137</v>
      </c>
      <c r="AN235" s="40">
        <f t="shared" si="88"/>
        <v>-9.027988722698149</v>
      </c>
    </row>
    <row r="236" spans="2:40" outlineLevel="1">
      <c r="B236" s="137" t="s">
        <v>77</v>
      </c>
      <c r="C236" s="39" t="s">
        <v>72</v>
      </c>
      <c r="E236" s="40"/>
      <c r="F236" s="40"/>
      <c r="G236" s="40"/>
      <c r="H236" s="40"/>
      <c r="I236" s="40"/>
      <c r="J236" s="40"/>
      <c r="K236" s="40"/>
      <c r="L236" s="40"/>
      <c r="M236" s="40"/>
      <c r="N236" s="40"/>
      <c r="O236" s="40">
        <f t="shared" ref="O236:AN236" si="89">(O90+O91+O92)*(O$230+O$231)</f>
        <v>-1.7227999999999999</v>
      </c>
      <c r="P236" s="40">
        <f t="shared" si="89"/>
        <v>-1.4490400000000001</v>
      </c>
      <c r="Q236" s="40">
        <f t="shared" si="89"/>
        <v>-1.5717599999999998</v>
      </c>
      <c r="R236" s="40">
        <f t="shared" si="89"/>
        <v>-1.5764800000000003</v>
      </c>
      <c r="S236" s="40">
        <f t="shared" si="89"/>
        <v>-1.5528799999999998</v>
      </c>
      <c r="T236" s="40">
        <f t="shared" si="89"/>
        <v>-1.4726400000000002</v>
      </c>
      <c r="U236" s="40">
        <f t="shared" si="89"/>
        <v>-1.5056800000000001</v>
      </c>
      <c r="V236" s="40">
        <f t="shared" si="89"/>
        <v>-1.5056799999999999</v>
      </c>
      <c r="W236" s="40">
        <f t="shared" si="89"/>
        <v>-1.5370679999999999</v>
      </c>
      <c r="X236" s="40">
        <f t="shared" si="89"/>
        <v>-1.5466967999999999</v>
      </c>
      <c r="Y236" s="40">
        <f t="shared" si="89"/>
        <v>-1.5929310879999996</v>
      </c>
      <c r="Z236" s="40">
        <f t="shared" si="89"/>
        <v>-1.5986965679999998</v>
      </c>
      <c r="AA236" s="40">
        <f t="shared" si="89"/>
        <v>-1.6465371003199996</v>
      </c>
      <c r="AB236" s="40">
        <f t="shared" si="89"/>
        <v>-1.64016020568</v>
      </c>
      <c r="AC236" s="40">
        <f t="shared" si="89"/>
        <v>-1.6892722483215998</v>
      </c>
      <c r="AD236" s="40">
        <f t="shared" si="89"/>
        <v>-1.6828071978168</v>
      </c>
      <c r="AE236" s="40">
        <f t="shared" si="89"/>
        <v>-1.7332272590331677</v>
      </c>
      <c r="AF236" s="40">
        <f t="shared" si="89"/>
        <v>-1.7266726162141681</v>
      </c>
      <c r="AG236" s="40">
        <f t="shared" si="89"/>
        <v>-1.7784382831355021</v>
      </c>
      <c r="AH236" s="40">
        <f t="shared" si="89"/>
        <v>-1.771792587610358</v>
      </c>
      <c r="AI236" s="40">
        <f t="shared" si="89"/>
        <v>-1.8249425584464918</v>
      </c>
      <c r="AJ236" s="40">
        <f t="shared" si="89"/>
        <v>-1.8182043256366935</v>
      </c>
      <c r="AK236" s="40">
        <f t="shared" si="89"/>
        <v>-1.8727784428441432</v>
      </c>
      <c r="AL236" s="40">
        <f t="shared" si="89"/>
        <v>-1.8659461637493293</v>
      </c>
      <c r="AM236" s="40">
        <f t="shared" si="89"/>
        <v>-1.9219854481916963</v>
      </c>
      <c r="AN236" s="40">
        <f t="shared" si="89"/>
        <v>-1.9150575891639698</v>
      </c>
    </row>
    <row r="237" spans="2:40" outlineLevel="1">
      <c r="B237" s="137" t="s">
        <v>78</v>
      </c>
      <c r="C237" s="39" t="s">
        <v>72</v>
      </c>
      <c r="E237" s="40"/>
      <c r="F237" s="40"/>
      <c r="G237" s="40"/>
      <c r="H237" s="40"/>
      <c r="I237" s="40"/>
      <c r="J237" s="40"/>
      <c r="K237" s="40"/>
      <c r="L237" s="40"/>
      <c r="M237" s="40"/>
      <c r="N237" s="40"/>
      <c r="O237" s="40">
        <f t="shared" ref="O237:AN237" si="90">(O97+O98+O99)*(O$232)</f>
        <v>-15.120899999999999</v>
      </c>
      <c r="P237" s="40">
        <f t="shared" si="90"/>
        <v>-13.260600000000002</v>
      </c>
      <c r="Q237" s="40">
        <f t="shared" si="90"/>
        <v>-12.879</v>
      </c>
      <c r="R237" s="40">
        <f t="shared" si="90"/>
        <v>-13.785300000000003</v>
      </c>
      <c r="S237" s="40">
        <f t="shared" si="90"/>
        <v>-15.595499999999999</v>
      </c>
      <c r="T237" s="40">
        <f t="shared" si="90"/>
        <v>-13.8565</v>
      </c>
      <c r="U237" s="40">
        <f t="shared" si="90"/>
        <v>-15.410499999999999</v>
      </c>
      <c r="V237" s="40">
        <f t="shared" si="90"/>
        <v>-15.318000000000001</v>
      </c>
      <c r="W237" s="40">
        <f t="shared" si="90"/>
        <v>-15.2995</v>
      </c>
      <c r="X237" s="40">
        <f t="shared" si="90"/>
        <v>-15.503</v>
      </c>
      <c r="Y237" s="40">
        <f t="shared" si="90"/>
        <v>-13.079500000000001</v>
      </c>
      <c r="Z237" s="40">
        <f t="shared" si="90"/>
        <v>-13.092079999999999</v>
      </c>
      <c r="AA237" s="40">
        <f t="shared" si="90"/>
        <v>-13.85798</v>
      </c>
      <c r="AB237" s="40">
        <f t="shared" si="90"/>
        <v>-13.871063199999998</v>
      </c>
      <c r="AC237" s="40">
        <f t="shared" si="90"/>
        <v>-14.6829172</v>
      </c>
      <c r="AD237" s="40">
        <f t="shared" si="90"/>
        <v>-14.696523728000003</v>
      </c>
      <c r="AE237" s="40">
        <f t="shared" si="90"/>
        <v>-15.557088968</v>
      </c>
      <c r="AF237" s="40">
        <f t="shared" si="90"/>
        <v>-15.571239757120001</v>
      </c>
      <c r="AG237" s="40">
        <f t="shared" si="90"/>
        <v>-16.483438911520004</v>
      </c>
      <c r="AH237" s="40">
        <f t="shared" si="90"/>
        <v>-16.498155732204804</v>
      </c>
      <c r="AI237" s="40">
        <f t="shared" si="90"/>
        <v>-17.465086835868803</v>
      </c>
      <c r="AJ237" s="40">
        <f t="shared" si="90"/>
        <v>-17.480392329380997</v>
      </c>
      <c r="AK237" s="40">
        <f t="shared" si="90"/>
        <v>-17.869079948394916</v>
      </c>
      <c r="AL237" s="40">
        <f t="shared" si="90"/>
        <v>-17.884997661647596</v>
      </c>
      <c r="AM237" s="40">
        <f t="shared" si="90"/>
        <v>-18.284108050572652</v>
      </c>
      <c r="AN237" s="40">
        <f t="shared" si="90"/>
        <v>-18.300662472355437</v>
      </c>
    </row>
    <row r="238" spans="2:40" outlineLevel="1">
      <c r="B238" s="137"/>
      <c r="C238" s="104"/>
      <c r="E238" s="143"/>
    </row>
    <row r="239" spans="2:40" outlineLevel="1">
      <c r="B239" s="140" t="s">
        <v>124</v>
      </c>
      <c r="C239" s="104"/>
      <c r="E239" s="143"/>
    </row>
    <row r="240" spans="2:40" outlineLevel="1">
      <c r="B240" s="137" t="s">
        <v>70</v>
      </c>
      <c r="C240" s="39" t="s">
        <v>72</v>
      </c>
      <c r="E240" s="40"/>
      <c r="F240" s="40"/>
      <c r="G240" s="40"/>
      <c r="H240" s="40"/>
      <c r="I240" s="40"/>
      <c r="J240" s="40"/>
      <c r="K240" s="40"/>
      <c r="L240" s="40"/>
      <c r="M240" s="40"/>
      <c r="N240" s="40"/>
      <c r="O240" s="40">
        <f t="shared" ref="O240:V242" si="91">O255-O235-O224</f>
        <v>-118.27416000000002</v>
      </c>
      <c r="P240" s="40">
        <f t="shared" si="91"/>
        <v>-129.62432000000004</v>
      </c>
      <c r="Q240" s="40">
        <f t="shared" si="91"/>
        <v>-145.13432000000003</v>
      </c>
      <c r="R240" s="40">
        <f t="shared" si="91"/>
        <v>-145.92639999999997</v>
      </c>
      <c r="S240" s="40">
        <f t="shared" si="91"/>
        <v>-142.04264000000001</v>
      </c>
      <c r="T240" s="40">
        <f t="shared" si="91"/>
        <v>-145.76919999999996</v>
      </c>
      <c r="U240" s="40">
        <f t="shared" si="91"/>
        <v>-150.73088000000001</v>
      </c>
      <c r="V240" s="40">
        <f t="shared" si="91"/>
        <v>-153.09255999999999</v>
      </c>
      <c r="W240" s="94">
        <v>-157</v>
      </c>
      <c r="X240" s="94">
        <v>-157</v>
      </c>
      <c r="Y240" s="94">
        <v>-158</v>
      </c>
      <c r="Z240" s="94">
        <v>-160</v>
      </c>
      <c r="AA240" s="134">
        <f t="shared" ref="AA240:AN242" si="92">Y240*(1+AA245)</f>
        <v>-163.53</v>
      </c>
      <c r="AB240" s="134">
        <f t="shared" si="92"/>
        <v>-165.6</v>
      </c>
      <c r="AC240" s="134">
        <f t="shared" si="92"/>
        <v>-169.25354999999999</v>
      </c>
      <c r="AD240" s="134">
        <f t="shared" si="92"/>
        <v>-171.39599999999999</v>
      </c>
      <c r="AE240" s="134">
        <f t="shared" si="92"/>
        <v>-175.17742424999997</v>
      </c>
      <c r="AF240" s="134">
        <f t="shared" si="92"/>
        <v>-177.39485999999997</v>
      </c>
      <c r="AG240" s="134">
        <f t="shared" si="92"/>
        <v>-181.30863409874996</v>
      </c>
      <c r="AH240" s="134">
        <f t="shared" si="92"/>
        <v>-183.60368009999996</v>
      </c>
      <c r="AI240" s="134">
        <f t="shared" si="92"/>
        <v>-187.65443629220619</v>
      </c>
      <c r="AJ240" s="134">
        <f t="shared" si="92"/>
        <v>-190.02980890349994</v>
      </c>
      <c r="AK240" s="134">
        <f t="shared" si="92"/>
        <v>-194.2223415624334</v>
      </c>
      <c r="AL240" s="134">
        <f t="shared" si="92"/>
        <v>-196.68085221512243</v>
      </c>
      <c r="AM240" s="134">
        <f t="shared" si="92"/>
        <v>-201.02012351711855</v>
      </c>
      <c r="AN240" s="134">
        <f t="shared" si="92"/>
        <v>-203.5646820426517</v>
      </c>
    </row>
    <row r="241" spans="2:40" outlineLevel="1">
      <c r="B241" s="137" t="s">
        <v>77</v>
      </c>
      <c r="C241" s="39" t="s">
        <v>72</v>
      </c>
      <c r="E241" s="40"/>
      <c r="F241" s="40"/>
      <c r="G241" s="40"/>
      <c r="H241" s="40"/>
      <c r="I241" s="40"/>
      <c r="J241" s="40"/>
      <c r="K241" s="40"/>
      <c r="L241" s="40"/>
      <c r="M241" s="40"/>
      <c r="N241" s="40"/>
      <c r="O241" s="40">
        <f t="shared" si="91"/>
        <v>-17.577200000000005</v>
      </c>
      <c r="P241" s="40">
        <f t="shared" si="91"/>
        <v>-17.850960000000004</v>
      </c>
      <c r="Q241" s="40">
        <f t="shared" si="91"/>
        <v>-20.428239999999995</v>
      </c>
      <c r="R241" s="40">
        <f t="shared" si="91"/>
        <v>-18.523520000000005</v>
      </c>
      <c r="S241" s="40">
        <f t="shared" si="91"/>
        <v>-19.247119999999999</v>
      </c>
      <c r="T241" s="40">
        <f t="shared" si="91"/>
        <v>-18.227360000000004</v>
      </c>
      <c r="U241" s="40">
        <f t="shared" si="91"/>
        <v>-20.394319999999997</v>
      </c>
      <c r="V241" s="40">
        <f t="shared" si="91"/>
        <v>-19.09432000000001</v>
      </c>
      <c r="W241" s="94">
        <v>-19</v>
      </c>
      <c r="X241" s="94">
        <v>-19</v>
      </c>
      <c r="Y241" s="94">
        <v>-19</v>
      </c>
      <c r="Z241" s="94">
        <v>-19</v>
      </c>
      <c r="AA241" s="134">
        <f t="shared" si="92"/>
        <v>-19.664999999999999</v>
      </c>
      <c r="AB241" s="134">
        <f t="shared" si="92"/>
        <v>-19.664999999999999</v>
      </c>
      <c r="AC241" s="134">
        <f t="shared" si="92"/>
        <v>-20.353274999999996</v>
      </c>
      <c r="AD241" s="134">
        <f t="shared" si="92"/>
        <v>-20.353274999999996</v>
      </c>
      <c r="AE241" s="134">
        <f t="shared" si="92"/>
        <v>-21.065639624999996</v>
      </c>
      <c r="AF241" s="134">
        <f t="shared" si="92"/>
        <v>-21.065639624999996</v>
      </c>
      <c r="AG241" s="134">
        <f t="shared" si="92"/>
        <v>-21.802937011874995</v>
      </c>
      <c r="AH241" s="134">
        <f t="shared" si="92"/>
        <v>-21.802937011874995</v>
      </c>
      <c r="AI241" s="134">
        <f t="shared" si="92"/>
        <v>-22.566039807290618</v>
      </c>
      <c r="AJ241" s="134">
        <f t="shared" si="92"/>
        <v>-22.566039807290618</v>
      </c>
      <c r="AK241" s="134">
        <f t="shared" si="92"/>
        <v>-23.355851200545789</v>
      </c>
      <c r="AL241" s="134">
        <f t="shared" si="92"/>
        <v>-23.355851200545789</v>
      </c>
      <c r="AM241" s="134">
        <f t="shared" si="92"/>
        <v>-24.173305992564892</v>
      </c>
      <c r="AN241" s="134">
        <f t="shared" si="92"/>
        <v>-24.173305992564892</v>
      </c>
    </row>
    <row r="242" spans="2:40" outlineLevel="1">
      <c r="B242" s="137" t="s">
        <v>78</v>
      </c>
      <c r="C242" s="39" t="s">
        <v>72</v>
      </c>
      <c r="E242" s="40"/>
      <c r="F242" s="40"/>
      <c r="G242" s="40"/>
      <c r="H242" s="40"/>
      <c r="I242" s="40"/>
      <c r="J242" s="40"/>
      <c r="K242" s="40"/>
      <c r="L242" s="40"/>
      <c r="M242" s="40"/>
      <c r="N242" s="40"/>
      <c r="O242" s="40">
        <f t="shared" si="91"/>
        <v>-94.079099999999983</v>
      </c>
      <c r="P242" s="40">
        <f t="shared" si="91"/>
        <v>-91.239400000000003</v>
      </c>
      <c r="Q242" s="40">
        <f t="shared" si="91"/>
        <v>-85.720264546831061</v>
      </c>
      <c r="R242" s="40">
        <f t="shared" si="91"/>
        <v>-84.715435453168936</v>
      </c>
      <c r="S242" s="40">
        <f t="shared" si="91"/>
        <v>-86.004500000000007</v>
      </c>
      <c r="T242" s="40">
        <f t="shared" si="91"/>
        <v>-85.4435</v>
      </c>
      <c r="U242" s="40">
        <f t="shared" si="91"/>
        <v>-99.389499999999998</v>
      </c>
      <c r="V242" s="40">
        <f t="shared" si="91"/>
        <v>-93.681999999999988</v>
      </c>
      <c r="W242" s="94">
        <v>-95</v>
      </c>
      <c r="X242" s="94">
        <v>-95</v>
      </c>
      <c r="Y242" s="632">
        <v>-90</v>
      </c>
      <c r="Z242" s="632">
        <v>-90</v>
      </c>
      <c r="AA242" s="134">
        <f t="shared" si="92"/>
        <v>-91.8</v>
      </c>
      <c r="AB242" s="134">
        <f t="shared" si="92"/>
        <v>-91.8</v>
      </c>
      <c r="AC242" s="134">
        <f t="shared" si="92"/>
        <v>-95.012999999999991</v>
      </c>
      <c r="AD242" s="134">
        <f t="shared" si="92"/>
        <v>-95.012999999999991</v>
      </c>
      <c r="AE242" s="134">
        <f t="shared" si="92"/>
        <v>-98.338454999999982</v>
      </c>
      <c r="AF242" s="134">
        <f t="shared" si="92"/>
        <v>-98.338454999999982</v>
      </c>
      <c r="AG242" s="134">
        <f t="shared" si="92"/>
        <v>-101.78030092499998</v>
      </c>
      <c r="AH242" s="134">
        <f t="shared" si="92"/>
        <v>-101.78030092499998</v>
      </c>
      <c r="AI242" s="134">
        <f t="shared" si="92"/>
        <v>-105.34261145737497</v>
      </c>
      <c r="AJ242" s="134">
        <f t="shared" si="92"/>
        <v>-105.34261145737497</v>
      </c>
      <c r="AK242" s="134">
        <f t="shared" si="92"/>
        <v>-109.02960285838309</v>
      </c>
      <c r="AL242" s="134">
        <f t="shared" si="92"/>
        <v>-109.02960285838309</v>
      </c>
      <c r="AM242" s="134">
        <f t="shared" si="92"/>
        <v>-112.84563895842649</v>
      </c>
      <c r="AN242" s="134">
        <f t="shared" si="92"/>
        <v>-112.84563895842649</v>
      </c>
    </row>
    <row r="243" spans="2:40" outlineLevel="1">
      <c r="B243" s="126"/>
      <c r="C243" s="39"/>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row>
    <row r="244" spans="2:40" outlineLevel="1">
      <c r="B244" s="630" t="s">
        <v>125</v>
      </c>
      <c r="C244" s="104"/>
    </row>
    <row r="245" spans="2:40" outlineLevel="1">
      <c r="B245" s="189" t="s">
        <v>70</v>
      </c>
      <c r="C245" s="39" t="s">
        <v>88</v>
      </c>
      <c r="Q245" s="29">
        <f t="shared" ref="Q245:Z247" si="93">Q240/O240-1</f>
        <v>0.22710083081545451</v>
      </c>
      <c r="R245" s="29">
        <f t="shared" si="93"/>
        <v>0.12576405415280045</v>
      </c>
      <c r="S245" s="29">
        <f t="shared" si="93"/>
        <v>-2.1302197853684923E-2</v>
      </c>
      <c r="T245" s="29">
        <f t="shared" si="93"/>
        <v>-1.0772553835359799E-3</v>
      </c>
      <c r="U245" s="29">
        <f t="shared" si="93"/>
        <v>6.1166421575943764E-2</v>
      </c>
      <c r="V245" s="29">
        <f t="shared" si="93"/>
        <v>5.0239419575603295E-2</v>
      </c>
      <c r="W245" s="29">
        <f t="shared" si="93"/>
        <v>4.1591477472963545E-2</v>
      </c>
      <c r="X245" s="29">
        <f t="shared" si="93"/>
        <v>2.5523382716965637E-2</v>
      </c>
      <c r="Y245" s="29">
        <f t="shared" si="93"/>
        <v>6.3694267515923553E-3</v>
      </c>
      <c r="Z245" s="29">
        <f t="shared" si="93"/>
        <v>1.9108280254777066E-2</v>
      </c>
      <c r="AA245" s="92">
        <v>3.5000000000000003E-2</v>
      </c>
      <c r="AB245" s="92">
        <v>3.5000000000000003E-2</v>
      </c>
      <c r="AC245" s="92">
        <v>3.5000000000000003E-2</v>
      </c>
      <c r="AD245" s="92">
        <v>3.5000000000000003E-2</v>
      </c>
      <c r="AE245" s="92">
        <v>3.5000000000000003E-2</v>
      </c>
      <c r="AF245" s="92">
        <v>3.5000000000000003E-2</v>
      </c>
      <c r="AG245" s="92">
        <v>3.5000000000000003E-2</v>
      </c>
      <c r="AH245" s="92">
        <v>3.5000000000000003E-2</v>
      </c>
      <c r="AI245" s="92">
        <v>3.5000000000000003E-2</v>
      </c>
      <c r="AJ245" s="92">
        <v>3.5000000000000003E-2</v>
      </c>
      <c r="AK245" s="92">
        <v>3.5000000000000003E-2</v>
      </c>
      <c r="AL245" s="92">
        <v>3.5000000000000003E-2</v>
      </c>
      <c r="AM245" s="92">
        <v>3.5000000000000003E-2</v>
      </c>
      <c r="AN245" s="92">
        <v>3.5000000000000003E-2</v>
      </c>
    </row>
    <row r="246" spans="2:40" outlineLevel="1">
      <c r="B246" s="189" t="s">
        <v>77</v>
      </c>
      <c r="C246" s="39" t="s">
        <v>88</v>
      </c>
      <c r="Q246" s="29">
        <f t="shared" si="93"/>
        <v>0.16220103315658863</v>
      </c>
      <c r="R246" s="29">
        <f t="shared" si="93"/>
        <v>3.7676405078494346E-2</v>
      </c>
      <c r="S246" s="29">
        <f t="shared" si="93"/>
        <v>-5.7818000963372085E-2</v>
      </c>
      <c r="T246" s="29">
        <f t="shared" si="93"/>
        <v>-1.5988321874028322E-2</v>
      </c>
      <c r="U246" s="29">
        <f t="shared" si="93"/>
        <v>5.9603722530955139E-2</v>
      </c>
      <c r="V246" s="29">
        <f t="shared" si="93"/>
        <v>4.7563662538074869E-2</v>
      </c>
      <c r="W246" s="29">
        <f t="shared" si="93"/>
        <v>-6.836805541935187E-2</v>
      </c>
      <c r="X246" s="29">
        <f t="shared" si="93"/>
        <v>-4.9396888708270748E-3</v>
      </c>
      <c r="Y246" s="29">
        <f t="shared" si="93"/>
        <v>0</v>
      </c>
      <c r="Z246" s="29">
        <f t="shared" si="93"/>
        <v>0</v>
      </c>
      <c r="AA246" s="92">
        <v>3.5000000000000003E-2</v>
      </c>
      <c r="AB246" s="92">
        <v>3.5000000000000003E-2</v>
      </c>
      <c r="AC246" s="92">
        <v>3.5000000000000003E-2</v>
      </c>
      <c r="AD246" s="92">
        <v>3.5000000000000003E-2</v>
      </c>
      <c r="AE246" s="92">
        <v>3.5000000000000003E-2</v>
      </c>
      <c r="AF246" s="92">
        <v>3.5000000000000003E-2</v>
      </c>
      <c r="AG246" s="92">
        <v>3.5000000000000003E-2</v>
      </c>
      <c r="AH246" s="92">
        <v>3.5000000000000003E-2</v>
      </c>
      <c r="AI246" s="92">
        <v>3.5000000000000003E-2</v>
      </c>
      <c r="AJ246" s="92">
        <v>3.5000000000000003E-2</v>
      </c>
      <c r="AK246" s="92">
        <v>3.5000000000000003E-2</v>
      </c>
      <c r="AL246" s="92">
        <v>3.5000000000000003E-2</v>
      </c>
      <c r="AM246" s="92">
        <v>3.5000000000000003E-2</v>
      </c>
      <c r="AN246" s="92">
        <v>3.5000000000000003E-2</v>
      </c>
    </row>
    <row r="247" spans="2:40" outlineLevel="1">
      <c r="B247" s="189" t="s">
        <v>78</v>
      </c>
      <c r="C247" s="39" t="s">
        <v>88</v>
      </c>
      <c r="Q247" s="29">
        <f t="shared" si="93"/>
        <v>-8.8849015915000495E-2</v>
      </c>
      <c r="R247" s="29">
        <f t="shared" si="93"/>
        <v>-7.1503808078868025E-2</v>
      </c>
      <c r="S247" s="29">
        <f t="shared" si="93"/>
        <v>3.3158489964022486E-3</v>
      </c>
      <c r="T247" s="29">
        <f t="shared" si="93"/>
        <v>8.5942372005340939E-3</v>
      </c>
      <c r="U247" s="29">
        <f t="shared" si="93"/>
        <v>0.15563139138068349</v>
      </c>
      <c r="V247" s="29">
        <f t="shared" si="93"/>
        <v>9.6420441578352722E-2</v>
      </c>
      <c r="W247" s="29">
        <f t="shared" si="93"/>
        <v>-4.4164625035843841E-2</v>
      </c>
      <c r="X247" s="29">
        <f t="shared" si="93"/>
        <v>1.4068871287974405E-2</v>
      </c>
      <c r="Y247" s="29">
        <f t="shared" si="93"/>
        <v>-5.2631578947368474E-2</v>
      </c>
      <c r="Z247" s="29">
        <f t="shared" si="93"/>
        <v>-5.2631578947368474E-2</v>
      </c>
      <c r="AA247" s="515">
        <v>0.02</v>
      </c>
      <c r="AB247" s="515">
        <v>0.02</v>
      </c>
      <c r="AC247" s="92">
        <v>3.5000000000000003E-2</v>
      </c>
      <c r="AD247" s="92">
        <v>3.5000000000000003E-2</v>
      </c>
      <c r="AE247" s="92">
        <v>3.5000000000000003E-2</v>
      </c>
      <c r="AF247" s="92">
        <v>3.5000000000000003E-2</v>
      </c>
      <c r="AG247" s="92">
        <v>3.5000000000000003E-2</v>
      </c>
      <c r="AH247" s="92">
        <v>3.5000000000000003E-2</v>
      </c>
      <c r="AI247" s="92">
        <v>3.5000000000000003E-2</v>
      </c>
      <c r="AJ247" s="92">
        <v>3.5000000000000003E-2</v>
      </c>
      <c r="AK247" s="92">
        <v>3.5000000000000003E-2</v>
      </c>
      <c r="AL247" s="92">
        <v>3.5000000000000003E-2</v>
      </c>
      <c r="AM247" s="92">
        <v>3.5000000000000003E-2</v>
      </c>
      <c r="AN247" s="92">
        <v>3.5000000000000003E-2</v>
      </c>
    </row>
    <row r="248" spans="2:40" outlineLevel="1">
      <c r="B248" s="54"/>
      <c r="G248" s="29"/>
      <c r="H248" s="29"/>
      <c r="I248" s="29"/>
      <c r="J248" s="29"/>
      <c r="K248" s="29"/>
      <c r="L248" s="29"/>
      <c r="M248" s="29"/>
      <c r="N248" s="48"/>
      <c r="O248" s="29"/>
      <c r="P248" s="48"/>
      <c r="Q248" s="48"/>
      <c r="R248" s="100"/>
      <c r="S248" s="91"/>
      <c r="T248" s="91"/>
      <c r="U248" s="91"/>
      <c r="V248" s="91"/>
      <c r="W248" s="91"/>
      <c r="X248" s="91"/>
      <c r="Y248" s="91"/>
      <c r="Z248" s="91"/>
      <c r="AA248" s="91"/>
      <c r="AB248" s="91"/>
      <c r="AC248" s="91"/>
      <c r="AD248" s="91"/>
      <c r="AE248" s="91"/>
      <c r="AF248" s="91"/>
      <c r="AG248" s="91"/>
      <c r="AH248" s="91"/>
      <c r="AI248" s="91"/>
      <c r="AJ248" s="91"/>
      <c r="AK248" s="91"/>
      <c r="AL248" s="91"/>
      <c r="AM248" s="91"/>
      <c r="AN248" s="91"/>
    </row>
    <row r="249" spans="2:40" outlineLevel="1">
      <c r="B249" s="138" t="s">
        <v>126</v>
      </c>
      <c r="C249" s="104"/>
      <c r="E249" s="143"/>
    </row>
    <row r="250" spans="2:40" outlineLevel="1">
      <c r="B250" s="126" t="s">
        <v>70</v>
      </c>
      <c r="C250" s="39" t="s">
        <v>72</v>
      </c>
      <c r="E250" s="40"/>
      <c r="F250" s="40"/>
      <c r="G250" s="40"/>
      <c r="H250" s="40"/>
      <c r="I250" s="40"/>
      <c r="J250" s="40"/>
      <c r="K250" s="40"/>
      <c r="L250" s="40"/>
      <c r="M250" s="40"/>
      <c r="N250" s="40"/>
      <c r="O250" s="46">
        <v>-127.7</v>
      </c>
      <c r="P250" s="46">
        <f>-266.5-O250</f>
        <v>-138.80000000000001</v>
      </c>
      <c r="Q250" s="46">
        <v>-154.9</v>
      </c>
      <c r="R250" s="46">
        <f>-309.7-Q250</f>
        <v>-154.79999999999998</v>
      </c>
      <c r="S250" s="46">
        <v>-150.69999999999999</v>
      </c>
      <c r="T250" s="46">
        <f>-304.6-S250</f>
        <v>-153.90000000000003</v>
      </c>
      <c r="U250" s="46">
        <v>-158.5</v>
      </c>
      <c r="V250" s="46">
        <f>-318.9-U250</f>
        <v>-160.39999999999998</v>
      </c>
      <c r="W250" s="40">
        <f t="shared" ref="W250:AN250" si="94">W235+W240</f>
        <v>-164.03280000000001</v>
      </c>
      <c r="X250" s="40">
        <f t="shared" si="94"/>
        <v>-164.2688</v>
      </c>
      <c r="Y250" s="40">
        <f t="shared" si="94"/>
        <v>-165.6464</v>
      </c>
      <c r="Z250" s="40">
        <f t="shared" si="94"/>
        <v>-167.632476</v>
      </c>
      <c r="AA250" s="40">
        <f t="shared" si="94"/>
        <v>-171.360952</v>
      </c>
      <c r="AB250" s="40">
        <f t="shared" si="94"/>
        <v>-173.41579844</v>
      </c>
      <c r="AC250" s="40">
        <f t="shared" si="94"/>
        <v>-177.27418463999999</v>
      </c>
      <c r="AD250" s="40">
        <f t="shared" si="94"/>
        <v>-179.40020821399997</v>
      </c>
      <c r="AE250" s="40">
        <f t="shared" si="94"/>
        <v>-183.39302372919997</v>
      </c>
      <c r="AF250" s="40">
        <f t="shared" si="94"/>
        <v>-185.59271558579596</v>
      </c>
      <c r="AG250" s="40">
        <f t="shared" si="94"/>
        <v>-189.72463676669398</v>
      </c>
      <c r="AH250" s="40">
        <f t="shared" si="94"/>
        <v>-192.00057547422233</v>
      </c>
      <c r="AI250" s="40">
        <f t="shared" si="94"/>
        <v>-196.27644138082292</v>
      </c>
      <c r="AJ250" s="40">
        <f t="shared" si="94"/>
        <v>-198.63129599660161</v>
      </c>
      <c r="AK250" s="40">
        <f t="shared" si="94"/>
        <v>-203.056114063341</v>
      </c>
      <c r="AL250" s="40">
        <f t="shared" si="94"/>
        <v>-205.4926473106616</v>
      </c>
      <c r="AM250" s="40">
        <f t="shared" si="94"/>
        <v>-210.07159920869736</v>
      </c>
      <c r="AN250" s="40">
        <f t="shared" si="94"/>
        <v>-212.59267076534985</v>
      </c>
    </row>
    <row r="251" spans="2:40" outlineLevel="1">
      <c r="B251" s="126" t="s">
        <v>77</v>
      </c>
      <c r="C251" s="39" t="s">
        <v>72</v>
      </c>
      <c r="E251" s="40"/>
      <c r="F251" s="40"/>
      <c r="G251" s="40"/>
      <c r="H251" s="40"/>
      <c r="I251" s="40"/>
      <c r="J251" s="40"/>
      <c r="K251" s="40"/>
      <c r="L251" s="40"/>
      <c r="M251" s="40"/>
      <c r="N251" s="40"/>
      <c r="O251" s="46">
        <v>-19.3</v>
      </c>
      <c r="P251" s="46">
        <f>-38.6-O251</f>
        <v>-19.3</v>
      </c>
      <c r="Q251" s="46">
        <v>-22</v>
      </c>
      <c r="R251" s="46">
        <f>-42-Q251</f>
        <v>-20</v>
      </c>
      <c r="S251" s="46">
        <v>-20.8</v>
      </c>
      <c r="T251" s="46">
        <f>-40.6-S251</f>
        <v>-19.8</v>
      </c>
      <c r="U251" s="46">
        <v>-21.9</v>
      </c>
      <c r="V251" s="46">
        <f>-42.4-U251</f>
        <v>-20.5</v>
      </c>
      <c r="W251" s="40">
        <f t="shared" ref="W251:AN251" si="95">W236+W241</f>
        <v>-20.537068000000001</v>
      </c>
      <c r="X251" s="40">
        <f t="shared" si="95"/>
        <v>-20.546696799999999</v>
      </c>
      <c r="Y251" s="40">
        <f t="shared" si="95"/>
        <v>-20.592931088</v>
      </c>
      <c r="Z251" s="40">
        <f t="shared" si="95"/>
        <v>-20.598696568000001</v>
      </c>
      <c r="AA251" s="40">
        <f t="shared" si="95"/>
        <v>-21.311537100319999</v>
      </c>
      <c r="AB251" s="40">
        <f t="shared" si="95"/>
        <v>-21.30516020568</v>
      </c>
      <c r="AC251" s="40">
        <f t="shared" si="95"/>
        <v>-22.042547248321597</v>
      </c>
      <c r="AD251" s="40">
        <f t="shared" si="95"/>
        <v>-22.036082197816796</v>
      </c>
      <c r="AE251" s="40">
        <f t="shared" si="95"/>
        <v>-22.798866884033163</v>
      </c>
      <c r="AF251" s="40">
        <f t="shared" si="95"/>
        <v>-22.792312241214162</v>
      </c>
      <c r="AG251" s="40">
        <f t="shared" si="95"/>
        <v>-23.581375295010496</v>
      </c>
      <c r="AH251" s="40">
        <f t="shared" si="95"/>
        <v>-23.574729599485352</v>
      </c>
      <c r="AI251" s="40">
        <f t="shared" si="95"/>
        <v>-24.390982365737109</v>
      </c>
      <c r="AJ251" s="40">
        <f t="shared" si="95"/>
        <v>-24.384244132927311</v>
      </c>
      <c r="AK251" s="40">
        <f t="shared" si="95"/>
        <v>-25.228629643389933</v>
      </c>
      <c r="AL251" s="40">
        <f t="shared" si="95"/>
        <v>-25.221797364295117</v>
      </c>
      <c r="AM251" s="40">
        <f t="shared" si="95"/>
        <v>-26.095291440756586</v>
      </c>
      <c r="AN251" s="40">
        <f t="shared" si="95"/>
        <v>-26.08836358172886</v>
      </c>
    </row>
    <row r="252" spans="2:40" outlineLevel="1">
      <c r="B252" s="126" t="s">
        <v>78</v>
      </c>
      <c r="C252" s="39" t="s">
        <v>72</v>
      </c>
      <c r="E252" s="40"/>
      <c r="F252" s="40"/>
      <c r="G252" s="40"/>
      <c r="H252" s="40"/>
      <c r="I252" s="40"/>
      <c r="J252" s="40"/>
      <c r="K252" s="40"/>
      <c r="L252" s="40"/>
      <c r="M252" s="40"/>
      <c r="N252" s="40"/>
      <c r="O252" s="46">
        <v>-109.2</v>
      </c>
      <c r="P252" s="46">
        <f>-213.7-O252</f>
        <v>-104.49999999999999</v>
      </c>
      <c r="Q252" s="46">
        <v>-98.6</v>
      </c>
      <c r="R252" s="46">
        <f>-197.3-Q252</f>
        <v>-98.700000000000017</v>
      </c>
      <c r="S252" s="46">
        <v>-101.6</v>
      </c>
      <c r="T252" s="46">
        <f>-200.9-S252</f>
        <v>-99.300000000000011</v>
      </c>
      <c r="U252" s="46">
        <v>-114.7</v>
      </c>
      <c r="V252" s="46">
        <f>-223.8-U252</f>
        <v>-109.10000000000001</v>
      </c>
      <c r="W252" s="40">
        <f t="shared" ref="W252:AN252" si="96">W237+W242</f>
        <v>-110.29949999999999</v>
      </c>
      <c r="X252" s="40">
        <f t="shared" si="96"/>
        <v>-110.503</v>
      </c>
      <c r="Y252" s="40">
        <f t="shared" si="96"/>
        <v>-103.0795</v>
      </c>
      <c r="Z252" s="40">
        <f t="shared" si="96"/>
        <v>-103.09208</v>
      </c>
      <c r="AA252" s="40">
        <f t="shared" si="96"/>
        <v>-105.65797999999999</v>
      </c>
      <c r="AB252" s="40">
        <f t="shared" si="96"/>
        <v>-105.67106319999999</v>
      </c>
      <c r="AC252" s="40">
        <f t="shared" si="96"/>
        <v>-109.6959172</v>
      </c>
      <c r="AD252" s="40">
        <f t="shared" si="96"/>
        <v>-109.70952372799999</v>
      </c>
      <c r="AE252" s="40">
        <f t="shared" si="96"/>
        <v>-113.89554396799998</v>
      </c>
      <c r="AF252" s="40">
        <f t="shared" si="96"/>
        <v>-113.90969475711998</v>
      </c>
      <c r="AG252" s="40">
        <f t="shared" si="96"/>
        <v>-118.26373983651999</v>
      </c>
      <c r="AH252" s="40">
        <f t="shared" si="96"/>
        <v>-118.27845665720479</v>
      </c>
      <c r="AI252" s="40">
        <f t="shared" si="96"/>
        <v>-122.80769829324377</v>
      </c>
      <c r="AJ252" s="40">
        <f t="shared" si="96"/>
        <v>-122.82300378675598</v>
      </c>
      <c r="AK252" s="40">
        <f t="shared" si="96"/>
        <v>-126.898682806778</v>
      </c>
      <c r="AL252" s="40">
        <f t="shared" si="96"/>
        <v>-126.91460052003069</v>
      </c>
      <c r="AM252" s="40">
        <f t="shared" si="96"/>
        <v>-131.12974700899915</v>
      </c>
      <c r="AN252" s="40">
        <f t="shared" si="96"/>
        <v>-131.14630143078193</v>
      </c>
    </row>
    <row r="253" spans="2:40" outlineLevel="1">
      <c r="B253" s="54"/>
      <c r="G253" s="29"/>
      <c r="H253" s="29"/>
      <c r="I253" s="29"/>
      <c r="J253" s="29"/>
      <c r="K253" s="29"/>
      <c r="L253" s="29"/>
      <c r="M253" s="29"/>
      <c r="N253" s="48"/>
      <c r="O253" s="29"/>
      <c r="P253" s="48"/>
      <c r="Q253" s="48"/>
      <c r="R253" s="100"/>
      <c r="S253" s="91"/>
      <c r="T253" s="100"/>
      <c r="U253" s="91"/>
      <c r="V253" s="100"/>
      <c r="W253" s="91"/>
      <c r="X253" s="91"/>
      <c r="Y253" s="91"/>
      <c r="Z253" s="91"/>
      <c r="AA253" s="91"/>
      <c r="AB253" s="91"/>
      <c r="AC253" s="91"/>
      <c r="AD253" s="91"/>
      <c r="AE253" s="91"/>
      <c r="AF253" s="91"/>
      <c r="AG253" s="91"/>
      <c r="AH253" s="91"/>
      <c r="AI253" s="91"/>
      <c r="AJ253" s="91"/>
      <c r="AK253" s="91"/>
      <c r="AL253" s="91"/>
      <c r="AM253" s="91"/>
      <c r="AN253" s="91"/>
    </row>
    <row r="254" spans="2:40" outlineLevel="1">
      <c r="B254" s="129" t="s">
        <v>26</v>
      </c>
      <c r="C254" s="104"/>
    </row>
    <row r="255" spans="2:40" outlineLevel="1">
      <c r="B255" s="95" t="s">
        <v>70</v>
      </c>
      <c r="C255" s="39" t="s">
        <v>72</v>
      </c>
      <c r="E255" s="46"/>
      <c r="F255" s="46"/>
      <c r="G255" s="46"/>
      <c r="H255" s="46"/>
      <c r="I255" s="46"/>
      <c r="J255" s="46"/>
      <c r="K255" s="46"/>
      <c r="L255" s="46"/>
      <c r="M255" s="46"/>
      <c r="N255" s="46"/>
      <c r="O255" s="46">
        <v>130.6</v>
      </c>
      <c r="P255" s="46">
        <f>251.5-O255</f>
        <v>120.9</v>
      </c>
      <c r="Q255" s="46">
        <v>125.7</v>
      </c>
      <c r="R255" s="46">
        <f>237-Q255</f>
        <v>111.3</v>
      </c>
      <c r="S255" s="46">
        <v>107.7</v>
      </c>
      <c r="T255" s="46">
        <f>209.6-S255</f>
        <v>101.89999999999999</v>
      </c>
      <c r="U255" s="46">
        <v>89.6</v>
      </c>
      <c r="V255" s="46">
        <f>179.8-U255</f>
        <v>90.200000000000017</v>
      </c>
      <c r="W255" s="40">
        <f t="shared" ref="W255:AN255" si="97">W224+W235+W240</f>
        <v>91.967199999999991</v>
      </c>
      <c r="X255" s="40">
        <f t="shared" si="97"/>
        <v>93.731200000000001</v>
      </c>
      <c r="Y255" s="40">
        <f t="shared" si="97"/>
        <v>106.35360000000003</v>
      </c>
      <c r="Z255" s="40">
        <f t="shared" si="97"/>
        <v>103.79252399999996</v>
      </c>
      <c r="AA255" s="40">
        <f t="shared" si="97"/>
        <v>108.94904799999998</v>
      </c>
      <c r="AB255" s="40">
        <f t="shared" si="97"/>
        <v>106.28195156000007</v>
      </c>
      <c r="AC255" s="40">
        <f t="shared" si="97"/>
        <v>111.63051535999998</v>
      </c>
      <c r="AD255" s="40">
        <f t="shared" si="97"/>
        <v>108.85362628600004</v>
      </c>
      <c r="AE255" s="40">
        <f t="shared" si="97"/>
        <v>114.40132727080001</v>
      </c>
      <c r="AF255" s="40">
        <f t="shared" si="97"/>
        <v>111.51074354920408</v>
      </c>
      <c r="AG255" s="40">
        <f t="shared" si="97"/>
        <v>117.2649461033061</v>
      </c>
      <c r="AH255" s="40">
        <f t="shared" si="97"/>
        <v>114.25663145402768</v>
      </c>
      <c r="AI255" s="40">
        <f t="shared" si="97"/>
        <v>120.2249772182771</v>
      </c>
      <c r="AJ255" s="40">
        <f t="shared" si="97"/>
        <v>117.09475649501599</v>
      </c>
      <c r="AK255" s="40">
        <f t="shared" si="97"/>
        <v>123.2851750243461</v>
      </c>
      <c r="AL255" s="40">
        <f t="shared" si="97"/>
        <v>120.02872945675276</v>
      </c>
      <c r="AM255" s="40">
        <f t="shared" si="97"/>
        <v>126.44944929493184</v>
      </c>
      <c r="AN255" s="40">
        <f t="shared" si="97"/>
        <v>123.06231156719784</v>
      </c>
    </row>
    <row r="256" spans="2:40" outlineLevel="1">
      <c r="B256" s="95" t="s">
        <v>77</v>
      </c>
      <c r="C256" s="39" t="s">
        <v>72</v>
      </c>
      <c r="E256" s="46"/>
      <c r="F256" s="46"/>
      <c r="G256" s="46"/>
      <c r="H256" s="46"/>
      <c r="I256" s="46"/>
      <c r="J256" s="46"/>
      <c r="K256" s="46"/>
      <c r="L256" s="46"/>
      <c r="M256" s="46"/>
      <c r="N256" s="46"/>
      <c r="O256" s="46">
        <v>22.9</v>
      </c>
      <c r="P256" s="46">
        <f>39.3-O256</f>
        <v>16.399999999999999</v>
      </c>
      <c r="Q256" s="46">
        <v>16.7</v>
      </c>
      <c r="R256" s="46">
        <f>35-Q256</f>
        <v>18.3</v>
      </c>
      <c r="S256" s="46">
        <v>17.5</v>
      </c>
      <c r="T256" s="46">
        <f>33.7-S256</f>
        <v>16.200000000000003</v>
      </c>
      <c r="U256" s="46">
        <v>15.5</v>
      </c>
      <c r="V256" s="46">
        <f>31.4-U256</f>
        <v>15.899999999999999</v>
      </c>
      <c r="W256" s="40">
        <f t="shared" ref="W256:AN256" si="98">W225+W236+W241</f>
        <v>17.027932</v>
      </c>
      <c r="X256" s="40">
        <f t="shared" si="98"/>
        <v>16.722303199999999</v>
      </c>
      <c r="Y256" s="40">
        <f t="shared" si="98"/>
        <v>18.155608911999991</v>
      </c>
      <c r="Z256" s="40">
        <f t="shared" si="98"/>
        <v>17.771993431999995</v>
      </c>
      <c r="AA256" s="40">
        <f t="shared" si="98"/>
        <v>18.772723499679998</v>
      </c>
      <c r="AB256" s="40">
        <f t="shared" si="98"/>
        <v>18.123996694320006</v>
      </c>
      <c r="AC256" s="40">
        <f t="shared" si="98"/>
        <v>19.155119029678403</v>
      </c>
      <c r="AD256" s="40">
        <f t="shared" si="98"/>
        <v>18.483812671183202</v>
      </c>
      <c r="AE256" s="40">
        <f t="shared" si="98"/>
        <v>19.546369620906823</v>
      </c>
      <c r="AF256" s="40">
        <f t="shared" si="98"/>
        <v>18.851622712475844</v>
      </c>
      <c r="AG256" s="40">
        <f t="shared" si="98"/>
        <v>19.946694690063701</v>
      </c>
      <c r="AH256" s="40">
        <f t="shared" si="98"/>
        <v>19.227612471581558</v>
      </c>
      <c r="AI256" s="40">
        <f t="shared" si="98"/>
        <v>20.35631940148517</v>
      </c>
      <c r="AJ256" s="40">
        <f t="shared" si="98"/>
        <v>19.61197201339586</v>
      </c>
      <c r="AK256" s="40">
        <f t="shared" si="98"/>
        <v>20.775474831381235</v>
      </c>
      <c r="AL256" s="40">
        <f t="shared" si="98"/>
        <v>20.004895925490469</v>
      </c>
      <c r="AM256" s="40">
        <f t="shared" si="98"/>
        <v>21.204398137450077</v>
      </c>
      <c r="AN256" s="40">
        <f t="shared" si="98"/>
        <v>20.406583432543648</v>
      </c>
    </row>
    <row r="257" spans="2:40" outlineLevel="1">
      <c r="B257" s="95" t="s">
        <v>78</v>
      </c>
      <c r="C257" s="39" t="s">
        <v>72</v>
      </c>
      <c r="E257" s="46"/>
      <c r="F257" s="46"/>
      <c r="G257" s="46"/>
      <c r="H257" s="46"/>
      <c r="I257" s="46"/>
      <c r="J257" s="46"/>
      <c r="K257" s="46"/>
      <c r="L257" s="46"/>
      <c r="M257" s="46"/>
      <c r="N257" s="46"/>
      <c r="O257" s="46">
        <v>20.7</v>
      </c>
      <c r="P257" s="46">
        <f>36.1-O257</f>
        <v>15.400000000000002</v>
      </c>
      <c r="Q257" s="46">
        <v>18.2</v>
      </c>
      <c r="R257" s="46">
        <f>39.6-Q257</f>
        <v>21.400000000000002</v>
      </c>
      <c r="S257" s="46">
        <v>21.6</v>
      </c>
      <c r="T257" s="46">
        <f>31.1-S257</f>
        <v>9.5</v>
      </c>
      <c r="U257" s="46">
        <v>9.6999999999999993</v>
      </c>
      <c r="V257" s="46">
        <f>22.8-U257</f>
        <v>13.100000000000001</v>
      </c>
      <c r="W257" s="40">
        <f t="shared" ref="W257:AN257" si="99">W226+W237+W242</f>
        <v>14.700500000000005</v>
      </c>
      <c r="X257" s="40">
        <f t="shared" si="99"/>
        <v>13.596999999999994</v>
      </c>
      <c r="Y257" s="40">
        <f t="shared" si="99"/>
        <v>9.9205000000000041</v>
      </c>
      <c r="Z257" s="40">
        <f t="shared" si="99"/>
        <v>7.9759200000000021</v>
      </c>
      <c r="AA257" s="40">
        <f t="shared" si="99"/>
        <v>13.242020000000011</v>
      </c>
      <c r="AB257" s="40">
        <f t="shared" si="99"/>
        <v>11.219656799999996</v>
      </c>
      <c r="AC257" s="40">
        <f t="shared" si="99"/>
        <v>15.422882799999996</v>
      </c>
      <c r="AD257" s="40">
        <f t="shared" si="99"/>
        <v>13.319625072000008</v>
      </c>
      <c r="AE257" s="40">
        <f t="shared" si="99"/>
        <v>17.778576032000032</v>
      </c>
      <c r="AF257" s="40">
        <f t="shared" si="99"/>
        <v>15.591187994880016</v>
      </c>
      <c r="AG257" s="40">
        <f t="shared" si="99"/>
        <v>20.320947043480032</v>
      </c>
      <c r="AH257" s="40">
        <f t="shared" si="99"/>
        <v>18.046063484875233</v>
      </c>
      <c r="AI257" s="40">
        <f t="shared" si="99"/>
        <v>23.062594266756264</v>
      </c>
      <c r="AJ257" s="40">
        <f t="shared" si="99"/>
        <v>20.69671536580725</v>
      </c>
      <c r="AK257" s="40">
        <f t="shared" si="99"/>
        <v>23.213933018278013</v>
      </c>
      <c r="AL257" s="40">
        <f t="shared" si="99"/>
        <v>20.753418961291104</v>
      </c>
      <c r="AM257" s="40">
        <f t="shared" si="99"/>
        <v>23.367183742258817</v>
      </c>
      <c r="AN257" s="40">
        <f t="shared" si="99"/>
        <v>20.808249122992379</v>
      </c>
    </row>
    <row r="258" spans="2:40" outlineLevel="1">
      <c r="B258" s="95"/>
      <c r="C258" s="39"/>
      <c r="E258" s="46"/>
      <c r="F258" s="46"/>
      <c r="G258" s="46"/>
      <c r="H258" s="46"/>
      <c r="I258" s="46"/>
      <c r="J258" s="46"/>
      <c r="K258" s="46"/>
      <c r="L258" s="46"/>
      <c r="M258" s="46"/>
      <c r="N258" s="46"/>
      <c r="O258" s="46"/>
      <c r="P258" s="46"/>
      <c r="Q258" s="46"/>
      <c r="R258" s="46"/>
      <c r="S258" s="46"/>
      <c r="T258" s="40"/>
      <c r="U258" s="40"/>
      <c r="V258" s="40"/>
      <c r="W258" s="40"/>
      <c r="X258" s="40"/>
      <c r="Y258" s="40"/>
      <c r="Z258" s="40"/>
      <c r="AA258" s="40"/>
      <c r="AB258" s="40"/>
      <c r="AC258" s="40"/>
      <c r="AD258" s="40"/>
      <c r="AE258" s="40"/>
      <c r="AF258" s="40"/>
      <c r="AG258" s="40"/>
      <c r="AH258" s="40"/>
      <c r="AI258" s="40"/>
      <c r="AJ258" s="40"/>
      <c r="AK258" s="40"/>
      <c r="AL258" s="40"/>
      <c r="AM258" s="40"/>
      <c r="AN258" s="40"/>
    </row>
    <row r="259" spans="2:40" outlineLevel="1">
      <c r="B259" s="102" t="s">
        <v>127</v>
      </c>
      <c r="C259" s="104"/>
    </row>
    <row r="260" spans="2:40" outlineLevel="1">
      <c r="B260" s="96" t="s">
        <v>70</v>
      </c>
      <c r="C260" s="39" t="s">
        <v>72</v>
      </c>
      <c r="E260" s="29"/>
      <c r="F260" s="29"/>
      <c r="G260" s="29"/>
      <c r="H260" s="29"/>
      <c r="I260" s="29"/>
      <c r="J260" s="29"/>
      <c r="K260" s="29"/>
      <c r="L260" s="29"/>
      <c r="M260" s="29"/>
      <c r="N260" s="29"/>
      <c r="O260" s="29">
        <f t="shared" ref="O260:AN260" si="100">O255/O224</f>
        <v>0.50561362756484707</v>
      </c>
      <c r="P260" s="29">
        <f t="shared" si="100"/>
        <v>0.46553715825953018</v>
      </c>
      <c r="Q260" s="29">
        <f t="shared" si="100"/>
        <v>0.44796863863150388</v>
      </c>
      <c r="R260" s="29">
        <f t="shared" si="100"/>
        <v>0.41826381059751977</v>
      </c>
      <c r="S260" s="29">
        <f t="shared" si="100"/>
        <v>0.41695702671312429</v>
      </c>
      <c r="T260" s="29">
        <f t="shared" si="100"/>
        <v>0.39804687500000008</v>
      </c>
      <c r="U260" s="29">
        <f t="shared" si="100"/>
        <v>0.36114469971785568</v>
      </c>
      <c r="V260" s="29">
        <f t="shared" si="100"/>
        <v>0.3600798403193613</v>
      </c>
      <c r="W260" s="29">
        <f t="shared" si="100"/>
        <v>0.35924687499999997</v>
      </c>
      <c r="X260" s="29">
        <f t="shared" si="100"/>
        <v>0.36329922480620158</v>
      </c>
      <c r="Y260" s="29">
        <f t="shared" si="100"/>
        <v>0.39100588235294126</v>
      </c>
      <c r="Z260" s="29">
        <f t="shared" si="100"/>
        <v>0.38239854103343457</v>
      </c>
      <c r="AA260" s="29">
        <f t="shared" si="100"/>
        <v>0.38867342584995174</v>
      </c>
      <c r="AB260" s="29">
        <f t="shared" si="100"/>
        <v>0.37998858253239454</v>
      </c>
      <c r="AC260" s="29">
        <f t="shared" si="100"/>
        <v>0.38639217485904515</v>
      </c>
      <c r="AD260" s="29">
        <f t="shared" si="100"/>
        <v>0.37763114747394633</v>
      </c>
      <c r="AE260" s="29">
        <f t="shared" si="100"/>
        <v>0.38416218066809471</v>
      </c>
      <c r="AF260" s="29">
        <f t="shared" si="100"/>
        <v>0.37532630509877374</v>
      </c>
      <c r="AG260" s="29">
        <f t="shared" si="100"/>
        <v>0.38198346995039223</v>
      </c>
      <c r="AH260" s="29">
        <f t="shared" si="100"/>
        <v>0.37307409872903252</v>
      </c>
      <c r="AI260" s="29">
        <f t="shared" si="100"/>
        <v>0.37985604535492268</v>
      </c>
      <c r="AJ260" s="29">
        <f t="shared" si="100"/>
        <v>0.37087454636998896</v>
      </c>
      <c r="AK260" s="29">
        <f t="shared" si="100"/>
        <v>0.37777988610941499</v>
      </c>
      <c r="AL260" s="29">
        <f t="shared" si="100"/>
        <v>0.36872764132634367</v>
      </c>
      <c r="AM260" s="29">
        <f t="shared" si="100"/>
        <v>0.3757549486345671</v>
      </c>
      <c r="AN260" s="29">
        <f t="shared" si="100"/>
        <v>0.36663335283155363</v>
      </c>
    </row>
    <row r="261" spans="2:40" outlineLevel="1">
      <c r="B261" s="96" t="s">
        <v>77</v>
      </c>
      <c r="C261" s="39" t="s">
        <v>72</v>
      </c>
      <c r="E261" s="29"/>
      <c r="F261" s="29"/>
      <c r="G261" s="29"/>
      <c r="H261" s="29"/>
      <c r="I261" s="29"/>
      <c r="J261" s="29"/>
      <c r="K261" s="29"/>
      <c r="L261" s="29"/>
      <c r="M261" s="29"/>
      <c r="N261" s="29"/>
      <c r="O261" s="29">
        <f t="shared" ref="O261:AN261" si="101">O256/O225</f>
        <v>0.54265402843601884</v>
      </c>
      <c r="P261" s="29">
        <f t="shared" si="101"/>
        <v>0.45938375350140048</v>
      </c>
      <c r="Q261" s="29">
        <f t="shared" si="101"/>
        <v>0.4315245478036176</v>
      </c>
      <c r="R261" s="29">
        <f t="shared" si="101"/>
        <v>0.47656249999999994</v>
      </c>
      <c r="S261" s="29">
        <f t="shared" si="101"/>
        <v>0.45691906005221933</v>
      </c>
      <c r="T261" s="29">
        <f t="shared" si="101"/>
        <v>0.45125348189415043</v>
      </c>
      <c r="U261" s="29">
        <f t="shared" si="101"/>
        <v>0.41443850267379678</v>
      </c>
      <c r="V261" s="29">
        <f t="shared" si="101"/>
        <v>0.43561643835616426</v>
      </c>
      <c r="W261" s="29">
        <f t="shared" si="101"/>
        <v>0.45329247970185016</v>
      </c>
      <c r="X261" s="29">
        <f t="shared" si="101"/>
        <v>0.44869202822721294</v>
      </c>
      <c r="Y261" s="29">
        <f t="shared" si="101"/>
        <v>0.46854949662619533</v>
      </c>
      <c r="Z261" s="29">
        <f t="shared" si="101"/>
        <v>0.46316585477092009</v>
      </c>
      <c r="AA261" s="29">
        <f t="shared" si="101"/>
        <v>0.46833154007785294</v>
      </c>
      <c r="AB261" s="29">
        <f t="shared" si="101"/>
        <v>0.45965975737918974</v>
      </c>
      <c r="AC261" s="29">
        <f t="shared" si="101"/>
        <v>0.46495641040491276</v>
      </c>
      <c r="AD261" s="29">
        <f t="shared" si="101"/>
        <v>0.45616635311964643</v>
      </c>
      <c r="AE261" s="29">
        <f t="shared" si="101"/>
        <v>0.46159547647411409</v>
      </c>
      <c r="AF261" s="29">
        <f t="shared" si="101"/>
        <v>0.45268591292921107</v>
      </c>
      <c r="AG261" s="29">
        <f t="shared" si="101"/>
        <v>0.45824900338800767</v>
      </c>
      <c r="AH261" s="29">
        <f t="shared" si="101"/>
        <v>0.4492187002210527</v>
      </c>
      <c r="AI261" s="29">
        <f t="shared" si="101"/>
        <v>0.45491724858360777</v>
      </c>
      <c r="AJ261" s="29">
        <f t="shared" si="101"/>
        <v>0.44576497097318818</v>
      </c>
      <c r="AK261" s="29">
        <f t="shared" si="101"/>
        <v>0.45160046192779574</v>
      </c>
      <c r="AL261" s="29">
        <f t="shared" si="101"/>
        <v>0.442324973822673</v>
      </c>
      <c r="AM261" s="29">
        <f t="shared" si="101"/>
        <v>0.44829888581805838</v>
      </c>
      <c r="AN261" s="29">
        <f t="shared" si="101"/>
        <v>0.43889895016504604</v>
      </c>
    </row>
    <row r="262" spans="2:40" outlineLevel="1">
      <c r="B262" s="96" t="s">
        <v>78</v>
      </c>
      <c r="C262" s="39" t="s">
        <v>90</v>
      </c>
      <c r="E262" s="29"/>
      <c r="F262" s="29"/>
      <c r="G262" s="29"/>
      <c r="H262" s="29"/>
      <c r="I262" s="29"/>
      <c r="J262" s="29"/>
      <c r="K262" s="29"/>
      <c r="L262" s="29"/>
      <c r="M262" s="29"/>
      <c r="N262" s="29"/>
      <c r="O262" s="29">
        <f t="shared" ref="O262:AN262" si="102">O257/O226</f>
        <v>0.15935334872979218</v>
      </c>
      <c r="P262" s="29">
        <f t="shared" si="102"/>
        <v>0.12844036697247707</v>
      </c>
      <c r="Q262" s="29">
        <f t="shared" si="102"/>
        <v>0.15582289897641133</v>
      </c>
      <c r="R262" s="29">
        <f t="shared" si="102"/>
        <v>0.17848097360802639</v>
      </c>
      <c r="S262" s="29">
        <f t="shared" si="102"/>
        <v>0.17532467532467533</v>
      </c>
      <c r="T262" s="29">
        <f t="shared" si="102"/>
        <v>8.7316176470588244E-2</v>
      </c>
      <c r="U262" s="29">
        <f t="shared" si="102"/>
        <v>7.7911646586345376E-2</v>
      </c>
      <c r="V262" s="29">
        <f t="shared" si="102"/>
        <v>0.1072891072891073</v>
      </c>
      <c r="W262" s="29">
        <f t="shared" si="102"/>
        <v>0.11760400000000004</v>
      </c>
      <c r="X262" s="29">
        <f t="shared" si="102"/>
        <v>0.10956486704270746</v>
      </c>
      <c r="Y262" s="29">
        <f t="shared" si="102"/>
        <v>8.779203539823012E-2</v>
      </c>
      <c r="Z262" s="29">
        <f t="shared" si="102"/>
        <v>7.1811142723376686E-2</v>
      </c>
      <c r="AA262" s="29">
        <f t="shared" si="102"/>
        <v>0.11137106812447443</v>
      </c>
      <c r="AB262" s="29">
        <f t="shared" si="102"/>
        <v>9.5984153404136754E-2</v>
      </c>
      <c r="AC262" s="29">
        <f t="shared" si="102"/>
        <v>0.12326591047868105</v>
      </c>
      <c r="AD262" s="29">
        <f t="shared" si="102"/>
        <v>0.1082639781053253</v>
      </c>
      <c r="AE262" s="29">
        <f t="shared" si="102"/>
        <v>0.13501951660660447</v>
      </c>
      <c r="AF262" s="29">
        <f t="shared" si="102"/>
        <v>0.1203944534087682</v>
      </c>
      <c r="AG262" s="29">
        <f t="shared" si="102"/>
        <v>0.14663198006195205</v>
      </c>
      <c r="AH262" s="29">
        <f t="shared" si="102"/>
        <v>0.13237577118237631</v>
      </c>
      <c r="AI262" s="29">
        <f t="shared" si="102"/>
        <v>0.1581034346473944</v>
      </c>
      <c r="AJ262" s="29">
        <f t="shared" si="102"/>
        <v>0.14420816517768117</v>
      </c>
      <c r="AK262" s="29">
        <f t="shared" si="102"/>
        <v>0.15464345145601854</v>
      </c>
      <c r="AL262" s="29">
        <f t="shared" si="102"/>
        <v>0.14054105306068768</v>
      </c>
      <c r="AM262" s="29">
        <f t="shared" si="102"/>
        <v>0.15124691234080426</v>
      </c>
      <c r="AN262" s="29">
        <f t="shared" si="102"/>
        <v>0.13693732137116005</v>
      </c>
    </row>
    <row r="263" spans="2:40" outlineLevel="1">
      <c r="B263" s="96"/>
      <c r="C263" s="3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row>
    <row r="264" spans="2:40" outlineLevel="1">
      <c r="B264" s="129" t="s">
        <v>52</v>
      </c>
      <c r="C264" s="104"/>
    </row>
    <row r="265" spans="2:40" outlineLevel="1">
      <c r="B265" s="95" t="s">
        <v>70</v>
      </c>
      <c r="C265" s="39" t="s">
        <v>72</v>
      </c>
      <c r="E265" s="46"/>
      <c r="F265" s="46"/>
      <c r="G265" s="46"/>
      <c r="H265" s="46"/>
      <c r="I265" s="46"/>
      <c r="J265" s="46"/>
      <c r="K265" s="46"/>
      <c r="L265" s="46"/>
      <c r="M265" s="46"/>
      <c r="N265" s="46"/>
      <c r="O265" s="46">
        <v>-19.2</v>
      </c>
      <c r="P265" s="46">
        <f>-38-O265</f>
        <v>-18.8</v>
      </c>
      <c r="Q265" s="46">
        <v>-18.899999999999999</v>
      </c>
      <c r="R265" s="46">
        <f>-40.7-Q265</f>
        <v>-21.800000000000004</v>
      </c>
      <c r="S265" s="46">
        <v>-23.8</v>
      </c>
      <c r="T265" s="46">
        <f>-50.1-S265</f>
        <v>-26.3</v>
      </c>
      <c r="U265" s="46">
        <v>-26.2</v>
      </c>
      <c r="V265" s="46">
        <f>-57.7-U265</f>
        <v>-31.500000000000004</v>
      </c>
      <c r="W265" s="40"/>
      <c r="X265" s="40"/>
      <c r="Y265" s="40"/>
      <c r="Z265" s="40"/>
      <c r="AA265" s="40"/>
      <c r="AB265" s="40"/>
      <c r="AC265" s="40"/>
      <c r="AD265" s="40"/>
      <c r="AE265" s="40"/>
      <c r="AF265" s="40"/>
      <c r="AG265" s="40"/>
      <c r="AH265" s="40"/>
      <c r="AI265" s="40"/>
      <c r="AJ265" s="40"/>
      <c r="AK265" s="40"/>
      <c r="AL265" s="40"/>
      <c r="AM265" s="40"/>
      <c r="AN265" s="40"/>
    </row>
    <row r="266" spans="2:40" outlineLevel="1">
      <c r="B266" s="95" t="s">
        <v>77</v>
      </c>
      <c r="C266" s="39" t="s">
        <v>72</v>
      </c>
      <c r="E266" s="46"/>
      <c r="F266" s="46"/>
      <c r="G266" s="46"/>
      <c r="H266" s="46"/>
      <c r="I266" s="46"/>
      <c r="J266" s="46"/>
      <c r="K266" s="46"/>
      <c r="L266" s="46"/>
      <c r="M266" s="46"/>
      <c r="N266" s="46"/>
      <c r="O266" s="46">
        <v>-2.7</v>
      </c>
      <c r="P266" s="46">
        <f>-5.4-O266</f>
        <v>-2.7</v>
      </c>
      <c r="Q266" s="46">
        <v>-2.6</v>
      </c>
      <c r="R266" s="46">
        <f>-5.4-Q266</f>
        <v>-2.8000000000000003</v>
      </c>
      <c r="S266" s="46">
        <v>-2.7</v>
      </c>
      <c r="T266" s="46">
        <f>-5.5-S266</f>
        <v>-2.8</v>
      </c>
      <c r="U266" s="46">
        <v>-2.8</v>
      </c>
      <c r="V266" s="46">
        <f>-5.6-U266</f>
        <v>-2.8</v>
      </c>
      <c r="W266" s="40"/>
      <c r="X266" s="40"/>
      <c r="Y266" s="40"/>
      <c r="Z266" s="40"/>
      <c r="AA266" s="40"/>
      <c r="AB266" s="40"/>
      <c r="AC266" s="40"/>
      <c r="AD266" s="40"/>
      <c r="AE266" s="40"/>
      <c r="AF266" s="40"/>
      <c r="AG266" s="40"/>
      <c r="AH266" s="40"/>
      <c r="AI266" s="40"/>
      <c r="AJ266" s="40"/>
      <c r="AK266" s="40"/>
      <c r="AL266" s="40"/>
      <c r="AM266" s="40"/>
      <c r="AN266" s="40"/>
    </row>
    <row r="267" spans="2:40" outlineLevel="1">
      <c r="B267" s="95" t="s">
        <v>78</v>
      </c>
      <c r="C267" s="39" t="s">
        <v>72</v>
      </c>
      <c r="E267" s="46"/>
      <c r="F267" s="46"/>
      <c r="G267" s="46"/>
      <c r="H267" s="46"/>
      <c r="I267" s="46"/>
      <c r="J267" s="46"/>
      <c r="K267" s="46"/>
      <c r="L267" s="46"/>
      <c r="M267" s="46"/>
      <c r="N267" s="46"/>
      <c r="O267" s="46">
        <v>-17</v>
      </c>
      <c r="P267" s="46">
        <f>-33.6-O267</f>
        <v>-16.600000000000001</v>
      </c>
      <c r="Q267" s="46">
        <v>-15.9</v>
      </c>
      <c r="R267" s="46">
        <f>-32.2-Q267</f>
        <v>-16.300000000000004</v>
      </c>
      <c r="S267" s="46">
        <v>-12.4</v>
      </c>
      <c r="T267" s="46">
        <f>-24.9-S267</f>
        <v>-12.499999999999998</v>
      </c>
      <c r="U267" s="46">
        <v>-12.4</v>
      </c>
      <c r="V267" s="46">
        <f>-24.4-U267</f>
        <v>-11.999999999999998</v>
      </c>
      <c r="W267" s="40"/>
      <c r="X267" s="40"/>
      <c r="Y267" s="40"/>
      <c r="Z267" s="40"/>
      <c r="AA267" s="40"/>
      <c r="AB267" s="40"/>
      <c r="AC267" s="40"/>
      <c r="AD267" s="40"/>
      <c r="AE267" s="40"/>
      <c r="AF267" s="40"/>
      <c r="AG267" s="40"/>
      <c r="AH267" s="40"/>
      <c r="AI267" s="40"/>
      <c r="AJ267" s="40"/>
      <c r="AK267" s="40"/>
      <c r="AL267" s="40"/>
      <c r="AM267" s="40"/>
      <c r="AN267" s="40"/>
    </row>
    <row r="268" spans="2:40" outlineLevel="1">
      <c r="B268" s="96"/>
      <c r="C268" s="3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row>
    <row r="269" spans="2:40" outlineLevel="1">
      <c r="B269" s="129" t="s">
        <v>128</v>
      </c>
      <c r="C269" s="104"/>
    </row>
    <row r="270" spans="2:40" outlineLevel="1">
      <c r="B270" s="95" t="s">
        <v>70</v>
      </c>
      <c r="C270" s="39" t="s">
        <v>72</v>
      </c>
      <c r="E270" s="46"/>
      <c r="F270" s="46"/>
      <c r="G270" s="46"/>
      <c r="H270" s="46"/>
      <c r="I270" s="46"/>
      <c r="J270" s="46"/>
      <c r="K270" s="46"/>
      <c r="L270" s="46"/>
      <c r="M270" s="46"/>
      <c r="N270" s="46"/>
      <c r="O270" s="46">
        <v>111.3</v>
      </c>
      <c r="P270" s="46">
        <f>213.5-O270</f>
        <v>102.2</v>
      </c>
      <c r="Q270" s="46">
        <v>106.8</v>
      </c>
      <c r="R270" s="46">
        <f>196.3-Q270</f>
        <v>89.500000000000014</v>
      </c>
      <c r="S270" s="46">
        <v>83.9</v>
      </c>
      <c r="T270" s="46">
        <f>159.5-S270</f>
        <v>75.599999999999994</v>
      </c>
      <c r="U270" s="46">
        <v>63.4</v>
      </c>
      <c r="V270" s="46">
        <f>122.1-U270</f>
        <v>58.699999999999996</v>
      </c>
      <c r="W270" s="40"/>
      <c r="X270" s="40"/>
      <c r="Y270" s="40"/>
      <c r="Z270" s="40"/>
      <c r="AA270" s="40"/>
      <c r="AB270" s="40"/>
      <c r="AC270" s="40"/>
      <c r="AD270" s="40"/>
      <c r="AE270" s="40"/>
      <c r="AF270" s="40"/>
      <c r="AG270" s="40"/>
      <c r="AH270" s="40"/>
      <c r="AI270" s="40"/>
      <c r="AJ270" s="40"/>
      <c r="AK270" s="40"/>
      <c r="AL270" s="40"/>
      <c r="AM270" s="40"/>
      <c r="AN270" s="40"/>
    </row>
    <row r="271" spans="2:40" outlineLevel="1">
      <c r="B271" s="95" t="s">
        <v>77</v>
      </c>
      <c r="C271" s="39" t="s">
        <v>72</v>
      </c>
      <c r="E271" s="46"/>
      <c r="F271" s="46"/>
      <c r="G271" s="46"/>
      <c r="H271" s="46"/>
      <c r="I271" s="46"/>
      <c r="J271" s="46"/>
      <c r="K271" s="46"/>
      <c r="L271" s="46"/>
      <c r="M271" s="46"/>
      <c r="N271" s="46"/>
      <c r="O271" s="46">
        <v>20.2</v>
      </c>
      <c r="P271" s="46">
        <f>33.9-O271</f>
        <v>13.7</v>
      </c>
      <c r="Q271" s="46">
        <v>14.1</v>
      </c>
      <c r="R271" s="46">
        <f>29.6-Q271</f>
        <v>15.500000000000002</v>
      </c>
      <c r="S271" s="46">
        <v>14.8</v>
      </c>
      <c r="T271" s="46">
        <f>28.1-S271</f>
        <v>13.3</v>
      </c>
      <c r="U271" s="46">
        <v>12.7</v>
      </c>
      <c r="V271" s="46">
        <f>25.1-U271</f>
        <v>12.400000000000002</v>
      </c>
      <c r="W271" s="40"/>
      <c r="X271" s="40"/>
      <c r="Y271" s="40"/>
      <c r="Z271" s="40"/>
      <c r="AA271" s="40"/>
      <c r="AB271" s="40"/>
      <c r="AC271" s="40"/>
      <c r="AD271" s="40"/>
      <c r="AE271" s="40"/>
      <c r="AF271" s="40"/>
      <c r="AG271" s="40"/>
      <c r="AH271" s="40"/>
      <c r="AI271" s="40"/>
      <c r="AJ271" s="40"/>
      <c r="AK271" s="40"/>
      <c r="AL271" s="40"/>
      <c r="AM271" s="40"/>
      <c r="AN271" s="40"/>
    </row>
    <row r="272" spans="2:40" outlineLevel="1">
      <c r="B272" s="95" t="s">
        <v>78</v>
      </c>
      <c r="C272" s="39" t="s">
        <v>72</v>
      </c>
      <c r="E272" s="46"/>
      <c r="F272" s="46"/>
      <c r="G272" s="46"/>
      <c r="H272" s="46"/>
      <c r="I272" s="46"/>
      <c r="J272" s="46"/>
      <c r="K272" s="46"/>
      <c r="L272" s="46"/>
      <c r="M272" s="46"/>
      <c r="N272" s="46"/>
      <c r="O272" s="46">
        <v>3.8</v>
      </c>
      <c r="P272" s="46">
        <f>2.4-O272</f>
        <v>-1.4</v>
      </c>
      <c r="Q272" s="46">
        <v>2.2999999999999998</v>
      </c>
      <c r="R272" s="46">
        <f>7.4-Q272</f>
        <v>5.1000000000000005</v>
      </c>
      <c r="S272" s="46">
        <v>2.8</v>
      </c>
      <c r="T272" s="46">
        <f>6.2-S272</f>
        <v>3.4000000000000004</v>
      </c>
      <c r="U272" s="46">
        <v>-2.7</v>
      </c>
      <c r="V272" s="46">
        <f>-1.6-U272</f>
        <v>1.1000000000000001</v>
      </c>
      <c r="W272" s="40"/>
      <c r="X272" s="40"/>
      <c r="Y272" s="40"/>
      <c r="Z272" s="40"/>
      <c r="AA272" s="40"/>
      <c r="AB272" s="40"/>
      <c r="AC272" s="40"/>
      <c r="AD272" s="40"/>
      <c r="AE272" s="40"/>
      <c r="AF272" s="40"/>
      <c r="AG272" s="40"/>
      <c r="AH272" s="40"/>
      <c r="AI272" s="40"/>
      <c r="AJ272" s="40"/>
      <c r="AK272" s="40"/>
      <c r="AL272" s="40"/>
      <c r="AM272" s="40"/>
      <c r="AN272" s="40"/>
    </row>
    <row r="273" spans="1:40">
      <c r="B273" s="95"/>
      <c r="C273" s="39"/>
      <c r="E273" s="46"/>
      <c r="F273" s="46"/>
      <c r="G273" s="46"/>
      <c r="H273" s="46"/>
      <c r="I273" s="46"/>
      <c r="J273" s="46"/>
      <c r="K273" s="46"/>
      <c r="L273" s="46"/>
      <c r="M273" s="46"/>
      <c r="N273" s="46"/>
      <c r="O273" s="541"/>
      <c r="P273" s="541"/>
      <c r="Q273" s="46"/>
      <c r="R273" s="541"/>
      <c r="S273" s="46"/>
      <c r="T273" s="40"/>
      <c r="U273" s="40"/>
      <c r="V273" s="40"/>
      <c r="W273" s="40"/>
      <c r="X273" s="40"/>
      <c r="Y273" s="40"/>
      <c r="Z273" s="40"/>
      <c r="AA273" s="40"/>
      <c r="AB273" s="40"/>
      <c r="AC273" s="40"/>
      <c r="AD273" s="40"/>
      <c r="AE273" s="40"/>
      <c r="AF273" s="40"/>
      <c r="AG273" s="40"/>
      <c r="AH273" s="40"/>
      <c r="AI273" s="40"/>
      <c r="AJ273" s="40"/>
      <c r="AK273" s="40"/>
      <c r="AL273" s="40"/>
      <c r="AM273" s="40"/>
      <c r="AN273" s="40"/>
    </row>
    <row r="274" spans="1:40" s="539" customFormat="1">
      <c r="A274" s="539" t="s">
        <v>7</v>
      </c>
      <c r="B274" s="537" t="s">
        <v>48</v>
      </c>
      <c r="C274" s="538"/>
      <c r="E274" s="540"/>
      <c r="F274" s="540"/>
      <c r="G274" s="540"/>
      <c r="H274" s="540"/>
      <c r="I274" s="540"/>
      <c r="J274" s="540"/>
      <c r="K274" s="540"/>
      <c r="L274" s="540"/>
      <c r="M274" s="540"/>
      <c r="N274" s="540"/>
      <c r="O274" s="540"/>
      <c r="P274" s="540"/>
      <c r="Q274" s="540"/>
      <c r="R274" s="540"/>
      <c r="S274" s="540"/>
      <c r="T274" s="540"/>
      <c r="U274" s="540"/>
      <c r="V274" s="540"/>
      <c r="W274" s="540"/>
      <c r="X274" s="540"/>
      <c r="Y274" s="540"/>
      <c r="Z274" s="540"/>
      <c r="AA274" s="540"/>
      <c r="AB274" s="540"/>
      <c r="AC274" s="540"/>
      <c r="AD274" s="540"/>
      <c r="AE274" s="540"/>
      <c r="AF274" s="540"/>
      <c r="AG274" s="540"/>
      <c r="AH274" s="540"/>
      <c r="AI274" s="540"/>
      <c r="AJ274" s="540"/>
      <c r="AK274" s="540"/>
      <c r="AL274" s="540"/>
      <c r="AM274" s="540"/>
      <c r="AN274" s="540"/>
    </row>
    <row r="275" spans="1:40" outlineLevel="1">
      <c r="G275" s="29"/>
      <c r="H275" s="29"/>
      <c r="I275" s="29"/>
      <c r="J275" s="29"/>
      <c r="K275" s="29"/>
      <c r="L275" s="29"/>
      <c r="M275" s="29"/>
      <c r="N275" s="48"/>
      <c r="O275" s="29"/>
      <c r="P275" s="48"/>
      <c r="Q275" s="48"/>
      <c r="R275" s="100"/>
      <c r="S275" s="91"/>
      <c r="T275" s="91"/>
      <c r="U275" s="91"/>
      <c r="V275" s="91"/>
      <c r="W275" s="91"/>
      <c r="X275" s="91"/>
      <c r="Y275" s="91"/>
      <c r="Z275" s="91"/>
      <c r="AA275" s="91"/>
      <c r="AB275" s="91"/>
      <c r="AC275" s="91"/>
      <c r="AD275" s="91"/>
      <c r="AE275" s="91"/>
      <c r="AF275" s="91"/>
      <c r="AG275" s="91"/>
      <c r="AH275" s="91"/>
      <c r="AI275" s="91"/>
      <c r="AJ275" s="91"/>
      <c r="AK275" s="91"/>
      <c r="AL275" s="91"/>
      <c r="AM275" s="91"/>
      <c r="AN275" s="91"/>
    </row>
    <row r="276" spans="1:40" outlineLevel="1">
      <c r="B276" s="129" t="s">
        <v>129</v>
      </c>
    </row>
    <row r="277" spans="1:40" outlineLevel="1"/>
    <row r="278" spans="1:40" outlineLevel="1">
      <c r="B278" s="148" t="s">
        <v>130</v>
      </c>
      <c r="C278" s="39" t="s">
        <v>72</v>
      </c>
      <c r="E278" s="46"/>
      <c r="F278" s="46"/>
      <c r="G278" s="46"/>
      <c r="H278" s="46"/>
      <c r="I278" s="46"/>
      <c r="J278" s="46"/>
      <c r="K278" s="46"/>
      <c r="L278" s="46"/>
      <c r="M278" s="46">
        <v>17.3</v>
      </c>
      <c r="N278" s="46">
        <f>32-M278</f>
        <v>14.7</v>
      </c>
      <c r="O278" s="46">
        <v>15.4</v>
      </c>
      <c r="P278" s="46">
        <f>30.3-O278</f>
        <v>14.9</v>
      </c>
      <c r="Q278" s="46">
        <v>11.8</v>
      </c>
      <c r="R278" s="46">
        <f>20.3-Q278</f>
        <v>8.5</v>
      </c>
    </row>
    <row r="279" spans="1:40" outlineLevel="1">
      <c r="B279" s="95" t="s">
        <v>131</v>
      </c>
      <c r="C279" s="39" t="s">
        <v>88</v>
      </c>
      <c r="E279" s="40"/>
      <c r="F279" s="40"/>
      <c r="G279" s="40"/>
      <c r="H279" s="40"/>
      <c r="I279" s="40"/>
      <c r="J279" s="40"/>
      <c r="K279" s="40"/>
      <c r="L279" s="40"/>
      <c r="M279" s="40"/>
      <c r="N279" s="149"/>
      <c r="O279" s="149">
        <f>O278/M278-1</f>
        <v>-0.10982658959537572</v>
      </c>
      <c r="P279" s="149">
        <f>P278/N278-1</f>
        <v>1.3605442176870763E-2</v>
      </c>
      <c r="Q279" s="149">
        <f>Q278/O278-1</f>
        <v>-0.23376623376623373</v>
      </c>
      <c r="R279" s="149">
        <f>R278/P278-1</f>
        <v>-0.42953020134228193</v>
      </c>
    </row>
    <row r="280" spans="1:40" outlineLevel="1">
      <c r="B280" s="54"/>
      <c r="E280" s="29"/>
      <c r="F280" s="29"/>
      <c r="G280" s="29"/>
      <c r="H280" s="29"/>
      <c r="I280" s="29"/>
      <c r="J280" s="29"/>
      <c r="K280" s="29"/>
      <c r="L280" s="29"/>
      <c r="M280" s="29"/>
      <c r="N280" s="29"/>
      <c r="O280" s="29"/>
      <c r="P280" s="29"/>
      <c r="Q280" s="29"/>
      <c r="R280" s="29"/>
    </row>
    <row r="281" spans="1:40" outlineLevel="1">
      <c r="B281" s="147" t="s">
        <v>132</v>
      </c>
      <c r="C281" s="39" t="s">
        <v>72</v>
      </c>
      <c r="E281" s="46"/>
      <c r="F281" s="46"/>
      <c r="G281" s="46"/>
      <c r="H281" s="46"/>
      <c r="I281" s="46"/>
      <c r="J281" s="46"/>
      <c r="K281" s="46"/>
      <c r="L281" s="46"/>
      <c r="M281" s="46">
        <v>-5.7</v>
      </c>
      <c r="N281" s="46">
        <f>-10.9-M281</f>
        <v>-5.2</v>
      </c>
      <c r="O281" s="46">
        <v>-5.5</v>
      </c>
      <c r="P281" s="46">
        <f>-11-O281</f>
        <v>-5.5</v>
      </c>
      <c r="Q281" s="46">
        <v>-4.7</v>
      </c>
      <c r="R281" s="46">
        <f>-8.3-Q281</f>
        <v>-3.6000000000000005</v>
      </c>
    </row>
    <row r="282" spans="1:40" outlineLevel="1">
      <c r="B282" s="96" t="s">
        <v>133</v>
      </c>
      <c r="C282" s="39" t="s">
        <v>88</v>
      </c>
      <c r="E282" s="29"/>
      <c r="F282" s="29"/>
      <c r="G282" s="29"/>
      <c r="H282" s="29"/>
      <c r="I282" s="29"/>
      <c r="J282" s="29"/>
      <c r="K282" s="29"/>
      <c r="L282" s="29"/>
      <c r="M282" s="29">
        <f t="shared" ref="M282:R282" si="103">M281/M$278</f>
        <v>-0.32947976878612717</v>
      </c>
      <c r="N282" s="29">
        <f t="shared" si="103"/>
        <v>-0.35374149659863946</v>
      </c>
      <c r="O282" s="29">
        <f t="shared" si="103"/>
        <v>-0.35714285714285715</v>
      </c>
      <c r="P282" s="29">
        <f t="shared" si="103"/>
        <v>-0.36912751677852346</v>
      </c>
      <c r="Q282" s="29">
        <f t="shared" si="103"/>
        <v>-0.39830508474576271</v>
      </c>
      <c r="R282" s="29">
        <f t="shared" si="103"/>
        <v>-0.42352941176470593</v>
      </c>
    </row>
    <row r="283" spans="1:40" outlineLevel="1">
      <c r="B283" s="54"/>
      <c r="E283" s="29"/>
      <c r="F283" s="29"/>
      <c r="G283" s="29"/>
      <c r="H283" s="29"/>
      <c r="I283" s="29"/>
      <c r="J283" s="29"/>
      <c r="K283" s="29"/>
      <c r="L283" s="29"/>
      <c r="M283" s="29"/>
      <c r="N283" s="29"/>
      <c r="O283" s="29"/>
      <c r="P283" s="29"/>
      <c r="Q283" s="29"/>
      <c r="R283" s="29"/>
    </row>
    <row r="284" spans="1:40" outlineLevel="1">
      <c r="B284" s="147" t="s">
        <v>134</v>
      </c>
      <c r="C284" s="39" t="s">
        <v>72</v>
      </c>
      <c r="E284" s="46"/>
      <c r="F284" s="46"/>
      <c r="G284" s="46"/>
      <c r="H284" s="46"/>
      <c r="I284" s="46"/>
      <c r="J284" s="46"/>
      <c r="K284" s="46"/>
      <c r="L284" s="46"/>
      <c r="M284" s="46">
        <v>-2.2999999999999998</v>
      </c>
      <c r="N284" s="46">
        <f>-4.2-M284</f>
        <v>-1.9000000000000004</v>
      </c>
      <c r="O284" s="46">
        <v>-2</v>
      </c>
      <c r="P284" s="46">
        <f>-3.9-O284</f>
        <v>-1.9</v>
      </c>
      <c r="Q284" s="46">
        <v>-1.5</v>
      </c>
      <c r="R284" s="46">
        <f>-2.6-Q284</f>
        <v>-1.1000000000000001</v>
      </c>
    </row>
    <row r="285" spans="1:40" outlineLevel="1">
      <c r="B285" s="96" t="s">
        <v>133</v>
      </c>
      <c r="C285" s="39" t="s">
        <v>88</v>
      </c>
      <c r="E285" s="29"/>
      <c r="F285" s="29"/>
      <c r="G285" s="29"/>
      <c r="H285" s="29"/>
      <c r="I285" s="29"/>
      <c r="J285" s="29"/>
      <c r="K285" s="29"/>
      <c r="L285" s="29"/>
      <c r="M285" s="29">
        <f t="shared" ref="M285:R285" si="104">M284/M$278</f>
        <v>-0.13294797687861271</v>
      </c>
      <c r="N285" s="29">
        <f t="shared" si="104"/>
        <v>-0.12925170068027214</v>
      </c>
      <c r="O285" s="29">
        <f t="shared" si="104"/>
        <v>-0.12987012987012986</v>
      </c>
      <c r="P285" s="29">
        <f t="shared" si="104"/>
        <v>-0.12751677852348992</v>
      </c>
      <c r="Q285" s="29">
        <f t="shared" si="104"/>
        <v>-0.1271186440677966</v>
      </c>
      <c r="R285" s="29">
        <f t="shared" si="104"/>
        <v>-0.12941176470588237</v>
      </c>
    </row>
    <row r="286" spans="1:40" outlineLevel="1">
      <c r="B286" s="54"/>
      <c r="E286" s="29"/>
      <c r="F286" s="29"/>
      <c r="G286" s="29"/>
      <c r="H286" s="29"/>
      <c r="I286" s="29"/>
      <c r="J286" s="29"/>
      <c r="K286" s="29"/>
      <c r="L286" s="29"/>
      <c r="M286" s="29"/>
      <c r="N286" s="29"/>
      <c r="O286" s="29"/>
      <c r="P286" s="29"/>
      <c r="Q286" s="29"/>
      <c r="R286" s="29"/>
    </row>
    <row r="287" spans="1:40" outlineLevel="1">
      <c r="B287" s="148" t="s">
        <v>135</v>
      </c>
      <c r="C287" s="39" t="s">
        <v>72</v>
      </c>
      <c r="E287" s="46"/>
      <c r="F287" s="46"/>
      <c r="G287" s="46"/>
      <c r="H287" s="46"/>
      <c r="I287" s="46">
        <v>0.2</v>
      </c>
      <c r="J287" s="46">
        <f>4.5-I287</f>
        <v>4.3</v>
      </c>
      <c r="K287" s="46">
        <v>7.5</v>
      </c>
      <c r="L287" s="46">
        <f>13.1-K287</f>
        <v>5.6</v>
      </c>
      <c r="M287" s="46">
        <v>9.3000000000000007</v>
      </c>
      <c r="N287" s="46">
        <f>16.9-M287</f>
        <v>7.5999999999999979</v>
      </c>
      <c r="O287" s="46">
        <v>7.9</v>
      </c>
      <c r="P287" s="46">
        <f>15.4-O287</f>
        <v>7.5</v>
      </c>
      <c r="Q287" s="46">
        <v>5.6</v>
      </c>
      <c r="R287" s="46">
        <f>9.3-Q287</f>
        <v>3.7000000000000011</v>
      </c>
      <c r="S287" s="46">
        <v>2.1</v>
      </c>
      <c r="T287" s="46">
        <f>4.1-S287</f>
        <v>1.9999999999999996</v>
      </c>
      <c r="U287" s="46">
        <v>1.6</v>
      </c>
      <c r="V287" s="46">
        <f>2.8-U287</f>
        <v>1.1999999999999997</v>
      </c>
      <c r="W287" s="94">
        <v>1</v>
      </c>
      <c r="X287" s="94">
        <v>2</v>
      </c>
      <c r="Y287" s="94">
        <v>5</v>
      </c>
      <c r="Z287" s="94">
        <v>10</v>
      </c>
      <c r="AA287" s="94">
        <v>12</v>
      </c>
      <c r="AB287" s="7">
        <f t="shared" ref="AB287:AN287" si="105">Z287*(1+AB288)</f>
        <v>12</v>
      </c>
      <c r="AC287" s="7">
        <f t="shared" si="105"/>
        <v>14.399999999999999</v>
      </c>
      <c r="AD287" s="7">
        <f t="shared" si="105"/>
        <v>14.399999999999999</v>
      </c>
      <c r="AE287" s="7">
        <f t="shared" si="105"/>
        <v>17.279999999999998</v>
      </c>
      <c r="AF287" s="7">
        <f t="shared" si="105"/>
        <v>16.559999999999999</v>
      </c>
      <c r="AG287" s="7">
        <f t="shared" si="105"/>
        <v>19.871999999999996</v>
      </c>
      <c r="AH287" s="7">
        <f t="shared" si="105"/>
        <v>19.043999999999997</v>
      </c>
      <c r="AI287" s="7">
        <f t="shared" si="105"/>
        <v>22.852799999999995</v>
      </c>
      <c r="AJ287" s="7">
        <f t="shared" si="105"/>
        <v>21.900599999999994</v>
      </c>
      <c r="AK287" s="7">
        <f t="shared" si="105"/>
        <v>26.280719999999992</v>
      </c>
      <c r="AL287" s="7">
        <f t="shared" si="105"/>
        <v>25.18568999999999</v>
      </c>
      <c r="AM287" s="7">
        <f t="shared" si="105"/>
        <v>30.222827999999989</v>
      </c>
      <c r="AN287" s="7">
        <f t="shared" si="105"/>
        <v>28.963543499999986</v>
      </c>
    </row>
    <row r="288" spans="1:40" outlineLevel="1">
      <c r="B288" s="95" t="s">
        <v>131</v>
      </c>
      <c r="C288" s="39" t="s">
        <v>88</v>
      </c>
      <c r="E288" s="46"/>
      <c r="F288" s="46"/>
      <c r="G288" s="46"/>
      <c r="H288" s="46"/>
      <c r="I288" s="46"/>
      <c r="J288" s="46"/>
      <c r="K288" s="46"/>
      <c r="L288" s="46"/>
      <c r="M288" s="46"/>
      <c r="N288" s="46"/>
      <c r="O288" s="46"/>
      <c r="P288" s="46"/>
      <c r="Q288" s="46"/>
      <c r="R288" s="46"/>
      <c r="S288" s="46"/>
      <c r="T288" s="46"/>
      <c r="U288" s="46"/>
      <c r="V288" s="46"/>
      <c r="W288" s="149">
        <f>W287/U287-1</f>
        <v>-0.375</v>
      </c>
      <c r="X288" s="149">
        <f>X287/V287-1</f>
        <v>0.66666666666666696</v>
      </c>
      <c r="Y288" s="149">
        <f>Y287/W287-1</f>
        <v>4</v>
      </c>
      <c r="Z288" s="92">
        <v>0.2</v>
      </c>
      <c r="AA288" s="92">
        <v>0.2</v>
      </c>
      <c r="AB288" s="92">
        <v>0.2</v>
      </c>
      <c r="AC288" s="92">
        <v>0.2</v>
      </c>
      <c r="AD288" s="92">
        <v>0.2</v>
      </c>
      <c r="AE288" s="92">
        <v>0.2</v>
      </c>
      <c r="AF288" s="92">
        <v>0.15</v>
      </c>
      <c r="AG288" s="92">
        <v>0.15</v>
      </c>
      <c r="AH288" s="92">
        <v>0.15</v>
      </c>
      <c r="AI288" s="92">
        <v>0.15</v>
      </c>
      <c r="AJ288" s="92">
        <v>0.15</v>
      </c>
      <c r="AK288" s="92">
        <v>0.15</v>
      </c>
      <c r="AL288" s="92">
        <v>0.15</v>
      </c>
      <c r="AM288" s="92">
        <v>0.15</v>
      </c>
      <c r="AN288" s="92">
        <v>0.15</v>
      </c>
    </row>
    <row r="289" spans="1:40" outlineLevel="1">
      <c r="B289" s="54"/>
      <c r="E289" s="29"/>
      <c r="F289" s="29"/>
      <c r="G289" s="29"/>
      <c r="H289" s="29"/>
      <c r="I289" s="29"/>
      <c r="J289" s="29"/>
      <c r="K289" s="29"/>
      <c r="L289" s="29"/>
      <c r="M289" s="29"/>
      <c r="N289" s="29"/>
      <c r="O289" s="29"/>
      <c r="P289" s="29"/>
      <c r="Q289" s="29"/>
      <c r="R289" s="29"/>
      <c r="S289" s="48"/>
      <c r="T289" s="29"/>
      <c r="U289" s="48"/>
      <c r="V289" s="29"/>
      <c r="W289" s="48"/>
      <c r="X289" s="48"/>
      <c r="Y289" s="48"/>
      <c r="Z289" s="48"/>
      <c r="AA289" s="48"/>
      <c r="AB289" s="48"/>
      <c r="AC289" s="48"/>
      <c r="AD289" s="48"/>
      <c r="AE289" s="48"/>
      <c r="AF289" s="48"/>
      <c r="AG289" s="48"/>
      <c r="AH289" s="48"/>
      <c r="AI289" s="48"/>
      <c r="AJ289" s="48"/>
      <c r="AK289" s="48"/>
      <c r="AL289" s="48"/>
      <c r="AM289" s="48"/>
      <c r="AN289" s="48"/>
    </row>
    <row r="290" spans="1:40" outlineLevel="1">
      <c r="B290" s="147" t="s">
        <v>136</v>
      </c>
      <c r="C290" s="39" t="s">
        <v>72</v>
      </c>
      <c r="E290" s="46"/>
      <c r="F290" s="46"/>
      <c r="G290" s="46"/>
      <c r="H290" s="46"/>
      <c r="I290" s="46">
        <v>-0.6</v>
      </c>
      <c r="J290" s="46">
        <f>-2.3-I290</f>
        <v>-1.6999999999999997</v>
      </c>
      <c r="K290" s="46">
        <v>-2.1</v>
      </c>
      <c r="L290" s="46">
        <f>-4.1-K290</f>
        <v>-1.9999999999999996</v>
      </c>
      <c r="M290" s="46">
        <v>-2.2999999999999998</v>
      </c>
      <c r="N290" s="46">
        <f>-4.1-M290</f>
        <v>-1.7999999999999998</v>
      </c>
      <c r="O290" s="46">
        <v>-2.2000000000000002</v>
      </c>
      <c r="P290" s="46">
        <f>-4.6-O290</f>
        <v>-2.3999999999999995</v>
      </c>
      <c r="Q290" s="46">
        <v>-2.6</v>
      </c>
      <c r="R290" s="46">
        <f>-5.8-Q290</f>
        <v>-3.1999999999999997</v>
      </c>
      <c r="S290" s="46">
        <v>-3.2</v>
      </c>
      <c r="T290" s="46">
        <f>-5.9-S290</f>
        <v>-2.7</v>
      </c>
      <c r="U290" s="46">
        <v>-3.8</v>
      </c>
      <c r="V290" s="46">
        <f>-9.2-U290</f>
        <v>-5.3999999999999995</v>
      </c>
      <c r="W290" s="94">
        <v>-7</v>
      </c>
      <c r="X290" s="94">
        <v>-9</v>
      </c>
      <c r="Y290" s="94">
        <v>-10</v>
      </c>
      <c r="Z290" s="94">
        <v>-10</v>
      </c>
      <c r="AA290" s="7">
        <f t="shared" ref="AA290:AN290" si="106">AA$287*AA291</f>
        <v>-7.1999999999999993</v>
      </c>
      <c r="AB290" s="7">
        <f t="shared" si="106"/>
        <v>-7.1999999999999993</v>
      </c>
      <c r="AC290" s="7">
        <f t="shared" si="106"/>
        <v>-8.6399999999999988</v>
      </c>
      <c r="AD290" s="7">
        <f t="shared" si="106"/>
        <v>-8.6399999999999988</v>
      </c>
      <c r="AE290" s="7">
        <f t="shared" si="106"/>
        <v>-10.367999999999999</v>
      </c>
      <c r="AF290" s="7">
        <f t="shared" si="106"/>
        <v>-9.9359999999999982</v>
      </c>
      <c r="AG290" s="7">
        <f t="shared" si="106"/>
        <v>-11.923199999999998</v>
      </c>
      <c r="AH290" s="7">
        <f t="shared" si="106"/>
        <v>-11.426399999999997</v>
      </c>
      <c r="AI290" s="7">
        <f t="shared" si="106"/>
        <v>-13.711679999999996</v>
      </c>
      <c r="AJ290" s="7">
        <f t="shared" si="106"/>
        <v>-13.140359999999996</v>
      </c>
      <c r="AK290" s="7">
        <f t="shared" si="106"/>
        <v>-15.768431999999994</v>
      </c>
      <c r="AL290" s="7">
        <f t="shared" si="106"/>
        <v>-15.111413999999993</v>
      </c>
      <c r="AM290" s="7">
        <f t="shared" si="106"/>
        <v>-18.133696799999992</v>
      </c>
      <c r="AN290" s="7">
        <f t="shared" si="106"/>
        <v>-17.378126099999992</v>
      </c>
    </row>
    <row r="291" spans="1:40" outlineLevel="1">
      <c r="B291" s="96" t="s">
        <v>133</v>
      </c>
      <c r="C291" s="39" t="s">
        <v>88</v>
      </c>
      <c r="E291" s="29"/>
      <c r="F291" s="29"/>
      <c r="G291" s="29"/>
      <c r="H291" s="29"/>
      <c r="I291" s="29"/>
      <c r="J291" s="29"/>
      <c r="K291" s="29"/>
      <c r="L291" s="29"/>
      <c r="M291" s="29"/>
      <c r="N291" s="29"/>
      <c r="O291" s="29"/>
      <c r="P291" s="29"/>
      <c r="Q291" s="29"/>
      <c r="R291" s="29"/>
      <c r="S291" s="29"/>
      <c r="T291" s="29"/>
      <c r="U291" s="29"/>
      <c r="V291" s="29"/>
      <c r="W291" s="29">
        <f>W290/W$287</f>
        <v>-7</v>
      </c>
      <c r="X291" s="29">
        <f>X290/X$287</f>
        <v>-4.5</v>
      </c>
      <c r="Y291" s="29">
        <f>Y290/Y$287</f>
        <v>-2</v>
      </c>
      <c r="Z291" s="92">
        <v>-0.5</v>
      </c>
      <c r="AA291" s="92">
        <v>-0.6</v>
      </c>
      <c r="AB291" s="92">
        <v>-0.6</v>
      </c>
      <c r="AC291" s="92">
        <v>-0.6</v>
      </c>
      <c r="AD291" s="92">
        <v>-0.6</v>
      </c>
      <c r="AE291" s="92">
        <v>-0.6</v>
      </c>
      <c r="AF291" s="92">
        <v>-0.6</v>
      </c>
      <c r="AG291" s="92">
        <v>-0.6</v>
      </c>
      <c r="AH291" s="92">
        <v>-0.6</v>
      </c>
      <c r="AI291" s="92">
        <v>-0.6</v>
      </c>
      <c r="AJ291" s="92">
        <v>-0.6</v>
      </c>
      <c r="AK291" s="92">
        <v>-0.6</v>
      </c>
      <c r="AL291" s="92">
        <v>-0.6</v>
      </c>
      <c r="AM291" s="92">
        <v>-0.6</v>
      </c>
      <c r="AN291" s="92">
        <v>-0.6</v>
      </c>
    </row>
    <row r="292" spans="1:40" outlineLevel="1">
      <c r="B292" s="54"/>
      <c r="E292" s="29"/>
      <c r="F292" s="29"/>
      <c r="G292" s="29"/>
      <c r="H292" s="29"/>
      <c r="I292" s="29"/>
      <c r="J292" s="29"/>
      <c r="K292" s="29"/>
      <c r="L292" s="29"/>
      <c r="M292" s="29"/>
      <c r="N292" s="29"/>
      <c r="O292" s="29"/>
      <c r="P292" s="29"/>
      <c r="Q292" s="29"/>
      <c r="R292" s="29"/>
      <c r="S292" s="48"/>
      <c r="T292" s="29"/>
      <c r="U292" s="48"/>
      <c r="V292" s="29"/>
      <c r="W292" s="48"/>
      <c r="X292" s="48"/>
      <c r="Y292" s="48"/>
      <c r="Z292" s="48"/>
      <c r="AA292" s="48"/>
      <c r="AB292" s="48"/>
      <c r="AC292" s="48"/>
      <c r="AD292" s="48"/>
      <c r="AE292" s="48"/>
      <c r="AF292" s="48"/>
      <c r="AG292" s="48"/>
      <c r="AH292" s="48"/>
      <c r="AI292" s="48"/>
      <c r="AJ292" s="48"/>
      <c r="AK292" s="48"/>
      <c r="AL292" s="48"/>
      <c r="AM292" s="48"/>
      <c r="AN292" s="48"/>
    </row>
    <row r="293" spans="1:40" outlineLevel="1">
      <c r="B293" s="148" t="s">
        <v>26</v>
      </c>
      <c r="C293" s="39" t="s">
        <v>72</v>
      </c>
      <c r="E293" s="46"/>
      <c r="F293" s="46"/>
      <c r="G293" s="46"/>
      <c r="H293" s="46"/>
      <c r="I293" s="46">
        <v>-0.5</v>
      </c>
      <c r="J293" s="46">
        <f>2.2-I293</f>
        <v>2.7</v>
      </c>
      <c r="K293" s="46">
        <v>5.4</v>
      </c>
      <c r="L293" s="46">
        <f>9.1-K293</f>
        <v>3.6999999999999993</v>
      </c>
      <c r="M293" s="46">
        <v>7</v>
      </c>
      <c r="N293" s="46">
        <f>12.9-M293</f>
        <v>5.9</v>
      </c>
      <c r="O293" s="46">
        <v>5.6</v>
      </c>
      <c r="P293" s="46">
        <f>10.7-O293</f>
        <v>5.0999999999999996</v>
      </c>
      <c r="Q293" s="46">
        <v>3</v>
      </c>
      <c r="R293" s="46">
        <f>3.6-Q293</f>
        <v>0.60000000000000009</v>
      </c>
      <c r="S293" s="46">
        <v>-1.1000000000000001</v>
      </c>
      <c r="T293" s="46">
        <f>-1.8-S293</f>
        <v>-0.7</v>
      </c>
      <c r="U293" s="46">
        <v>-2.1</v>
      </c>
      <c r="V293" s="46">
        <f>-6.4-U293</f>
        <v>-4.3000000000000007</v>
      </c>
      <c r="W293" s="7">
        <f t="shared" ref="W293:AN293" si="107">W287+W290</f>
        <v>-6</v>
      </c>
      <c r="X293" s="7">
        <f t="shared" si="107"/>
        <v>-7</v>
      </c>
      <c r="Y293" s="7">
        <f t="shared" si="107"/>
        <v>-5</v>
      </c>
      <c r="Z293" s="7">
        <f t="shared" si="107"/>
        <v>0</v>
      </c>
      <c r="AA293" s="7">
        <f t="shared" si="107"/>
        <v>4.8000000000000007</v>
      </c>
      <c r="AB293" s="7">
        <f t="shared" si="107"/>
        <v>4.8000000000000007</v>
      </c>
      <c r="AC293" s="7">
        <f t="shared" si="107"/>
        <v>5.76</v>
      </c>
      <c r="AD293" s="7">
        <f t="shared" si="107"/>
        <v>5.76</v>
      </c>
      <c r="AE293" s="7">
        <f t="shared" si="107"/>
        <v>6.911999999999999</v>
      </c>
      <c r="AF293" s="7">
        <f t="shared" si="107"/>
        <v>6.6240000000000006</v>
      </c>
      <c r="AG293" s="7">
        <f t="shared" si="107"/>
        <v>7.9487999999999985</v>
      </c>
      <c r="AH293" s="7">
        <f t="shared" si="107"/>
        <v>7.6175999999999995</v>
      </c>
      <c r="AI293" s="7">
        <f t="shared" si="107"/>
        <v>9.141119999999999</v>
      </c>
      <c r="AJ293" s="7">
        <f t="shared" si="107"/>
        <v>8.7602399999999978</v>
      </c>
      <c r="AK293" s="7">
        <f t="shared" si="107"/>
        <v>10.512287999999998</v>
      </c>
      <c r="AL293" s="7">
        <f t="shared" si="107"/>
        <v>10.074275999999998</v>
      </c>
      <c r="AM293" s="7">
        <f t="shared" si="107"/>
        <v>12.089131199999997</v>
      </c>
      <c r="AN293" s="7">
        <f t="shared" si="107"/>
        <v>11.585417399999994</v>
      </c>
    </row>
    <row r="294" spans="1:40" outlineLevel="1">
      <c r="B294" s="95" t="s">
        <v>137</v>
      </c>
      <c r="C294" s="39" t="s">
        <v>88</v>
      </c>
      <c r="E294" s="29"/>
      <c r="F294" s="29"/>
      <c r="G294" s="29"/>
      <c r="H294" s="29"/>
      <c r="I294" s="29"/>
      <c r="J294" s="29"/>
      <c r="K294" s="29"/>
      <c r="L294" s="29"/>
      <c r="M294" s="29"/>
      <c r="N294" s="29"/>
      <c r="O294" s="29"/>
      <c r="P294" s="29"/>
      <c r="Q294" s="29"/>
      <c r="R294" s="29"/>
      <c r="S294" s="29"/>
      <c r="T294" s="29"/>
      <c r="U294" s="29"/>
      <c r="V294" s="29"/>
      <c r="W294" s="29"/>
      <c r="X294" s="29"/>
      <c r="Y294" s="29"/>
      <c r="Z294" s="29">
        <f t="shared" ref="Z294:AN294" si="108">Z293/Z$287</f>
        <v>0</v>
      </c>
      <c r="AA294" s="29">
        <f t="shared" si="108"/>
        <v>0.40000000000000008</v>
      </c>
      <c r="AB294" s="29">
        <f t="shared" si="108"/>
        <v>0.40000000000000008</v>
      </c>
      <c r="AC294" s="29">
        <f t="shared" si="108"/>
        <v>0.4</v>
      </c>
      <c r="AD294" s="29">
        <f t="shared" si="108"/>
        <v>0.4</v>
      </c>
      <c r="AE294" s="29">
        <f t="shared" si="108"/>
        <v>0.4</v>
      </c>
      <c r="AF294" s="29">
        <f t="shared" si="108"/>
        <v>0.40000000000000008</v>
      </c>
      <c r="AG294" s="29">
        <f t="shared" si="108"/>
        <v>0.4</v>
      </c>
      <c r="AH294" s="29">
        <f t="shared" si="108"/>
        <v>0.4</v>
      </c>
      <c r="AI294" s="29">
        <f t="shared" si="108"/>
        <v>0.4</v>
      </c>
      <c r="AJ294" s="29">
        <f t="shared" si="108"/>
        <v>0.4</v>
      </c>
      <c r="AK294" s="29">
        <f t="shared" si="108"/>
        <v>0.40000000000000008</v>
      </c>
      <c r="AL294" s="29">
        <f t="shared" si="108"/>
        <v>0.40000000000000008</v>
      </c>
      <c r="AM294" s="29">
        <f t="shared" si="108"/>
        <v>0.4</v>
      </c>
      <c r="AN294" s="29">
        <f t="shared" si="108"/>
        <v>0.39999999999999997</v>
      </c>
    </row>
    <row r="295" spans="1:40" outlineLevel="1">
      <c r="B295" s="54"/>
      <c r="E295" s="29"/>
      <c r="F295" s="29"/>
      <c r="G295" s="29"/>
      <c r="H295" s="29"/>
      <c r="I295" s="29"/>
      <c r="J295" s="29"/>
      <c r="K295" s="29"/>
      <c r="L295" s="29"/>
      <c r="N295" s="29"/>
      <c r="O295" s="29"/>
      <c r="P295" s="29"/>
      <c r="Q295" s="29"/>
      <c r="R295" s="29"/>
      <c r="S295" s="48"/>
      <c r="T295" s="48"/>
      <c r="U295" s="48"/>
      <c r="V295" s="48"/>
      <c r="W295" s="48"/>
      <c r="X295" s="48"/>
      <c r="Y295" s="48"/>
      <c r="Z295" s="48"/>
      <c r="AA295" s="48"/>
      <c r="AB295" s="48"/>
      <c r="AC295" s="48"/>
      <c r="AD295" s="48"/>
      <c r="AE295" s="48"/>
      <c r="AF295" s="48"/>
      <c r="AG295" s="48"/>
      <c r="AH295" s="48"/>
      <c r="AI295" s="48"/>
      <c r="AJ295" s="48"/>
      <c r="AK295" s="48"/>
      <c r="AL295" s="48"/>
      <c r="AM295" s="48"/>
      <c r="AN295" s="48"/>
    </row>
    <row r="296" spans="1:40" outlineLevel="1">
      <c r="B296" s="147" t="s">
        <v>138</v>
      </c>
      <c r="C296" s="39" t="s">
        <v>72</v>
      </c>
      <c r="E296" s="46"/>
      <c r="F296" s="46"/>
      <c r="G296" s="46"/>
      <c r="H296" s="46"/>
      <c r="I296" s="46"/>
      <c r="J296" s="46"/>
      <c r="K296" s="46"/>
      <c r="L296" s="46"/>
      <c r="N296" s="46"/>
      <c r="O296" s="46">
        <v>0.4</v>
      </c>
      <c r="P296" s="46">
        <f>1-O296</f>
        <v>0.6</v>
      </c>
      <c r="Q296" s="46">
        <v>2.9</v>
      </c>
      <c r="R296" s="46">
        <f>2.2-Q296</f>
        <v>-0.69999999999999973</v>
      </c>
      <c r="S296" s="48"/>
      <c r="T296" s="48"/>
      <c r="U296" s="48"/>
      <c r="V296" s="48"/>
      <c r="W296" s="48"/>
      <c r="X296" s="48"/>
      <c r="Y296" s="48"/>
      <c r="Z296" s="48"/>
      <c r="AA296" s="48"/>
      <c r="AB296" s="48"/>
      <c r="AC296" s="48"/>
      <c r="AD296" s="48"/>
      <c r="AE296" s="48"/>
      <c r="AF296" s="48"/>
      <c r="AG296" s="48"/>
      <c r="AH296" s="48"/>
      <c r="AI296" s="48"/>
      <c r="AJ296" s="48"/>
      <c r="AK296" s="48"/>
      <c r="AL296" s="48"/>
      <c r="AM296" s="48"/>
      <c r="AN296" s="48"/>
    </row>
    <row r="297" spans="1:40" outlineLevel="1">
      <c r="B297" s="96" t="s">
        <v>133</v>
      </c>
      <c r="C297" s="39" t="s">
        <v>88</v>
      </c>
      <c r="E297" s="40"/>
      <c r="F297" s="40"/>
      <c r="G297" s="40"/>
      <c r="H297" s="40"/>
      <c r="I297" s="40"/>
      <c r="J297" s="40"/>
      <c r="K297" s="40"/>
      <c r="L297" s="40"/>
      <c r="M297" s="40"/>
      <c r="N297" s="40"/>
      <c r="O297" s="29">
        <f>O296/O$278</f>
        <v>2.5974025974025976E-2</v>
      </c>
      <c r="P297" s="29">
        <f>P296/P$278</f>
        <v>4.0268456375838924E-2</v>
      </c>
      <c r="Q297" s="29">
        <f>Q296/Q$278</f>
        <v>0.24576271186440676</v>
      </c>
      <c r="R297" s="29">
        <f>R296/R$278</f>
        <v>-8.2352941176470559E-2</v>
      </c>
      <c r="S297" s="48"/>
      <c r="T297" s="48"/>
      <c r="U297" s="48"/>
      <c r="V297" s="48"/>
      <c r="W297" s="48"/>
      <c r="X297" s="48"/>
      <c r="Y297" s="48"/>
      <c r="Z297" s="48"/>
      <c r="AA297" s="48"/>
      <c r="AB297" s="48"/>
      <c r="AC297" s="48"/>
      <c r="AD297" s="48"/>
      <c r="AE297" s="48"/>
      <c r="AF297" s="48"/>
      <c r="AG297" s="48"/>
      <c r="AH297" s="48"/>
      <c r="AI297" s="48"/>
      <c r="AJ297" s="48"/>
      <c r="AK297" s="48"/>
      <c r="AL297" s="48"/>
      <c r="AM297" s="48"/>
      <c r="AN297" s="48"/>
    </row>
    <row r="298" spans="1:40" outlineLevel="1">
      <c r="B298" s="54"/>
      <c r="E298" s="29"/>
      <c r="F298" s="29"/>
      <c r="G298" s="29"/>
      <c r="H298" s="29"/>
      <c r="I298" s="29"/>
      <c r="J298" s="29"/>
      <c r="K298" s="29"/>
      <c r="L298" s="29"/>
      <c r="M298" s="29"/>
      <c r="N298" s="29"/>
      <c r="O298" s="29"/>
      <c r="P298" s="29"/>
      <c r="Q298" s="29"/>
      <c r="R298" s="29"/>
      <c r="S298" s="48"/>
      <c r="T298" s="48"/>
      <c r="U298" s="48"/>
      <c r="V298" s="48"/>
      <c r="W298" s="48"/>
      <c r="X298" s="48"/>
      <c r="Y298" s="48"/>
      <c r="Z298" s="48"/>
      <c r="AA298" s="48"/>
      <c r="AB298" s="48"/>
      <c r="AC298" s="48"/>
      <c r="AD298" s="48"/>
      <c r="AE298" s="48"/>
      <c r="AF298" s="48"/>
      <c r="AG298" s="48"/>
      <c r="AH298" s="48"/>
      <c r="AI298" s="48"/>
      <c r="AJ298" s="48"/>
      <c r="AK298" s="48"/>
      <c r="AL298" s="48"/>
      <c r="AM298" s="48"/>
      <c r="AN298" s="48"/>
    </row>
    <row r="299" spans="1:40" outlineLevel="1">
      <c r="B299" s="148" t="s">
        <v>139</v>
      </c>
      <c r="C299" s="39" t="s">
        <v>72</v>
      </c>
      <c r="E299" s="47"/>
      <c r="F299" s="47"/>
      <c r="G299" s="47"/>
      <c r="H299" s="47"/>
      <c r="I299" s="47">
        <f t="shared" ref="I299:N299" si="109">I293+I296</f>
        <v>-0.5</v>
      </c>
      <c r="J299" s="47">
        <f t="shared" si="109"/>
        <v>2.7</v>
      </c>
      <c r="K299" s="47">
        <f t="shared" si="109"/>
        <v>5.4</v>
      </c>
      <c r="L299" s="47">
        <f t="shared" si="109"/>
        <v>3.6999999999999993</v>
      </c>
      <c r="M299" s="47">
        <f t="shared" si="109"/>
        <v>7</v>
      </c>
      <c r="N299" s="47">
        <f t="shared" si="109"/>
        <v>5.9</v>
      </c>
      <c r="O299" s="46">
        <v>6</v>
      </c>
      <c r="P299" s="46">
        <f>11.8-O299</f>
        <v>5.8000000000000007</v>
      </c>
      <c r="Q299" s="46">
        <v>5.9</v>
      </c>
      <c r="R299" s="46">
        <f>11.8-Q299</f>
        <v>5.9</v>
      </c>
      <c r="S299" s="7"/>
      <c r="T299" s="7"/>
      <c r="U299" s="7"/>
      <c r="V299" s="7"/>
      <c r="W299" s="7"/>
      <c r="X299" s="7"/>
      <c r="Y299" s="7"/>
      <c r="Z299" s="7"/>
      <c r="AA299" s="7"/>
      <c r="AB299" s="7"/>
      <c r="AC299" s="7"/>
      <c r="AD299" s="7"/>
      <c r="AE299" s="7"/>
      <c r="AF299" s="7"/>
      <c r="AG299" s="7"/>
      <c r="AH299" s="7"/>
      <c r="AI299" s="7"/>
      <c r="AJ299" s="7"/>
      <c r="AK299" s="7"/>
      <c r="AL299" s="7"/>
      <c r="AM299" s="7"/>
      <c r="AN299" s="7"/>
    </row>
    <row r="300" spans="1:40">
      <c r="B300" s="148"/>
      <c r="C300" s="39"/>
      <c r="E300" s="47"/>
      <c r="F300" s="47"/>
      <c r="G300" s="47"/>
      <c r="H300" s="47"/>
      <c r="I300" s="47"/>
      <c r="J300" s="47"/>
      <c r="K300" s="47"/>
      <c r="L300" s="47"/>
      <c r="M300" s="47"/>
      <c r="N300" s="47"/>
      <c r="O300" s="46"/>
      <c r="P300" s="46"/>
      <c r="Q300" s="46"/>
      <c r="R300" s="46"/>
      <c r="S300" s="7"/>
      <c r="T300" s="7"/>
      <c r="U300" s="7"/>
      <c r="V300" s="7"/>
      <c r="W300" s="7"/>
      <c r="X300" s="7"/>
      <c r="Y300" s="7"/>
      <c r="Z300" s="7"/>
      <c r="AA300" s="7"/>
      <c r="AB300" s="7"/>
      <c r="AC300" s="7"/>
      <c r="AD300" s="7"/>
      <c r="AE300" s="7"/>
      <c r="AF300" s="7"/>
      <c r="AG300" s="7"/>
      <c r="AH300" s="7"/>
      <c r="AI300" s="7"/>
      <c r="AJ300" s="7"/>
      <c r="AK300" s="7"/>
      <c r="AL300" s="7"/>
      <c r="AM300" s="7"/>
      <c r="AN300" s="7"/>
    </row>
    <row r="301" spans="1:40" s="157" customFormat="1">
      <c r="A301" s="157" t="s">
        <v>7</v>
      </c>
      <c r="B301" s="158" t="s">
        <v>140</v>
      </c>
      <c r="C301" s="159"/>
      <c r="E301" s="160"/>
      <c r="F301" s="160"/>
      <c r="G301" s="160"/>
      <c r="H301" s="160"/>
      <c r="I301" s="160"/>
      <c r="J301" s="160"/>
      <c r="K301" s="160"/>
      <c r="L301" s="160"/>
      <c r="M301" s="160"/>
      <c r="N301" s="160"/>
      <c r="O301" s="160"/>
      <c r="P301" s="160"/>
      <c r="Q301" s="160"/>
      <c r="R301" s="160"/>
      <c r="S301" s="160"/>
      <c r="T301" s="160"/>
      <c r="U301" s="160"/>
      <c r="V301" s="160"/>
      <c r="W301" s="160"/>
      <c r="X301" s="160"/>
      <c r="Y301" s="160"/>
      <c r="Z301" s="160"/>
      <c r="AA301" s="160"/>
      <c r="AB301" s="160"/>
      <c r="AC301" s="160"/>
      <c r="AD301" s="160"/>
      <c r="AE301" s="160"/>
      <c r="AF301" s="160"/>
      <c r="AG301" s="160"/>
      <c r="AH301" s="160"/>
      <c r="AI301" s="160"/>
      <c r="AJ301" s="160"/>
      <c r="AK301" s="160"/>
      <c r="AL301" s="160"/>
      <c r="AM301" s="160"/>
      <c r="AN301" s="160"/>
    </row>
    <row r="302" spans="1:40">
      <c r="B302" s="170"/>
      <c r="C302" s="110"/>
      <c r="E302" s="121"/>
      <c r="F302" s="121"/>
      <c r="G302" s="121"/>
      <c r="H302" s="121"/>
      <c r="I302" s="121"/>
      <c r="J302" s="121"/>
      <c r="K302" s="121"/>
      <c r="L302" s="121"/>
      <c r="M302" s="121"/>
      <c r="N302" s="121"/>
      <c r="O302" s="121"/>
      <c r="P302" s="121"/>
      <c r="Q302" s="121"/>
      <c r="R302" s="121"/>
      <c r="S302" s="121"/>
      <c r="T302" s="47"/>
      <c r="U302" s="121"/>
      <c r="V302" s="121"/>
      <c r="W302" s="121"/>
      <c r="X302" s="121"/>
      <c r="Y302" s="121"/>
      <c r="Z302" s="121"/>
      <c r="AA302" s="121"/>
      <c r="AB302" s="121"/>
      <c r="AC302" s="121"/>
      <c r="AD302" s="121"/>
      <c r="AE302" s="121"/>
      <c r="AF302" s="121"/>
      <c r="AG302" s="121"/>
      <c r="AH302" s="121"/>
      <c r="AI302" s="121"/>
      <c r="AJ302" s="121"/>
      <c r="AK302" s="121"/>
      <c r="AL302" s="121"/>
      <c r="AM302" s="121"/>
      <c r="AN302" s="121"/>
    </row>
    <row r="303" spans="1:40">
      <c r="B303" s="129" t="s">
        <v>141</v>
      </c>
      <c r="C303" s="110"/>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row>
    <row r="304" spans="1:40">
      <c r="B304" s="170"/>
      <c r="C304" s="110"/>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row>
    <row r="305" spans="1:40">
      <c r="B305" s="129" t="s">
        <v>142</v>
      </c>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c r="AH305" s="161"/>
      <c r="AI305" s="161"/>
      <c r="AJ305" s="161"/>
      <c r="AK305" s="161"/>
      <c r="AL305" s="161"/>
      <c r="AM305" s="161"/>
      <c r="AN305" s="161"/>
    </row>
    <row r="306" spans="1:40">
      <c r="B306" s="174" t="s">
        <v>70</v>
      </c>
      <c r="C306" s="36" t="s">
        <v>72</v>
      </c>
      <c r="E306" s="546">
        <v>263.2</v>
      </c>
      <c r="F306" s="546">
        <v>267.8</v>
      </c>
      <c r="G306" s="546">
        <v>279.3</v>
      </c>
      <c r="H306" s="546">
        <v>271.10000000000002</v>
      </c>
      <c r="I306" s="546">
        <v>276.5</v>
      </c>
      <c r="J306" s="546">
        <v>174.4</v>
      </c>
      <c r="K306" s="546">
        <v>206.9</v>
      </c>
      <c r="L306" s="546">
        <v>229.8</v>
      </c>
      <c r="M306" s="546">
        <v>107.6</v>
      </c>
      <c r="N306" s="546">
        <v>189.2</v>
      </c>
      <c r="O306" s="47">
        <f t="shared" ref="O306:AN306" si="110">O87</f>
        <v>258.3</v>
      </c>
      <c r="P306" s="47">
        <f t="shared" si="110"/>
        <v>259.70000000000005</v>
      </c>
      <c r="Q306" s="47">
        <f t="shared" si="110"/>
        <v>280.60000000000002</v>
      </c>
      <c r="R306" s="47">
        <f t="shared" si="110"/>
        <v>266.09999999999997</v>
      </c>
      <c r="S306" s="47">
        <f t="shared" si="110"/>
        <v>258.3</v>
      </c>
      <c r="T306" s="47">
        <f t="shared" si="110"/>
        <v>255.99999999999994</v>
      </c>
      <c r="U306" s="47">
        <f t="shared" si="110"/>
        <v>248.1</v>
      </c>
      <c r="V306" s="47">
        <f t="shared" si="110"/>
        <v>250.50000000000003</v>
      </c>
      <c r="W306" s="47">
        <f t="shared" si="110"/>
        <v>256</v>
      </c>
      <c r="X306" s="47">
        <f t="shared" si="110"/>
        <v>258</v>
      </c>
      <c r="Y306" s="47">
        <f t="shared" si="110"/>
        <v>272</v>
      </c>
      <c r="Z306" s="47">
        <f t="shared" si="110"/>
        <v>271.42499999999995</v>
      </c>
      <c r="AA306" s="47">
        <f t="shared" si="110"/>
        <v>280.31</v>
      </c>
      <c r="AB306" s="47">
        <f t="shared" si="110"/>
        <v>279.69775000000004</v>
      </c>
      <c r="AC306" s="47">
        <f t="shared" si="110"/>
        <v>288.90469999999999</v>
      </c>
      <c r="AD306" s="47">
        <f t="shared" si="110"/>
        <v>288.25383450000004</v>
      </c>
      <c r="AE306" s="47">
        <f t="shared" si="110"/>
        <v>297.79435100000001</v>
      </c>
      <c r="AF306" s="47">
        <f t="shared" si="110"/>
        <v>297.10345913500004</v>
      </c>
      <c r="AG306" s="47">
        <f t="shared" si="110"/>
        <v>306.98958287000005</v>
      </c>
      <c r="AH306" s="47">
        <f t="shared" si="110"/>
        <v>306.25720692825001</v>
      </c>
      <c r="AI306" s="47">
        <f t="shared" si="110"/>
        <v>316.50141859910002</v>
      </c>
      <c r="AJ306" s="47">
        <f t="shared" si="110"/>
        <v>315.72605249161757</v>
      </c>
      <c r="AK306" s="47">
        <f t="shared" si="110"/>
        <v>326.34128908768707</v>
      </c>
      <c r="AL306" s="47">
        <f t="shared" si="110"/>
        <v>325.52137676741438</v>
      </c>
      <c r="AM306" s="47">
        <f t="shared" si="110"/>
        <v>336.52104850362917</v>
      </c>
      <c r="AN306" s="47">
        <f t="shared" si="110"/>
        <v>335.65498233254766</v>
      </c>
    </row>
    <row r="307" spans="1:40">
      <c r="B307" s="174" t="s">
        <v>77</v>
      </c>
      <c r="C307" s="36" t="s">
        <v>72</v>
      </c>
      <c r="E307" s="546">
        <f t="shared" ref="E307:AN307" si="111">E94</f>
        <v>28.007000000000001</v>
      </c>
      <c r="F307" s="546">
        <f t="shared" si="111"/>
        <v>30.34591</v>
      </c>
      <c r="G307" s="546">
        <f t="shared" si="111"/>
        <v>28.776999999999997</v>
      </c>
      <c r="H307" s="546">
        <f t="shared" si="111"/>
        <v>30.64601</v>
      </c>
      <c r="I307" s="546">
        <f t="shared" si="111"/>
        <v>30.991</v>
      </c>
      <c r="J307" s="546">
        <f t="shared" si="111"/>
        <v>26.248829999999998</v>
      </c>
      <c r="K307" s="546">
        <f t="shared" si="111"/>
        <v>33.478999999999999</v>
      </c>
      <c r="L307" s="546">
        <f t="shared" si="111"/>
        <v>36.721270000000004</v>
      </c>
      <c r="M307" s="546">
        <f t="shared" si="111"/>
        <v>26.102</v>
      </c>
      <c r="N307" s="546">
        <f t="shared" si="111"/>
        <v>32.858000000000004</v>
      </c>
      <c r="O307" s="47">
        <f t="shared" si="111"/>
        <v>42.2</v>
      </c>
      <c r="P307" s="47">
        <f t="shared" si="111"/>
        <v>35.700000000000003</v>
      </c>
      <c r="Q307" s="47">
        <f t="shared" si="111"/>
        <v>38.699999999999996</v>
      </c>
      <c r="R307" s="47">
        <f t="shared" si="111"/>
        <v>38.400000000000006</v>
      </c>
      <c r="S307" s="47">
        <f t="shared" si="111"/>
        <v>38.299999999999997</v>
      </c>
      <c r="T307" s="47">
        <f t="shared" si="111"/>
        <v>35.900000000000006</v>
      </c>
      <c r="U307" s="47">
        <f t="shared" si="111"/>
        <v>37.4</v>
      </c>
      <c r="V307" s="47">
        <f t="shared" si="111"/>
        <v>36.500000000000007</v>
      </c>
      <c r="W307" s="47">
        <f t="shared" si="111"/>
        <v>37.564999999999998</v>
      </c>
      <c r="X307" s="47">
        <f t="shared" si="111"/>
        <v>37.268999999999998</v>
      </c>
      <c r="Y307" s="47">
        <f t="shared" si="111"/>
        <v>38.748539999999991</v>
      </c>
      <c r="Z307" s="47">
        <f t="shared" si="111"/>
        <v>38.370689999999996</v>
      </c>
      <c r="AA307" s="47">
        <f t="shared" si="111"/>
        <v>40.084260599999993</v>
      </c>
      <c r="AB307" s="47">
        <f t="shared" si="111"/>
        <v>39.429156900000002</v>
      </c>
      <c r="AC307" s="47">
        <f t="shared" si="111"/>
        <v>41.197666278</v>
      </c>
      <c r="AD307" s="47">
        <f t="shared" si="111"/>
        <v>40.519894868999998</v>
      </c>
      <c r="AE307" s="47">
        <f t="shared" si="111"/>
        <v>42.34523650493999</v>
      </c>
      <c r="AF307" s="47">
        <f t="shared" si="111"/>
        <v>41.643934953690007</v>
      </c>
      <c r="AG307" s="47">
        <f t="shared" si="111"/>
        <v>43.528069985074197</v>
      </c>
      <c r="AH307" s="47">
        <f t="shared" si="111"/>
        <v>42.80234207106691</v>
      </c>
      <c r="AI307" s="47">
        <f t="shared" si="111"/>
        <v>44.747301767222282</v>
      </c>
      <c r="AJ307" s="47">
        <f t="shared" si="111"/>
        <v>43.996216146323171</v>
      </c>
      <c r="AK307" s="47">
        <f t="shared" si="111"/>
        <v>46.004104474771168</v>
      </c>
      <c r="AL307" s="47">
        <f t="shared" si="111"/>
        <v>45.226693289785587</v>
      </c>
      <c r="AM307" s="47">
        <f t="shared" si="111"/>
        <v>47.299689578206667</v>
      </c>
      <c r="AN307" s="47">
        <f t="shared" si="111"/>
        <v>46.494947014272512</v>
      </c>
    </row>
    <row r="308" spans="1:40">
      <c r="B308" s="174" t="s">
        <v>143</v>
      </c>
      <c r="C308" s="36" t="s">
        <v>72</v>
      </c>
      <c r="E308" s="546">
        <f t="shared" ref="E308:AN308" si="112">E101</f>
        <v>77.168066951099433</v>
      </c>
      <c r="F308" s="546">
        <f t="shared" si="112"/>
        <v>63.510068755616736</v>
      </c>
      <c r="G308" s="546">
        <f t="shared" si="112"/>
        <v>75.792121407814022</v>
      </c>
      <c r="H308" s="546">
        <f t="shared" si="112"/>
        <v>63.582662092338808</v>
      </c>
      <c r="I308" s="546">
        <f t="shared" si="112"/>
        <v>74.263795110593719</v>
      </c>
      <c r="J308" s="546">
        <f t="shared" si="112"/>
        <v>38.503322300239049</v>
      </c>
      <c r="K308" s="546">
        <f t="shared" si="112"/>
        <v>87.206299550032142</v>
      </c>
      <c r="L308" s="546">
        <f t="shared" si="112"/>
        <v>100.04696944842996</v>
      </c>
      <c r="M308" s="546">
        <f t="shared" si="112"/>
        <v>90.026246719160099</v>
      </c>
      <c r="N308" s="546">
        <f t="shared" si="112"/>
        <v>89.765447132948594</v>
      </c>
      <c r="O308" s="47">
        <f t="shared" si="112"/>
        <v>129.89999999999998</v>
      </c>
      <c r="P308" s="47">
        <f t="shared" si="112"/>
        <v>119.9</v>
      </c>
      <c r="Q308" s="47">
        <f t="shared" si="112"/>
        <v>116.79926454683107</v>
      </c>
      <c r="R308" s="47">
        <f t="shared" si="112"/>
        <v>119.90073545316895</v>
      </c>
      <c r="S308" s="47">
        <f t="shared" si="112"/>
        <v>123.2</v>
      </c>
      <c r="T308" s="47">
        <f t="shared" si="112"/>
        <v>108.8</v>
      </c>
      <c r="U308" s="47">
        <f t="shared" si="112"/>
        <v>124.5</v>
      </c>
      <c r="V308" s="47">
        <f t="shared" si="112"/>
        <v>122.1</v>
      </c>
      <c r="W308" s="47">
        <f t="shared" si="112"/>
        <v>125</v>
      </c>
      <c r="X308" s="47">
        <f t="shared" si="112"/>
        <v>124.1</v>
      </c>
      <c r="Y308" s="47">
        <f t="shared" si="112"/>
        <v>113</v>
      </c>
      <c r="Z308" s="47">
        <f t="shared" si="112"/>
        <v>111.068</v>
      </c>
      <c r="AA308" s="47">
        <f t="shared" si="112"/>
        <v>118.9</v>
      </c>
      <c r="AB308" s="47">
        <f t="shared" si="112"/>
        <v>116.89071999999999</v>
      </c>
      <c r="AC308" s="47">
        <f t="shared" si="112"/>
        <v>125.11879999999999</v>
      </c>
      <c r="AD308" s="47">
        <f t="shared" si="112"/>
        <v>123.0291488</v>
      </c>
      <c r="AE308" s="47">
        <f t="shared" si="112"/>
        <v>131.67412000000002</v>
      </c>
      <c r="AF308" s="47">
        <f t="shared" si="112"/>
        <v>129.500882752</v>
      </c>
      <c r="AG308" s="47">
        <f t="shared" si="112"/>
        <v>138.58468688000002</v>
      </c>
      <c r="AH308" s="47">
        <f t="shared" si="112"/>
        <v>136.32452014208002</v>
      </c>
      <c r="AI308" s="47">
        <f t="shared" si="112"/>
        <v>145.87029256000002</v>
      </c>
      <c r="AJ308" s="47">
        <f t="shared" si="112"/>
        <v>143.51971915256323</v>
      </c>
      <c r="AK308" s="47">
        <f t="shared" si="112"/>
        <v>150.11261582505603</v>
      </c>
      <c r="AL308" s="47">
        <f t="shared" si="112"/>
        <v>147.66801948132178</v>
      </c>
      <c r="AM308" s="47">
        <f t="shared" si="112"/>
        <v>154.49693075125796</v>
      </c>
      <c r="AN308" s="47">
        <f t="shared" si="112"/>
        <v>151.95455055377431</v>
      </c>
    </row>
    <row r="309" spans="1:40">
      <c r="B309" s="174" t="s">
        <v>144</v>
      </c>
      <c r="C309" s="36" t="s">
        <v>72</v>
      </c>
      <c r="E309" s="47">
        <f t="shared" ref="E309:AN309" si="113">E287</f>
        <v>0</v>
      </c>
      <c r="F309" s="47">
        <f t="shared" si="113"/>
        <v>0</v>
      </c>
      <c r="G309" s="47">
        <f t="shared" si="113"/>
        <v>0</v>
      </c>
      <c r="H309" s="47">
        <f t="shared" si="113"/>
        <v>0</v>
      </c>
      <c r="I309" s="47">
        <f t="shared" si="113"/>
        <v>0.2</v>
      </c>
      <c r="J309" s="47">
        <f t="shared" si="113"/>
        <v>4.3</v>
      </c>
      <c r="K309" s="47">
        <f t="shared" si="113"/>
        <v>7.5</v>
      </c>
      <c r="L309" s="47">
        <f t="shared" si="113"/>
        <v>5.6</v>
      </c>
      <c r="M309" s="47">
        <f t="shared" si="113"/>
        <v>9.3000000000000007</v>
      </c>
      <c r="N309" s="47">
        <f t="shared" si="113"/>
        <v>7.5999999999999979</v>
      </c>
      <c r="O309" s="47">
        <f t="shared" si="113"/>
        <v>7.9</v>
      </c>
      <c r="P309" s="47">
        <f t="shared" si="113"/>
        <v>7.5</v>
      </c>
      <c r="Q309" s="47">
        <f t="shared" si="113"/>
        <v>5.6</v>
      </c>
      <c r="R309" s="47">
        <f t="shared" si="113"/>
        <v>3.7000000000000011</v>
      </c>
      <c r="S309" s="47">
        <f t="shared" si="113"/>
        <v>2.1</v>
      </c>
      <c r="T309" s="47">
        <f t="shared" si="113"/>
        <v>1.9999999999999996</v>
      </c>
      <c r="U309" s="47">
        <f t="shared" si="113"/>
        <v>1.6</v>
      </c>
      <c r="V309" s="47">
        <f t="shared" si="113"/>
        <v>1.1999999999999997</v>
      </c>
      <c r="W309" s="47">
        <f t="shared" si="113"/>
        <v>1</v>
      </c>
      <c r="X309" s="47">
        <f t="shared" si="113"/>
        <v>2</v>
      </c>
      <c r="Y309" s="47">
        <f t="shared" si="113"/>
        <v>5</v>
      </c>
      <c r="Z309" s="47">
        <f t="shared" si="113"/>
        <v>10</v>
      </c>
      <c r="AA309" s="47">
        <f t="shared" si="113"/>
        <v>12</v>
      </c>
      <c r="AB309" s="47">
        <f t="shared" si="113"/>
        <v>12</v>
      </c>
      <c r="AC309" s="47">
        <f t="shared" si="113"/>
        <v>14.399999999999999</v>
      </c>
      <c r="AD309" s="47">
        <f t="shared" si="113"/>
        <v>14.399999999999999</v>
      </c>
      <c r="AE309" s="47">
        <f t="shared" si="113"/>
        <v>17.279999999999998</v>
      </c>
      <c r="AF309" s="47">
        <f t="shared" si="113"/>
        <v>16.559999999999999</v>
      </c>
      <c r="AG309" s="47">
        <f t="shared" si="113"/>
        <v>19.871999999999996</v>
      </c>
      <c r="AH309" s="47">
        <f t="shared" si="113"/>
        <v>19.043999999999997</v>
      </c>
      <c r="AI309" s="47">
        <f t="shared" si="113"/>
        <v>22.852799999999995</v>
      </c>
      <c r="AJ309" s="47">
        <f t="shared" si="113"/>
        <v>21.900599999999994</v>
      </c>
      <c r="AK309" s="47">
        <f t="shared" si="113"/>
        <v>26.280719999999992</v>
      </c>
      <c r="AL309" s="47">
        <f t="shared" si="113"/>
        <v>25.18568999999999</v>
      </c>
      <c r="AM309" s="47">
        <f t="shared" si="113"/>
        <v>30.222827999999989</v>
      </c>
      <c r="AN309" s="47">
        <f t="shared" si="113"/>
        <v>28.963543499999986</v>
      </c>
    </row>
    <row r="310" spans="1:40">
      <c r="B310" s="174" t="s">
        <v>145</v>
      </c>
      <c r="C310" s="36" t="s">
        <v>72</v>
      </c>
      <c r="E310" s="541">
        <v>59.051372935127461</v>
      </c>
      <c r="F310" s="541">
        <v>100.191712104689</v>
      </c>
      <c r="G310" s="541">
        <v>103.2554192229039</v>
      </c>
      <c r="H310" s="541">
        <v>85.333506340628105</v>
      </c>
      <c r="I310" s="541">
        <v>62.686570007408143</v>
      </c>
      <c r="J310" s="541">
        <v>17.140418339319691</v>
      </c>
      <c r="K310" s="541">
        <v>10.113991857724439</v>
      </c>
      <c r="L310" s="541">
        <v>14.26894999196014</v>
      </c>
      <c r="M310" s="541">
        <v>6.2721784776902609</v>
      </c>
      <c r="N310" s="541">
        <v>16.696171970138149</v>
      </c>
      <c r="O310" s="47">
        <f t="shared" ref="O310:V310" si="114">O311-SUM(O306:O309)</f>
        <v>0.60000000000002274</v>
      </c>
      <c r="P310" s="47">
        <f t="shared" si="114"/>
        <v>0.89999999999997726</v>
      </c>
      <c r="Q310" s="47">
        <f t="shared" si="114"/>
        <v>1.1007354531689089</v>
      </c>
      <c r="R310" s="47">
        <f t="shared" si="114"/>
        <v>-0.40073545316897707</v>
      </c>
      <c r="S310" s="47">
        <f t="shared" si="114"/>
        <v>9.9999999999965894E-2</v>
      </c>
      <c r="T310" s="47">
        <f t="shared" si="114"/>
        <v>0.50000000000005684</v>
      </c>
      <c r="U310" s="47">
        <f t="shared" si="114"/>
        <v>9.9999999999965894E-2</v>
      </c>
      <c r="V310" s="47">
        <f t="shared" si="114"/>
        <v>0.70000000000004547</v>
      </c>
      <c r="W310" s="94">
        <v>0</v>
      </c>
      <c r="X310" s="94">
        <v>0</v>
      </c>
      <c r="Y310" s="94">
        <v>0</v>
      </c>
      <c r="Z310" s="94">
        <v>0</v>
      </c>
      <c r="AA310" s="94">
        <v>0</v>
      </c>
      <c r="AB310" s="94">
        <v>0</v>
      </c>
      <c r="AC310" s="94">
        <v>0</v>
      </c>
      <c r="AD310" s="94">
        <v>0</v>
      </c>
      <c r="AE310" s="94">
        <v>0</v>
      </c>
      <c r="AF310" s="94">
        <v>0</v>
      </c>
      <c r="AG310" s="94">
        <v>0</v>
      </c>
      <c r="AH310" s="94">
        <v>0</v>
      </c>
      <c r="AI310" s="94">
        <v>0</v>
      </c>
      <c r="AJ310" s="94">
        <v>0</v>
      </c>
      <c r="AK310" s="94">
        <v>0</v>
      </c>
      <c r="AL310" s="94">
        <v>0</v>
      </c>
      <c r="AM310" s="94">
        <v>0</v>
      </c>
      <c r="AN310" s="94">
        <v>0</v>
      </c>
    </row>
    <row r="311" spans="1:40" s="162" customFormat="1">
      <c r="B311" s="175" t="s">
        <v>146</v>
      </c>
      <c r="C311" s="164" t="s">
        <v>72</v>
      </c>
      <c r="D311" s="165"/>
      <c r="E311" s="166">
        <f t="shared" ref="E311:N311" si="115">SUM(E306:E310)</f>
        <v>427.42643988622689</v>
      </c>
      <c r="F311" s="166">
        <f t="shared" si="115"/>
        <v>461.84769086030576</v>
      </c>
      <c r="G311" s="166">
        <f t="shared" si="115"/>
        <v>487.12454063071789</v>
      </c>
      <c r="H311" s="166">
        <f t="shared" si="115"/>
        <v>450.66217843296693</v>
      </c>
      <c r="I311" s="166">
        <f t="shared" si="115"/>
        <v>444.64136511800183</v>
      </c>
      <c r="J311" s="166">
        <f t="shared" si="115"/>
        <v>260.59257063955874</v>
      </c>
      <c r="K311" s="166">
        <f t="shared" si="115"/>
        <v>345.19929140775662</v>
      </c>
      <c r="L311" s="166">
        <f t="shared" si="115"/>
        <v>386.43718944039011</v>
      </c>
      <c r="M311" s="166">
        <f t="shared" si="115"/>
        <v>239.30042519685037</v>
      </c>
      <c r="N311" s="166">
        <f t="shared" si="115"/>
        <v>336.11961910308673</v>
      </c>
      <c r="O311" s="172">
        <v>438.9</v>
      </c>
      <c r="P311" s="172">
        <f>862.6-O311</f>
        <v>423.70000000000005</v>
      </c>
      <c r="Q311" s="172">
        <v>442.8</v>
      </c>
      <c r="R311" s="172">
        <f>870.5-Q311</f>
        <v>427.7</v>
      </c>
      <c r="S311" s="172">
        <v>422</v>
      </c>
      <c r="T311" s="172">
        <f>825.2-S311</f>
        <v>403.20000000000005</v>
      </c>
      <c r="U311" s="172">
        <v>411.7</v>
      </c>
      <c r="V311" s="172">
        <f>822.7-U311</f>
        <v>411.00000000000006</v>
      </c>
      <c r="W311" s="166">
        <f t="shared" ref="W311:AN311" si="116">SUM(W306:W310)</f>
        <v>419.565</v>
      </c>
      <c r="X311" s="166">
        <f t="shared" si="116"/>
        <v>421.36900000000003</v>
      </c>
      <c r="Y311" s="166">
        <f t="shared" si="116"/>
        <v>428.74853999999999</v>
      </c>
      <c r="Z311" s="166">
        <f t="shared" si="116"/>
        <v>430.86368999999991</v>
      </c>
      <c r="AA311" s="166">
        <f t="shared" si="116"/>
        <v>451.29426060000003</v>
      </c>
      <c r="AB311" s="166">
        <f t="shared" si="116"/>
        <v>448.01762690000004</v>
      </c>
      <c r="AC311" s="166">
        <f t="shared" si="116"/>
        <v>469.62116627799992</v>
      </c>
      <c r="AD311" s="166">
        <f t="shared" si="116"/>
        <v>466.20287816899997</v>
      </c>
      <c r="AE311" s="166">
        <f t="shared" si="116"/>
        <v>489.09370750493997</v>
      </c>
      <c r="AF311" s="166">
        <f t="shared" si="116"/>
        <v>484.80827684069004</v>
      </c>
      <c r="AG311" s="166">
        <f t="shared" si="116"/>
        <v>508.97433973507424</v>
      </c>
      <c r="AH311" s="166">
        <f t="shared" si="116"/>
        <v>504.42806914139692</v>
      </c>
      <c r="AI311" s="166">
        <f t="shared" si="116"/>
        <v>529.97181292632229</v>
      </c>
      <c r="AJ311" s="166">
        <f t="shared" si="116"/>
        <v>525.14258779050385</v>
      </c>
      <c r="AK311" s="166">
        <f t="shared" si="116"/>
        <v>548.73872938751424</v>
      </c>
      <c r="AL311" s="166">
        <f t="shared" si="116"/>
        <v>543.60177953852178</v>
      </c>
      <c r="AM311" s="166">
        <f t="shared" si="116"/>
        <v>568.5404968330937</v>
      </c>
      <c r="AN311" s="166">
        <f t="shared" si="116"/>
        <v>563.06802340059448</v>
      </c>
    </row>
    <row r="312" spans="1:40" s="162" customFormat="1">
      <c r="B312" s="163"/>
      <c r="C312" s="164"/>
      <c r="D312" s="165"/>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c r="AB312" s="166"/>
      <c r="AC312" s="166"/>
      <c r="AD312" s="166"/>
      <c r="AE312" s="166"/>
      <c r="AF312" s="166"/>
      <c r="AG312" s="166"/>
      <c r="AH312" s="166"/>
      <c r="AI312" s="166"/>
      <c r="AJ312" s="166"/>
      <c r="AK312" s="166"/>
      <c r="AL312" s="166"/>
      <c r="AM312" s="166"/>
      <c r="AN312" s="166"/>
    </row>
    <row r="313" spans="1:40" s="162" customFormat="1">
      <c r="B313" s="176" t="s">
        <v>136</v>
      </c>
      <c r="C313" s="36" t="s">
        <v>72</v>
      </c>
      <c r="D313" s="165"/>
      <c r="E313" s="47">
        <f t="shared" ref="E313:AN313" si="117">E325-E311</f>
        <v>-274.42643988622689</v>
      </c>
      <c r="F313" s="47">
        <f t="shared" si="117"/>
        <v>-304.04769086030575</v>
      </c>
      <c r="G313" s="47">
        <f t="shared" si="117"/>
        <v>-315.4245406307179</v>
      </c>
      <c r="H313" s="47">
        <f t="shared" si="117"/>
        <v>-300.16217843296693</v>
      </c>
      <c r="I313" s="47">
        <f t="shared" si="117"/>
        <v>-291.34136511800182</v>
      </c>
      <c r="J313" s="47">
        <f t="shared" si="117"/>
        <v>-213.19257063955877</v>
      </c>
      <c r="K313" s="47">
        <f t="shared" si="117"/>
        <v>-227.39929140775661</v>
      </c>
      <c r="L313" s="47">
        <f t="shared" si="117"/>
        <v>-255.6371894403901</v>
      </c>
      <c r="M313" s="47">
        <f t="shared" si="117"/>
        <v>-203.10042519685038</v>
      </c>
      <c r="N313" s="47">
        <f t="shared" si="117"/>
        <v>-234.41961910308675</v>
      </c>
      <c r="O313" s="177">
        <f t="shared" si="117"/>
        <v>-277.09999999999997</v>
      </c>
      <c r="P313" s="177">
        <f t="shared" si="117"/>
        <v>-283.70000000000005</v>
      </c>
      <c r="Q313" s="177">
        <f t="shared" si="117"/>
        <v>-298.5</v>
      </c>
      <c r="R313" s="177">
        <f t="shared" si="117"/>
        <v>-294.2</v>
      </c>
      <c r="S313" s="177">
        <f t="shared" si="117"/>
        <v>-302.5</v>
      </c>
      <c r="T313" s="177">
        <f t="shared" si="117"/>
        <v>-289.00000000000006</v>
      </c>
      <c r="U313" s="177">
        <f t="shared" si="117"/>
        <v>-326.2</v>
      </c>
      <c r="V313" s="177">
        <f t="shared" si="117"/>
        <v>-314.90000000000009</v>
      </c>
      <c r="W313" s="177">
        <f t="shared" si="117"/>
        <v>-330.42936800000001</v>
      </c>
      <c r="X313" s="177">
        <f t="shared" si="117"/>
        <v>-327.31849680000005</v>
      </c>
      <c r="Y313" s="177">
        <f t="shared" si="117"/>
        <v>-329.30683108799997</v>
      </c>
      <c r="Z313" s="177">
        <f t="shared" si="117"/>
        <v>-325.47325256799996</v>
      </c>
      <c r="AA313" s="177">
        <f t="shared" si="117"/>
        <v>-337.01786910032001</v>
      </c>
      <c r="AB313" s="177">
        <f t="shared" si="117"/>
        <v>-332.94952184567995</v>
      </c>
      <c r="AC313" s="177">
        <f t="shared" si="117"/>
        <v>-350.71441908832156</v>
      </c>
      <c r="AD313" s="177">
        <f t="shared" si="117"/>
        <v>-346.41118913981677</v>
      </c>
      <c r="AE313" s="177">
        <f t="shared" si="117"/>
        <v>-365.17029308123313</v>
      </c>
      <c r="AF313" s="177">
        <f t="shared" si="117"/>
        <v>-360.1873663341301</v>
      </c>
      <c r="AG313" s="177">
        <f t="shared" si="117"/>
        <v>-379.94355332322436</v>
      </c>
      <c r="AH313" s="177">
        <f t="shared" si="117"/>
        <v>-374.63463766841244</v>
      </c>
      <c r="AI313" s="177">
        <f t="shared" si="117"/>
        <v>-395.45993353605377</v>
      </c>
      <c r="AJ313" s="177">
        <f t="shared" si="117"/>
        <v>-389.80110365065974</v>
      </c>
      <c r="AK313" s="177">
        <f t="shared" si="117"/>
        <v>-411.13864658457135</v>
      </c>
      <c r="AL313" s="177">
        <f t="shared" si="117"/>
        <v>-405.10376891608121</v>
      </c>
      <c r="AM313" s="177">
        <f t="shared" si="117"/>
        <v>-427.62646193306858</v>
      </c>
      <c r="AN313" s="177">
        <f t="shared" si="117"/>
        <v>-421.18693708500911</v>
      </c>
    </row>
    <row r="314" spans="1:40" s="162" customFormat="1">
      <c r="B314" s="163"/>
      <c r="C314" s="164"/>
      <c r="D314" s="165"/>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c r="AB314" s="166"/>
      <c r="AC314" s="166"/>
      <c r="AD314" s="166"/>
      <c r="AE314" s="166"/>
      <c r="AF314" s="166"/>
      <c r="AG314" s="166"/>
      <c r="AH314" s="166"/>
      <c r="AI314" s="166"/>
      <c r="AJ314" s="166"/>
      <c r="AK314" s="166"/>
      <c r="AL314" s="166"/>
      <c r="AM314" s="166"/>
      <c r="AN314" s="166"/>
    </row>
    <row r="315" spans="1:40">
      <c r="A315" s="162"/>
      <c r="B315" s="179" t="s">
        <v>147</v>
      </c>
      <c r="C315" s="36" t="s">
        <v>72</v>
      </c>
      <c r="E315" s="173">
        <v>-15.1</v>
      </c>
      <c r="F315" s="173">
        <f>-33-E315</f>
        <v>-17.899999999999999</v>
      </c>
      <c r="G315" s="173">
        <v>-16.7</v>
      </c>
      <c r="H315" s="173">
        <f>-33.8-G315</f>
        <v>-17.099999999999998</v>
      </c>
      <c r="I315" s="173">
        <v>-18.899999999999999</v>
      </c>
      <c r="J315" s="173">
        <f>-31.5-I315</f>
        <v>-12.600000000000001</v>
      </c>
      <c r="K315" s="173">
        <v>-20.8</v>
      </c>
      <c r="L315" s="173">
        <f>-37.9-K315</f>
        <v>-17.099999999999998</v>
      </c>
      <c r="M315" s="173">
        <v>-8</v>
      </c>
      <c r="N315" s="173">
        <f>-24.7-M315</f>
        <v>-16.7</v>
      </c>
      <c r="O315" s="173">
        <v>-18.600000000000001</v>
      </c>
      <c r="P315" s="173">
        <f>-37.2-O315</f>
        <v>-18.600000000000001</v>
      </c>
      <c r="Q315" s="173">
        <v>-20.5</v>
      </c>
      <c r="R315" s="173">
        <f>-37.9-Q315</f>
        <v>-17.399999999999999</v>
      </c>
      <c r="S315" s="173">
        <v>-26.3</v>
      </c>
      <c r="T315" s="173">
        <f>-39.5-S315</f>
        <v>-13.2</v>
      </c>
      <c r="U315" s="173">
        <v>-27.2</v>
      </c>
      <c r="V315" s="173">
        <f>-46.8-U315</f>
        <v>-19.599999999999998</v>
      </c>
      <c r="W315" s="47">
        <f>U315*(1+W316)</f>
        <v>-28.56</v>
      </c>
      <c r="X315" s="94">
        <v>-23</v>
      </c>
      <c r="Y315" s="47">
        <f t="shared" ref="Y315:AN315" si="118">W315*(1+Y316)</f>
        <v>-29.988</v>
      </c>
      <c r="Z315" s="47">
        <f t="shared" si="118"/>
        <v>-24.150000000000002</v>
      </c>
      <c r="AA315" s="47">
        <f t="shared" si="118"/>
        <v>-31.487400000000001</v>
      </c>
      <c r="AB315" s="47">
        <f t="shared" si="118"/>
        <v>-25.357500000000002</v>
      </c>
      <c r="AC315" s="47">
        <f t="shared" si="118"/>
        <v>-33.061770000000003</v>
      </c>
      <c r="AD315" s="47">
        <f t="shared" si="118"/>
        <v>-26.625375000000002</v>
      </c>
      <c r="AE315" s="47">
        <f t="shared" si="118"/>
        <v>-34.714858500000005</v>
      </c>
      <c r="AF315" s="47">
        <f t="shared" si="118"/>
        <v>-27.956643750000001</v>
      </c>
      <c r="AG315" s="47">
        <f t="shared" si="118"/>
        <v>-36.450601425000009</v>
      </c>
      <c r="AH315" s="47">
        <f t="shared" si="118"/>
        <v>-29.354475937500002</v>
      </c>
      <c r="AI315" s="47">
        <f t="shared" si="118"/>
        <v>-38.273131496250009</v>
      </c>
      <c r="AJ315" s="47">
        <f t="shared" si="118"/>
        <v>-30.822199734375005</v>
      </c>
      <c r="AK315" s="47">
        <f t="shared" si="118"/>
        <v>-40.186788071062509</v>
      </c>
      <c r="AL315" s="47">
        <f t="shared" si="118"/>
        <v>-32.363309721093756</v>
      </c>
      <c r="AM315" s="47">
        <f t="shared" si="118"/>
        <v>-42.196127474615636</v>
      </c>
      <c r="AN315" s="47">
        <f t="shared" si="118"/>
        <v>-33.981475207148449</v>
      </c>
    </row>
    <row r="316" spans="1:40">
      <c r="B316" s="137" t="s">
        <v>131</v>
      </c>
      <c r="C316" s="39" t="s">
        <v>88</v>
      </c>
      <c r="E316" s="40"/>
      <c r="F316" s="40"/>
      <c r="G316" s="29">
        <f t="shared" ref="G316:V316" si="119">G315/E315-1</f>
        <v>0.10596026490066213</v>
      </c>
      <c r="H316" s="29">
        <f t="shared" si="119"/>
        <v>-4.4692737430167662E-2</v>
      </c>
      <c r="I316" s="29">
        <f t="shared" si="119"/>
        <v>0.13173652694610771</v>
      </c>
      <c r="J316" s="29">
        <f t="shared" si="119"/>
        <v>-0.26315789473684192</v>
      </c>
      <c r="K316" s="29">
        <f t="shared" si="119"/>
        <v>0.10052910052910069</v>
      </c>
      <c r="L316" s="29">
        <f t="shared" si="119"/>
        <v>0.35714285714285676</v>
      </c>
      <c r="M316" s="29">
        <f t="shared" si="119"/>
        <v>-0.61538461538461542</v>
      </c>
      <c r="N316" s="29">
        <f t="shared" si="119"/>
        <v>-2.3391812865496964E-2</v>
      </c>
      <c r="O316" s="29">
        <f t="shared" si="119"/>
        <v>1.3250000000000002</v>
      </c>
      <c r="P316" s="29">
        <f t="shared" si="119"/>
        <v>0.11377245508982048</v>
      </c>
      <c r="Q316" s="29">
        <f t="shared" si="119"/>
        <v>0.10215053763440851</v>
      </c>
      <c r="R316" s="29">
        <f t="shared" si="119"/>
        <v>-6.4516129032258229E-2</v>
      </c>
      <c r="S316" s="29">
        <f t="shared" si="119"/>
        <v>0.28292682926829271</v>
      </c>
      <c r="T316" s="29">
        <f t="shared" si="119"/>
        <v>-0.24137931034482751</v>
      </c>
      <c r="U316" s="29">
        <f t="shared" si="119"/>
        <v>3.4220532319391594E-2</v>
      </c>
      <c r="V316" s="29">
        <f t="shared" si="119"/>
        <v>0.48484848484848486</v>
      </c>
      <c r="W316" s="150">
        <v>0.05</v>
      </c>
      <c r="X316" s="150">
        <v>0.05</v>
      </c>
      <c r="Y316" s="150">
        <v>0.05</v>
      </c>
      <c r="Z316" s="150">
        <v>0.05</v>
      </c>
      <c r="AA316" s="150">
        <v>0.05</v>
      </c>
      <c r="AB316" s="150">
        <v>0.05</v>
      </c>
      <c r="AC316" s="150">
        <v>0.05</v>
      </c>
      <c r="AD316" s="150">
        <v>0.05</v>
      </c>
      <c r="AE316" s="150">
        <v>0.05</v>
      </c>
      <c r="AF316" s="150">
        <v>0.05</v>
      </c>
      <c r="AG316" s="150">
        <v>0.05</v>
      </c>
      <c r="AH316" s="150">
        <v>0.05</v>
      </c>
      <c r="AI316" s="150">
        <v>0.05</v>
      </c>
      <c r="AJ316" s="150">
        <v>0.05</v>
      </c>
      <c r="AK316" s="150">
        <v>0.05</v>
      </c>
      <c r="AL316" s="150">
        <v>0.05</v>
      </c>
      <c r="AM316" s="150">
        <v>0.05</v>
      </c>
      <c r="AN316" s="150">
        <v>0.05</v>
      </c>
    </row>
    <row r="317" spans="1:40">
      <c r="B317" s="179"/>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row>
    <row r="318" spans="1:40">
      <c r="B318" s="129" t="s">
        <v>148</v>
      </c>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c r="AH318" s="161"/>
      <c r="AI318" s="161"/>
      <c r="AJ318" s="161"/>
      <c r="AK318" s="161"/>
      <c r="AL318" s="161"/>
      <c r="AM318" s="161"/>
      <c r="AN318" s="161"/>
    </row>
    <row r="319" spans="1:40">
      <c r="B319" s="174" t="s">
        <v>70</v>
      </c>
      <c r="C319" s="36" t="s">
        <v>72</v>
      </c>
      <c r="E319" s="541">
        <v>131</v>
      </c>
      <c r="F319" s="541">
        <v>129.69999999999999</v>
      </c>
      <c r="G319" s="541">
        <v>138</v>
      </c>
      <c r="H319" s="541">
        <v>129.4</v>
      </c>
      <c r="I319" s="541">
        <v>137.4</v>
      </c>
      <c r="J319" s="541">
        <v>56.5</v>
      </c>
      <c r="K319" s="541">
        <v>94.9</v>
      </c>
      <c r="L319" s="541">
        <v>108.5</v>
      </c>
      <c r="M319" s="541">
        <v>16</v>
      </c>
      <c r="N319" s="541">
        <v>84.9</v>
      </c>
      <c r="O319" s="47">
        <f t="shared" ref="O319:AN319" si="120">O255</f>
        <v>130.6</v>
      </c>
      <c r="P319" s="47">
        <f t="shared" si="120"/>
        <v>120.9</v>
      </c>
      <c r="Q319" s="47">
        <f t="shared" si="120"/>
        <v>125.7</v>
      </c>
      <c r="R319" s="47">
        <f t="shared" si="120"/>
        <v>111.3</v>
      </c>
      <c r="S319" s="47">
        <f t="shared" si="120"/>
        <v>107.7</v>
      </c>
      <c r="T319" s="47">
        <f t="shared" si="120"/>
        <v>101.89999999999999</v>
      </c>
      <c r="U319" s="47">
        <f t="shared" si="120"/>
        <v>89.6</v>
      </c>
      <c r="V319" s="47">
        <f t="shared" si="120"/>
        <v>90.200000000000017</v>
      </c>
      <c r="W319" s="47">
        <f t="shared" si="120"/>
        <v>91.967199999999991</v>
      </c>
      <c r="X319" s="47">
        <f t="shared" si="120"/>
        <v>93.731200000000001</v>
      </c>
      <c r="Y319" s="47">
        <f t="shared" si="120"/>
        <v>106.35360000000003</v>
      </c>
      <c r="Z319" s="47">
        <f t="shared" si="120"/>
        <v>103.79252399999996</v>
      </c>
      <c r="AA319" s="47">
        <f t="shared" si="120"/>
        <v>108.94904799999998</v>
      </c>
      <c r="AB319" s="47">
        <f t="shared" si="120"/>
        <v>106.28195156000007</v>
      </c>
      <c r="AC319" s="47">
        <f t="shared" si="120"/>
        <v>111.63051535999998</v>
      </c>
      <c r="AD319" s="47">
        <f t="shared" si="120"/>
        <v>108.85362628600004</v>
      </c>
      <c r="AE319" s="47">
        <f t="shared" si="120"/>
        <v>114.40132727080001</v>
      </c>
      <c r="AF319" s="47">
        <f t="shared" si="120"/>
        <v>111.51074354920408</v>
      </c>
      <c r="AG319" s="47">
        <f t="shared" si="120"/>
        <v>117.2649461033061</v>
      </c>
      <c r="AH319" s="47">
        <f t="shared" si="120"/>
        <v>114.25663145402768</v>
      </c>
      <c r="AI319" s="47">
        <f t="shared" si="120"/>
        <v>120.2249772182771</v>
      </c>
      <c r="AJ319" s="47">
        <f t="shared" si="120"/>
        <v>117.09475649501599</v>
      </c>
      <c r="AK319" s="47">
        <f t="shared" si="120"/>
        <v>123.2851750243461</v>
      </c>
      <c r="AL319" s="47">
        <f t="shared" si="120"/>
        <v>120.02872945675276</v>
      </c>
      <c r="AM319" s="47">
        <f t="shared" si="120"/>
        <v>126.44944929493184</v>
      </c>
      <c r="AN319" s="47">
        <f t="shared" si="120"/>
        <v>123.06231156719784</v>
      </c>
    </row>
    <row r="320" spans="1:40">
      <c r="B320" s="174" t="s">
        <v>77</v>
      </c>
      <c r="C320" s="36" t="s">
        <v>72</v>
      </c>
      <c r="E320" s="541">
        <v>14.7</v>
      </c>
      <c r="F320" s="541">
        <v>14.3</v>
      </c>
      <c r="G320" s="541">
        <v>15.2</v>
      </c>
      <c r="H320" s="541">
        <v>14</v>
      </c>
      <c r="I320" s="541">
        <v>16.399999999999999</v>
      </c>
      <c r="J320" s="541">
        <v>10.199999999999999</v>
      </c>
      <c r="K320" s="541">
        <v>20.3</v>
      </c>
      <c r="L320" s="541">
        <v>18.100000000000001</v>
      </c>
      <c r="M320" s="541">
        <v>11</v>
      </c>
      <c r="N320" s="541">
        <v>16.5</v>
      </c>
      <c r="O320" s="47">
        <f t="shared" ref="O320:AN320" si="121">O256</f>
        <v>22.9</v>
      </c>
      <c r="P320" s="47">
        <f t="shared" si="121"/>
        <v>16.399999999999999</v>
      </c>
      <c r="Q320" s="47">
        <f t="shared" si="121"/>
        <v>16.7</v>
      </c>
      <c r="R320" s="47">
        <f t="shared" si="121"/>
        <v>18.3</v>
      </c>
      <c r="S320" s="47">
        <f t="shared" si="121"/>
        <v>17.5</v>
      </c>
      <c r="T320" s="47">
        <f t="shared" si="121"/>
        <v>16.200000000000003</v>
      </c>
      <c r="U320" s="47">
        <f t="shared" si="121"/>
        <v>15.5</v>
      </c>
      <c r="V320" s="47">
        <f t="shared" si="121"/>
        <v>15.899999999999999</v>
      </c>
      <c r="W320" s="47">
        <f t="shared" si="121"/>
        <v>17.027932</v>
      </c>
      <c r="X320" s="47">
        <f t="shared" si="121"/>
        <v>16.722303199999999</v>
      </c>
      <c r="Y320" s="47">
        <f t="shared" si="121"/>
        <v>18.155608911999991</v>
      </c>
      <c r="Z320" s="47">
        <f t="shared" si="121"/>
        <v>17.771993431999995</v>
      </c>
      <c r="AA320" s="47">
        <f t="shared" si="121"/>
        <v>18.772723499679998</v>
      </c>
      <c r="AB320" s="47">
        <f t="shared" si="121"/>
        <v>18.123996694320006</v>
      </c>
      <c r="AC320" s="47">
        <f t="shared" si="121"/>
        <v>19.155119029678403</v>
      </c>
      <c r="AD320" s="47">
        <f t="shared" si="121"/>
        <v>18.483812671183202</v>
      </c>
      <c r="AE320" s="47">
        <f t="shared" si="121"/>
        <v>19.546369620906823</v>
      </c>
      <c r="AF320" s="47">
        <f t="shared" si="121"/>
        <v>18.851622712475844</v>
      </c>
      <c r="AG320" s="47">
        <f t="shared" si="121"/>
        <v>19.946694690063701</v>
      </c>
      <c r="AH320" s="47">
        <f t="shared" si="121"/>
        <v>19.227612471581558</v>
      </c>
      <c r="AI320" s="47">
        <f t="shared" si="121"/>
        <v>20.35631940148517</v>
      </c>
      <c r="AJ320" s="47">
        <f t="shared" si="121"/>
        <v>19.61197201339586</v>
      </c>
      <c r="AK320" s="47">
        <f t="shared" si="121"/>
        <v>20.775474831381235</v>
      </c>
      <c r="AL320" s="47">
        <f t="shared" si="121"/>
        <v>20.004895925490469</v>
      </c>
      <c r="AM320" s="47">
        <f t="shared" si="121"/>
        <v>21.204398137450077</v>
      </c>
      <c r="AN320" s="47">
        <f t="shared" si="121"/>
        <v>20.406583432543648</v>
      </c>
    </row>
    <row r="321" spans="2:40">
      <c r="B321" s="174" t="s">
        <v>78</v>
      </c>
      <c r="C321" s="36" t="s">
        <v>72</v>
      </c>
      <c r="E321" s="541">
        <v>14.221638770375231</v>
      </c>
      <c r="F321" s="541">
        <v>10.359869138495091</v>
      </c>
      <c r="G321" s="541">
        <v>13.346249058228389</v>
      </c>
      <c r="H321" s="541">
        <v>9.2032746535395145</v>
      </c>
      <c r="I321" s="541">
        <v>13.546407027198651</v>
      </c>
      <c r="J321" s="541">
        <v>-1.6902598774561599</v>
      </c>
      <c r="K321" s="541">
        <v>25.605313906149561</v>
      </c>
      <c r="L321" s="541">
        <v>18.759714852334241</v>
      </c>
      <c r="M321" s="541">
        <v>11.338582677165361</v>
      </c>
      <c r="N321" s="541">
        <v>10.2716153968338</v>
      </c>
      <c r="O321" s="47">
        <f t="shared" ref="O321:AN321" si="122">O257</f>
        <v>20.7</v>
      </c>
      <c r="P321" s="47">
        <f t="shared" si="122"/>
        <v>15.400000000000002</v>
      </c>
      <c r="Q321" s="47">
        <f t="shared" si="122"/>
        <v>18.2</v>
      </c>
      <c r="R321" s="47">
        <f t="shared" si="122"/>
        <v>21.400000000000002</v>
      </c>
      <c r="S321" s="47">
        <f t="shared" si="122"/>
        <v>21.6</v>
      </c>
      <c r="T321" s="47">
        <f t="shared" si="122"/>
        <v>9.5</v>
      </c>
      <c r="U321" s="47">
        <f t="shared" si="122"/>
        <v>9.6999999999999993</v>
      </c>
      <c r="V321" s="47">
        <f t="shared" si="122"/>
        <v>13.100000000000001</v>
      </c>
      <c r="W321" s="47">
        <f t="shared" si="122"/>
        <v>14.700500000000005</v>
      </c>
      <c r="X321" s="47">
        <f t="shared" si="122"/>
        <v>13.596999999999994</v>
      </c>
      <c r="Y321" s="47">
        <f t="shared" si="122"/>
        <v>9.9205000000000041</v>
      </c>
      <c r="Z321" s="47">
        <f t="shared" si="122"/>
        <v>7.9759200000000021</v>
      </c>
      <c r="AA321" s="47">
        <f t="shared" si="122"/>
        <v>13.242020000000011</v>
      </c>
      <c r="AB321" s="47">
        <f t="shared" si="122"/>
        <v>11.219656799999996</v>
      </c>
      <c r="AC321" s="47">
        <f t="shared" si="122"/>
        <v>15.422882799999996</v>
      </c>
      <c r="AD321" s="47">
        <f t="shared" si="122"/>
        <v>13.319625072000008</v>
      </c>
      <c r="AE321" s="47">
        <f t="shared" si="122"/>
        <v>17.778576032000032</v>
      </c>
      <c r="AF321" s="47">
        <f t="shared" si="122"/>
        <v>15.591187994880016</v>
      </c>
      <c r="AG321" s="47">
        <f t="shared" si="122"/>
        <v>20.320947043480032</v>
      </c>
      <c r="AH321" s="47">
        <f t="shared" si="122"/>
        <v>18.046063484875233</v>
      </c>
      <c r="AI321" s="47">
        <f t="shared" si="122"/>
        <v>23.062594266756264</v>
      </c>
      <c r="AJ321" s="47">
        <f t="shared" si="122"/>
        <v>20.69671536580725</v>
      </c>
      <c r="AK321" s="47">
        <f t="shared" si="122"/>
        <v>23.213933018278013</v>
      </c>
      <c r="AL321" s="47">
        <f t="shared" si="122"/>
        <v>20.753418961291104</v>
      </c>
      <c r="AM321" s="47">
        <f t="shared" si="122"/>
        <v>23.367183742258817</v>
      </c>
      <c r="AN321" s="47">
        <f t="shared" si="122"/>
        <v>20.808249122992379</v>
      </c>
    </row>
    <row r="322" spans="2:40">
      <c r="B322" s="174" t="s">
        <v>149</v>
      </c>
      <c r="C322" s="36" t="s">
        <v>72</v>
      </c>
      <c r="E322" s="47">
        <f t="shared" ref="E322:L322" si="123">E299</f>
        <v>0</v>
      </c>
      <c r="F322" s="47">
        <f t="shared" si="123"/>
        <v>0</v>
      </c>
      <c r="G322" s="47">
        <f t="shared" si="123"/>
        <v>0</v>
      </c>
      <c r="H322" s="47">
        <f t="shared" si="123"/>
        <v>0</v>
      </c>
      <c r="I322" s="47">
        <f t="shared" si="123"/>
        <v>-0.5</v>
      </c>
      <c r="J322" s="47">
        <f t="shared" si="123"/>
        <v>2.7</v>
      </c>
      <c r="K322" s="47">
        <f t="shared" si="123"/>
        <v>5.4</v>
      </c>
      <c r="L322" s="47">
        <f t="shared" si="123"/>
        <v>3.6999999999999993</v>
      </c>
      <c r="M322" s="47">
        <f t="shared" ref="M322:AN322" si="124">M293</f>
        <v>7</v>
      </c>
      <c r="N322" s="47">
        <f t="shared" si="124"/>
        <v>5.9</v>
      </c>
      <c r="O322" s="47">
        <f t="shared" si="124"/>
        <v>5.6</v>
      </c>
      <c r="P322" s="47">
        <f t="shared" si="124"/>
        <v>5.0999999999999996</v>
      </c>
      <c r="Q322" s="47">
        <f t="shared" si="124"/>
        <v>3</v>
      </c>
      <c r="R322" s="47">
        <f t="shared" si="124"/>
        <v>0.60000000000000009</v>
      </c>
      <c r="S322" s="47">
        <f t="shared" si="124"/>
        <v>-1.1000000000000001</v>
      </c>
      <c r="T322" s="47">
        <f t="shared" si="124"/>
        <v>-0.7</v>
      </c>
      <c r="U322" s="47">
        <f t="shared" si="124"/>
        <v>-2.1</v>
      </c>
      <c r="V322" s="47">
        <f t="shared" si="124"/>
        <v>-4.3000000000000007</v>
      </c>
      <c r="W322" s="47">
        <f t="shared" si="124"/>
        <v>-6</v>
      </c>
      <c r="X322" s="47">
        <f t="shared" si="124"/>
        <v>-7</v>
      </c>
      <c r="Y322" s="47">
        <f t="shared" si="124"/>
        <v>-5</v>
      </c>
      <c r="Z322" s="47">
        <f t="shared" si="124"/>
        <v>0</v>
      </c>
      <c r="AA322" s="47">
        <f t="shared" si="124"/>
        <v>4.8000000000000007</v>
      </c>
      <c r="AB322" s="47">
        <f t="shared" si="124"/>
        <v>4.8000000000000007</v>
      </c>
      <c r="AC322" s="47">
        <f t="shared" si="124"/>
        <v>5.76</v>
      </c>
      <c r="AD322" s="47">
        <f t="shared" si="124"/>
        <v>5.76</v>
      </c>
      <c r="AE322" s="47">
        <f t="shared" si="124"/>
        <v>6.911999999999999</v>
      </c>
      <c r="AF322" s="47">
        <f t="shared" si="124"/>
        <v>6.6240000000000006</v>
      </c>
      <c r="AG322" s="47">
        <f t="shared" si="124"/>
        <v>7.9487999999999985</v>
      </c>
      <c r="AH322" s="47">
        <f t="shared" si="124"/>
        <v>7.6175999999999995</v>
      </c>
      <c r="AI322" s="47">
        <f t="shared" si="124"/>
        <v>9.141119999999999</v>
      </c>
      <c r="AJ322" s="47">
        <f t="shared" si="124"/>
        <v>8.7602399999999978</v>
      </c>
      <c r="AK322" s="47">
        <f t="shared" si="124"/>
        <v>10.512287999999998</v>
      </c>
      <c r="AL322" s="47">
        <f t="shared" si="124"/>
        <v>10.074275999999998</v>
      </c>
      <c r="AM322" s="47">
        <f t="shared" si="124"/>
        <v>12.089131199999997</v>
      </c>
      <c r="AN322" s="47">
        <f t="shared" si="124"/>
        <v>11.585417399999994</v>
      </c>
    </row>
    <row r="323" spans="2:40">
      <c r="B323" s="174" t="s">
        <v>147</v>
      </c>
      <c r="C323" s="36" t="s">
        <v>72</v>
      </c>
      <c r="E323" s="47">
        <f t="shared" ref="E323:AN323" si="125">E315</f>
        <v>-15.1</v>
      </c>
      <c r="F323" s="47">
        <f t="shared" si="125"/>
        <v>-17.899999999999999</v>
      </c>
      <c r="G323" s="47">
        <f t="shared" si="125"/>
        <v>-16.7</v>
      </c>
      <c r="H323" s="47">
        <f t="shared" si="125"/>
        <v>-17.099999999999998</v>
      </c>
      <c r="I323" s="47">
        <f t="shared" si="125"/>
        <v>-18.899999999999999</v>
      </c>
      <c r="J323" s="47">
        <f t="shared" si="125"/>
        <v>-12.600000000000001</v>
      </c>
      <c r="K323" s="47">
        <f t="shared" si="125"/>
        <v>-20.8</v>
      </c>
      <c r="L323" s="47">
        <f t="shared" si="125"/>
        <v>-17.099999999999998</v>
      </c>
      <c r="M323" s="47">
        <f t="shared" si="125"/>
        <v>-8</v>
      </c>
      <c r="N323" s="47">
        <f t="shared" si="125"/>
        <v>-16.7</v>
      </c>
      <c r="O323" s="47">
        <f t="shared" si="125"/>
        <v>-18.600000000000001</v>
      </c>
      <c r="P323" s="47">
        <f t="shared" si="125"/>
        <v>-18.600000000000001</v>
      </c>
      <c r="Q323" s="47">
        <f t="shared" si="125"/>
        <v>-20.5</v>
      </c>
      <c r="R323" s="47">
        <f t="shared" si="125"/>
        <v>-17.399999999999999</v>
      </c>
      <c r="S323" s="47">
        <f t="shared" si="125"/>
        <v>-26.3</v>
      </c>
      <c r="T323" s="47">
        <f t="shared" si="125"/>
        <v>-13.2</v>
      </c>
      <c r="U323" s="47">
        <f t="shared" si="125"/>
        <v>-27.2</v>
      </c>
      <c r="V323" s="47">
        <f t="shared" si="125"/>
        <v>-19.599999999999998</v>
      </c>
      <c r="W323" s="47">
        <f t="shared" si="125"/>
        <v>-28.56</v>
      </c>
      <c r="X323" s="47">
        <f t="shared" si="125"/>
        <v>-23</v>
      </c>
      <c r="Y323" s="47">
        <f t="shared" si="125"/>
        <v>-29.988</v>
      </c>
      <c r="Z323" s="47">
        <f t="shared" si="125"/>
        <v>-24.150000000000002</v>
      </c>
      <c r="AA323" s="47">
        <f t="shared" si="125"/>
        <v>-31.487400000000001</v>
      </c>
      <c r="AB323" s="47">
        <f t="shared" si="125"/>
        <v>-25.357500000000002</v>
      </c>
      <c r="AC323" s="47">
        <f t="shared" si="125"/>
        <v>-33.061770000000003</v>
      </c>
      <c r="AD323" s="47">
        <f t="shared" si="125"/>
        <v>-26.625375000000002</v>
      </c>
      <c r="AE323" s="47">
        <f t="shared" si="125"/>
        <v>-34.714858500000005</v>
      </c>
      <c r="AF323" s="47">
        <f t="shared" si="125"/>
        <v>-27.956643750000001</v>
      </c>
      <c r="AG323" s="47">
        <f t="shared" si="125"/>
        <v>-36.450601425000009</v>
      </c>
      <c r="AH323" s="47">
        <f t="shared" si="125"/>
        <v>-29.354475937500002</v>
      </c>
      <c r="AI323" s="47">
        <f t="shared" si="125"/>
        <v>-38.273131496250009</v>
      </c>
      <c r="AJ323" s="47">
        <f t="shared" si="125"/>
        <v>-30.822199734375005</v>
      </c>
      <c r="AK323" s="47">
        <f t="shared" si="125"/>
        <v>-40.186788071062509</v>
      </c>
      <c r="AL323" s="47">
        <f t="shared" si="125"/>
        <v>-32.363309721093756</v>
      </c>
      <c r="AM323" s="47">
        <f t="shared" si="125"/>
        <v>-42.196127474615636</v>
      </c>
      <c r="AN323" s="47">
        <f t="shared" si="125"/>
        <v>-33.981475207148449</v>
      </c>
    </row>
    <row r="324" spans="2:40">
      <c r="B324" s="174" t="s">
        <v>110</v>
      </c>
      <c r="C324" s="36" t="s">
        <v>72</v>
      </c>
      <c r="E324" s="47">
        <f t="shared" ref="E324:V324" si="126">E325-SUM(E319:E323)</f>
        <v>8.1783612296247838</v>
      </c>
      <c r="F324" s="47">
        <f t="shared" si="126"/>
        <v>21.340130861504917</v>
      </c>
      <c r="G324" s="47">
        <f t="shared" si="126"/>
        <v>21.853750941771608</v>
      </c>
      <c r="H324" s="47">
        <f t="shared" si="126"/>
        <v>14.996725346460465</v>
      </c>
      <c r="I324" s="47">
        <f t="shared" si="126"/>
        <v>5.3535929728013514</v>
      </c>
      <c r="J324" s="47">
        <f t="shared" si="126"/>
        <v>-7.7097401225438702</v>
      </c>
      <c r="K324" s="47">
        <f t="shared" si="126"/>
        <v>-7.6053139061495756</v>
      </c>
      <c r="L324" s="47">
        <f t="shared" si="126"/>
        <v>-1.1597148523342184</v>
      </c>
      <c r="M324" s="47">
        <f t="shared" si="126"/>
        <v>-1.1385826771653598</v>
      </c>
      <c r="N324" s="47">
        <f t="shared" si="126"/>
        <v>0.82838460316619944</v>
      </c>
      <c r="O324" s="47">
        <f t="shared" si="126"/>
        <v>0.60000000000002274</v>
      </c>
      <c r="P324" s="47">
        <f t="shared" si="126"/>
        <v>0.79999999999998295</v>
      </c>
      <c r="Q324" s="47">
        <f t="shared" si="126"/>
        <v>1.2000000000000171</v>
      </c>
      <c r="R324" s="47">
        <f t="shared" si="126"/>
        <v>-0.69999999999998863</v>
      </c>
      <c r="S324" s="47">
        <f t="shared" si="126"/>
        <v>9.9999999999980105E-2</v>
      </c>
      <c r="T324" s="47">
        <f t="shared" si="126"/>
        <v>0.5</v>
      </c>
      <c r="U324" s="47">
        <f t="shared" si="126"/>
        <v>0</v>
      </c>
      <c r="V324" s="47">
        <f t="shared" si="126"/>
        <v>0.79999999999996874</v>
      </c>
      <c r="W324" s="94">
        <v>0</v>
      </c>
      <c r="X324" s="94">
        <v>0</v>
      </c>
      <c r="Y324" s="94">
        <v>0</v>
      </c>
      <c r="Z324" s="94">
        <v>0</v>
      </c>
      <c r="AA324" s="94">
        <v>0</v>
      </c>
      <c r="AB324" s="94">
        <v>0</v>
      </c>
      <c r="AC324" s="94">
        <v>0</v>
      </c>
      <c r="AD324" s="94">
        <v>0</v>
      </c>
      <c r="AE324" s="94">
        <v>0</v>
      </c>
      <c r="AF324" s="94">
        <v>0</v>
      </c>
      <c r="AG324" s="94">
        <v>0</v>
      </c>
      <c r="AH324" s="94">
        <v>0</v>
      </c>
      <c r="AI324" s="94">
        <v>0</v>
      </c>
      <c r="AJ324" s="94">
        <v>0</v>
      </c>
      <c r="AK324" s="94">
        <v>0</v>
      </c>
      <c r="AL324" s="94">
        <v>0</v>
      </c>
      <c r="AM324" s="94">
        <v>0</v>
      </c>
      <c r="AN324" s="94">
        <v>0</v>
      </c>
    </row>
    <row r="325" spans="2:40" s="162" customFormat="1">
      <c r="B325" s="175" t="s">
        <v>150</v>
      </c>
      <c r="C325" s="164" t="s">
        <v>72</v>
      </c>
      <c r="D325" s="165"/>
      <c r="E325" s="172">
        <v>153</v>
      </c>
      <c r="F325" s="172">
        <f>310.8-E325</f>
        <v>157.80000000000001</v>
      </c>
      <c r="G325" s="172">
        <v>171.7</v>
      </c>
      <c r="H325" s="172">
        <f>322.2-G325</f>
        <v>150.5</v>
      </c>
      <c r="I325" s="172">
        <v>153.30000000000001</v>
      </c>
      <c r="J325" s="172">
        <f>200.7-I325</f>
        <v>47.399999999999977</v>
      </c>
      <c r="K325" s="172">
        <v>117.8</v>
      </c>
      <c r="L325" s="172">
        <f>248.6-K325</f>
        <v>130.80000000000001</v>
      </c>
      <c r="M325" s="172">
        <v>36.200000000000003</v>
      </c>
      <c r="N325" s="172">
        <f>137.9-M325</f>
        <v>101.7</v>
      </c>
      <c r="O325" s="172">
        <v>161.80000000000001</v>
      </c>
      <c r="P325" s="172">
        <f>301.8-O325</f>
        <v>140</v>
      </c>
      <c r="Q325" s="172">
        <v>144.30000000000001</v>
      </c>
      <c r="R325" s="172">
        <f>277.8-Q325</f>
        <v>133.5</v>
      </c>
      <c r="S325" s="172">
        <v>119.5</v>
      </c>
      <c r="T325" s="172">
        <f>233.7-S325</f>
        <v>114.19999999999999</v>
      </c>
      <c r="U325" s="172">
        <v>85.5</v>
      </c>
      <c r="V325" s="172">
        <f>181.6-U325</f>
        <v>96.1</v>
      </c>
      <c r="W325" s="166">
        <f t="shared" ref="W325:AN325" si="127">SUM(W319:W324)</f>
        <v>89.135631999999987</v>
      </c>
      <c r="X325" s="166">
        <f t="shared" si="127"/>
        <v>94.050503199999994</v>
      </c>
      <c r="Y325" s="166">
        <f t="shared" si="127"/>
        <v>99.441708912000024</v>
      </c>
      <c r="Z325" s="166">
        <f t="shared" si="127"/>
        <v>105.39043743199994</v>
      </c>
      <c r="AA325" s="166">
        <f t="shared" si="127"/>
        <v>114.27639149967999</v>
      </c>
      <c r="AB325" s="166">
        <f t="shared" si="127"/>
        <v>115.06810505432007</v>
      </c>
      <c r="AC325" s="166">
        <f t="shared" si="127"/>
        <v>118.90674718967836</v>
      </c>
      <c r="AD325" s="166">
        <f t="shared" si="127"/>
        <v>119.79168902918322</v>
      </c>
      <c r="AE325" s="166">
        <f t="shared" si="127"/>
        <v>123.92341442370686</v>
      </c>
      <c r="AF325" s="166">
        <f t="shared" si="127"/>
        <v>124.62091050655995</v>
      </c>
      <c r="AG325" s="166">
        <f t="shared" si="127"/>
        <v>129.03078641184985</v>
      </c>
      <c r="AH325" s="166">
        <f t="shared" si="127"/>
        <v>129.79343147298445</v>
      </c>
      <c r="AI325" s="166">
        <f t="shared" si="127"/>
        <v>134.51187939026852</v>
      </c>
      <c r="AJ325" s="166">
        <f t="shared" si="127"/>
        <v>135.34148413984411</v>
      </c>
      <c r="AK325" s="166">
        <f t="shared" si="127"/>
        <v>137.60008280294289</v>
      </c>
      <c r="AL325" s="166">
        <f t="shared" si="127"/>
        <v>138.49801062244057</v>
      </c>
      <c r="AM325" s="166">
        <f t="shared" si="127"/>
        <v>140.91403490002511</v>
      </c>
      <c r="AN325" s="166">
        <f t="shared" si="127"/>
        <v>141.88108631558538</v>
      </c>
    </row>
    <row r="326" spans="2:40" s="162" customFormat="1">
      <c r="B326" s="163"/>
      <c r="C326" s="164"/>
      <c r="D326" s="165"/>
      <c r="E326" s="166"/>
      <c r="F326" s="166"/>
      <c r="G326" s="166"/>
      <c r="H326" s="166"/>
      <c r="I326" s="166"/>
      <c r="J326" s="166"/>
      <c r="K326" s="166"/>
      <c r="L326" s="166"/>
      <c r="M326" s="166"/>
      <c r="N326" s="166"/>
      <c r="O326" s="166"/>
      <c r="P326" s="166"/>
      <c r="Q326" s="166"/>
      <c r="R326" s="166"/>
      <c r="S326" s="166"/>
      <c r="T326" s="166"/>
      <c r="U326" s="178"/>
      <c r="V326" s="166"/>
      <c r="W326" s="166"/>
      <c r="X326" s="166"/>
      <c r="Y326" s="166"/>
      <c r="Z326" s="166"/>
      <c r="AA326" s="166"/>
      <c r="AB326" s="166"/>
      <c r="AC326" s="166"/>
      <c r="AD326" s="166"/>
      <c r="AE326" s="166"/>
      <c r="AF326" s="166"/>
      <c r="AG326" s="166"/>
      <c r="AH326" s="166"/>
      <c r="AI326" s="166"/>
      <c r="AJ326" s="166"/>
      <c r="AK326" s="166"/>
      <c r="AL326" s="166"/>
      <c r="AM326" s="166"/>
      <c r="AN326" s="166"/>
    </row>
    <row r="327" spans="2:40" s="162" customFormat="1">
      <c r="B327" s="163"/>
      <c r="C327" s="164"/>
      <c r="D327" s="165"/>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c r="AC327" s="166"/>
      <c r="AD327" s="166"/>
      <c r="AE327" s="166"/>
      <c r="AF327" s="166"/>
      <c r="AG327" s="166"/>
      <c r="AH327" s="166"/>
      <c r="AI327" s="166"/>
      <c r="AJ327" s="166"/>
      <c r="AK327" s="166"/>
      <c r="AL327" s="166"/>
      <c r="AM327" s="166"/>
      <c r="AN327" s="166"/>
    </row>
    <row r="328" spans="2:40" s="93" customFormat="1">
      <c r="B328" s="247" t="s">
        <v>151</v>
      </c>
      <c r="C328" s="44"/>
      <c r="D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c r="AA328" s="167"/>
      <c r="AB328" s="167"/>
      <c r="AC328" s="167"/>
      <c r="AD328" s="167"/>
      <c r="AE328" s="167"/>
      <c r="AF328" s="167"/>
      <c r="AG328" s="167"/>
      <c r="AH328" s="167"/>
      <c r="AI328" s="167"/>
      <c r="AJ328" s="167"/>
      <c r="AK328" s="167"/>
      <c r="AL328" s="167"/>
      <c r="AM328" s="167"/>
      <c r="AN328" s="167"/>
    </row>
    <row r="329" spans="2:40" s="93" customFormat="1">
      <c r="B329" s="180" t="s">
        <v>70</v>
      </c>
      <c r="C329" s="112" t="s">
        <v>88</v>
      </c>
      <c r="D329" s="167"/>
      <c r="E329" s="547">
        <f t="shared" ref="E329:AN329" si="128">E319/E306</f>
        <v>0.49772036474164139</v>
      </c>
      <c r="F329" s="547">
        <f t="shared" si="128"/>
        <v>0.48431665421956677</v>
      </c>
      <c r="G329" s="547">
        <f t="shared" si="128"/>
        <v>0.49409237379162191</v>
      </c>
      <c r="H329" s="547">
        <f t="shared" si="128"/>
        <v>0.47731464404278862</v>
      </c>
      <c r="I329" s="547">
        <f t="shared" si="128"/>
        <v>0.49692585895117541</v>
      </c>
      <c r="J329" s="547">
        <f t="shared" si="128"/>
        <v>0.32396788990825687</v>
      </c>
      <c r="K329" s="547">
        <f t="shared" si="128"/>
        <v>0.45867568873852105</v>
      </c>
      <c r="L329" s="547">
        <f t="shared" si="128"/>
        <v>0.47214969538729329</v>
      </c>
      <c r="M329" s="547">
        <f t="shared" si="128"/>
        <v>0.14869888475836432</v>
      </c>
      <c r="N329" s="547">
        <f t="shared" si="128"/>
        <v>0.44873150105708248</v>
      </c>
      <c r="O329" s="167">
        <f t="shared" si="128"/>
        <v>0.50561362756484707</v>
      </c>
      <c r="P329" s="167">
        <f t="shared" si="128"/>
        <v>0.46553715825953018</v>
      </c>
      <c r="Q329" s="167">
        <f t="shared" si="128"/>
        <v>0.44796863863150388</v>
      </c>
      <c r="R329" s="167">
        <f t="shared" si="128"/>
        <v>0.41826381059751977</v>
      </c>
      <c r="S329" s="167">
        <f t="shared" si="128"/>
        <v>0.41695702671312429</v>
      </c>
      <c r="T329" s="167">
        <f t="shared" si="128"/>
        <v>0.39804687500000008</v>
      </c>
      <c r="U329" s="167">
        <f t="shared" si="128"/>
        <v>0.36114469971785568</v>
      </c>
      <c r="V329" s="167">
        <f t="shared" si="128"/>
        <v>0.3600798403193613</v>
      </c>
      <c r="W329" s="167">
        <f t="shared" si="128"/>
        <v>0.35924687499999997</v>
      </c>
      <c r="X329" s="167">
        <f t="shared" si="128"/>
        <v>0.36329922480620158</v>
      </c>
      <c r="Y329" s="167">
        <f t="shared" si="128"/>
        <v>0.39100588235294126</v>
      </c>
      <c r="Z329" s="167">
        <f t="shared" si="128"/>
        <v>0.38239854103343457</v>
      </c>
      <c r="AA329" s="167">
        <f t="shared" si="128"/>
        <v>0.38867342584995174</v>
      </c>
      <c r="AB329" s="167">
        <f t="shared" si="128"/>
        <v>0.37998858253239454</v>
      </c>
      <c r="AC329" s="167">
        <f t="shared" si="128"/>
        <v>0.38639217485904515</v>
      </c>
      <c r="AD329" s="167">
        <f t="shared" si="128"/>
        <v>0.37763114747394633</v>
      </c>
      <c r="AE329" s="167">
        <f t="shared" si="128"/>
        <v>0.38416218066809471</v>
      </c>
      <c r="AF329" s="167">
        <f t="shared" si="128"/>
        <v>0.37532630509877374</v>
      </c>
      <c r="AG329" s="167">
        <f t="shared" si="128"/>
        <v>0.38198346995039223</v>
      </c>
      <c r="AH329" s="167">
        <f t="shared" si="128"/>
        <v>0.37307409872903252</v>
      </c>
      <c r="AI329" s="167">
        <f t="shared" si="128"/>
        <v>0.37985604535492268</v>
      </c>
      <c r="AJ329" s="167">
        <f t="shared" si="128"/>
        <v>0.37087454636998896</v>
      </c>
      <c r="AK329" s="167">
        <f t="shared" si="128"/>
        <v>0.37777988610941499</v>
      </c>
      <c r="AL329" s="167">
        <f t="shared" si="128"/>
        <v>0.36872764132634367</v>
      </c>
      <c r="AM329" s="167">
        <f t="shared" si="128"/>
        <v>0.3757549486345671</v>
      </c>
      <c r="AN329" s="167">
        <f t="shared" si="128"/>
        <v>0.36663335283155363</v>
      </c>
    </row>
    <row r="330" spans="2:40" s="93" customFormat="1">
      <c r="B330" s="180" t="s">
        <v>77</v>
      </c>
      <c r="C330" s="112" t="s">
        <v>88</v>
      </c>
      <c r="D330" s="167"/>
      <c r="E330" s="547">
        <f t="shared" ref="E330:AN330" si="129">E320/E307</f>
        <v>0.52486878280429883</v>
      </c>
      <c r="F330" s="547">
        <f t="shared" si="129"/>
        <v>0.47123319089788379</v>
      </c>
      <c r="G330" s="547">
        <f t="shared" si="129"/>
        <v>0.52819960385029718</v>
      </c>
      <c r="H330" s="547">
        <f t="shared" si="129"/>
        <v>0.45682945349166171</v>
      </c>
      <c r="I330" s="547">
        <f t="shared" si="129"/>
        <v>0.52918589267851956</v>
      </c>
      <c r="J330" s="547">
        <f t="shared" si="129"/>
        <v>0.3885887485270772</v>
      </c>
      <c r="K330" s="547">
        <f t="shared" si="129"/>
        <v>0.60635024941007798</v>
      </c>
      <c r="L330" s="547">
        <f t="shared" si="129"/>
        <v>0.49290234242987779</v>
      </c>
      <c r="M330" s="547">
        <f t="shared" si="129"/>
        <v>0.42142364569764768</v>
      </c>
      <c r="N330" s="547">
        <f t="shared" si="129"/>
        <v>0.50216081319617745</v>
      </c>
      <c r="O330" s="167">
        <f t="shared" si="129"/>
        <v>0.54265402843601884</v>
      </c>
      <c r="P330" s="167">
        <f t="shared" si="129"/>
        <v>0.45938375350140048</v>
      </c>
      <c r="Q330" s="167">
        <f t="shared" si="129"/>
        <v>0.4315245478036176</v>
      </c>
      <c r="R330" s="167">
        <f t="shared" si="129"/>
        <v>0.47656249999999994</v>
      </c>
      <c r="S330" s="167">
        <f t="shared" si="129"/>
        <v>0.45691906005221933</v>
      </c>
      <c r="T330" s="167">
        <f t="shared" si="129"/>
        <v>0.45125348189415043</v>
      </c>
      <c r="U330" s="167">
        <f t="shared" si="129"/>
        <v>0.41443850267379678</v>
      </c>
      <c r="V330" s="167">
        <f t="shared" si="129"/>
        <v>0.43561643835616426</v>
      </c>
      <c r="W330" s="167">
        <f t="shared" si="129"/>
        <v>0.45329247970185016</v>
      </c>
      <c r="X330" s="167">
        <f t="shared" si="129"/>
        <v>0.44869202822721294</v>
      </c>
      <c r="Y330" s="167">
        <f t="shared" si="129"/>
        <v>0.46854949662619533</v>
      </c>
      <c r="Z330" s="167">
        <f t="shared" si="129"/>
        <v>0.46316585477092009</v>
      </c>
      <c r="AA330" s="167">
        <f t="shared" si="129"/>
        <v>0.46833154007785294</v>
      </c>
      <c r="AB330" s="167">
        <f t="shared" si="129"/>
        <v>0.45965975737918974</v>
      </c>
      <c r="AC330" s="167">
        <f t="shared" si="129"/>
        <v>0.46495641040491276</v>
      </c>
      <c r="AD330" s="167">
        <f t="shared" si="129"/>
        <v>0.45616635311964643</v>
      </c>
      <c r="AE330" s="167">
        <f t="shared" si="129"/>
        <v>0.46159547647411409</v>
      </c>
      <c r="AF330" s="167">
        <f t="shared" si="129"/>
        <v>0.45268591292921107</v>
      </c>
      <c r="AG330" s="167">
        <f t="shared" si="129"/>
        <v>0.45824900338800767</v>
      </c>
      <c r="AH330" s="167">
        <f t="shared" si="129"/>
        <v>0.4492187002210527</v>
      </c>
      <c r="AI330" s="167">
        <f t="shared" si="129"/>
        <v>0.45491724858360777</v>
      </c>
      <c r="AJ330" s="167">
        <f t="shared" si="129"/>
        <v>0.44576497097318818</v>
      </c>
      <c r="AK330" s="167">
        <f t="shared" si="129"/>
        <v>0.45160046192779574</v>
      </c>
      <c r="AL330" s="167">
        <f t="shared" si="129"/>
        <v>0.442324973822673</v>
      </c>
      <c r="AM330" s="167">
        <f t="shared" si="129"/>
        <v>0.44829888581805838</v>
      </c>
      <c r="AN330" s="167">
        <f t="shared" si="129"/>
        <v>0.43889895016504604</v>
      </c>
    </row>
    <row r="331" spans="2:40" s="93" customFormat="1">
      <c r="B331" s="180" t="s">
        <v>78</v>
      </c>
      <c r="C331" s="112" t="s">
        <v>88</v>
      </c>
      <c r="D331" s="167"/>
      <c r="E331" s="547">
        <f t="shared" ref="E331:AN331" si="130">E321/E308</f>
        <v>0.18429435039998254</v>
      </c>
      <c r="F331" s="547">
        <f t="shared" si="130"/>
        <v>0.1631216804119564</v>
      </c>
      <c r="G331" s="547">
        <f t="shared" si="130"/>
        <v>0.17609018998711409</v>
      </c>
      <c r="H331" s="547">
        <f t="shared" si="130"/>
        <v>0.1447450350564739</v>
      </c>
      <c r="I331" s="547">
        <f t="shared" si="130"/>
        <v>0.18240930196235364</v>
      </c>
      <c r="J331" s="547">
        <f t="shared" si="130"/>
        <v>-4.389906575531187E-2</v>
      </c>
      <c r="K331" s="547">
        <f t="shared" si="130"/>
        <v>0.29361770925114461</v>
      </c>
      <c r="L331" s="547">
        <f t="shared" si="130"/>
        <v>0.18750907654433344</v>
      </c>
      <c r="M331" s="547">
        <f t="shared" si="130"/>
        <v>0.12594752186588928</v>
      </c>
      <c r="N331" s="547">
        <f t="shared" si="130"/>
        <v>0.11442727379969327</v>
      </c>
      <c r="O331" s="167">
        <f t="shared" si="130"/>
        <v>0.15935334872979218</v>
      </c>
      <c r="P331" s="167">
        <f t="shared" si="130"/>
        <v>0.12844036697247707</v>
      </c>
      <c r="Q331" s="167">
        <f t="shared" si="130"/>
        <v>0.15582289897641133</v>
      </c>
      <c r="R331" s="167">
        <f t="shared" si="130"/>
        <v>0.17848097360802639</v>
      </c>
      <c r="S331" s="167">
        <f t="shared" si="130"/>
        <v>0.17532467532467533</v>
      </c>
      <c r="T331" s="167">
        <f t="shared" si="130"/>
        <v>8.7316176470588244E-2</v>
      </c>
      <c r="U331" s="167">
        <f t="shared" si="130"/>
        <v>7.7911646586345376E-2</v>
      </c>
      <c r="V331" s="167">
        <f t="shared" si="130"/>
        <v>0.1072891072891073</v>
      </c>
      <c r="W331" s="167">
        <f t="shared" si="130"/>
        <v>0.11760400000000004</v>
      </c>
      <c r="X331" s="167">
        <f t="shared" si="130"/>
        <v>0.10956486704270746</v>
      </c>
      <c r="Y331" s="167">
        <f t="shared" si="130"/>
        <v>8.779203539823012E-2</v>
      </c>
      <c r="Z331" s="167">
        <f t="shared" si="130"/>
        <v>7.1811142723376686E-2</v>
      </c>
      <c r="AA331" s="167">
        <f t="shared" si="130"/>
        <v>0.11137106812447443</v>
      </c>
      <c r="AB331" s="167">
        <f t="shared" si="130"/>
        <v>9.5984153404136754E-2</v>
      </c>
      <c r="AC331" s="167">
        <f t="shared" si="130"/>
        <v>0.12326591047868105</v>
      </c>
      <c r="AD331" s="167">
        <f t="shared" si="130"/>
        <v>0.1082639781053253</v>
      </c>
      <c r="AE331" s="167">
        <f t="shared" si="130"/>
        <v>0.13501951660660447</v>
      </c>
      <c r="AF331" s="167">
        <f t="shared" si="130"/>
        <v>0.1203944534087682</v>
      </c>
      <c r="AG331" s="167">
        <f t="shared" si="130"/>
        <v>0.14663198006195205</v>
      </c>
      <c r="AH331" s="167">
        <f t="shared" si="130"/>
        <v>0.13237577118237631</v>
      </c>
      <c r="AI331" s="167">
        <f t="shared" si="130"/>
        <v>0.1581034346473944</v>
      </c>
      <c r="AJ331" s="167">
        <f t="shared" si="130"/>
        <v>0.14420816517768117</v>
      </c>
      <c r="AK331" s="167">
        <f t="shared" si="130"/>
        <v>0.15464345145601854</v>
      </c>
      <c r="AL331" s="167">
        <f t="shared" si="130"/>
        <v>0.14054105306068768</v>
      </c>
      <c r="AM331" s="167">
        <f t="shared" si="130"/>
        <v>0.15124691234080426</v>
      </c>
      <c r="AN331" s="167">
        <f t="shared" si="130"/>
        <v>0.13693732137116005</v>
      </c>
    </row>
    <row r="332" spans="2:40" s="93" customFormat="1">
      <c r="B332" s="180" t="s">
        <v>149</v>
      </c>
      <c r="C332" s="112" t="s">
        <v>88</v>
      </c>
      <c r="D332" s="167"/>
      <c r="E332" s="167"/>
      <c r="F332" s="167"/>
      <c r="G332" s="167"/>
      <c r="H332" s="167"/>
      <c r="I332" s="167">
        <f t="shared" ref="I332:AN332" si="131">I322/I309</f>
        <v>-2.5</v>
      </c>
      <c r="J332" s="167">
        <f t="shared" si="131"/>
        <v>0.62790697674418616</v>
      </c>
      <c r="K332" s="167">
        <f t="shared" si="131"/>
        <v>0.72000000000000008</v>
      </c>
      <c r="L332" s="167">
        <f t="shared" si="131"/>
        <v>0.66071428571428559</v>
      </c>
      <c r="M332" s="167">
        <f t="shared" si="131"/>
        <v>0.75268817204301075</v>
      </c>
      <c r="N332" s="167">
        <f t="shared" si="131"/>
        <v>0.77631578947368451</v>
      </c>
      <c r="O332" s="167">
        <f t="shared" si="131"/>
        <v>0.70886075949367078</v>
      </c>
      <c r="P332" s="167">
        <f t="shared" si="131"/>
        <v>0.67999999999999994</v>
      </c>
      <c r="Q332" s="167">
        <f t="shared" si="131"/>
        <v>0.5357142857142857</v>
      </c>
      <c r="R332" s="167">
        <f t="shared" si="131"/>
        <v>0.16216216216216214</v>
      </c>
      <c r="S332" s="167">
        <f t="shared" si="131"/>
        <v>-0.52380952380952384</v>
      </c>
      <c r="T332" s="167">
        <f t="shared" si="131"/>
        <v>-0.35000000000000003</v>
      </c>
      <c r="U332" s="167">
        <f t="shared" si="131"/>
        <v>-1.3125</v>
      </c>
      <c r="V332" s="167">
        <f t="shared" si="131"/>
        <v>-3.5833333333333348</v>
      </c>
      <c r="W332" s="167">
        <f t="shared" si="131"/>
        <v>-6</v>
      </c>
      <c r="X332" s="167">
        <f t="shared" si="131"/>
        <v>-3.5</v>
      </c>
      <c r="Y332" s="167">
        <f t="shared" si="131"/>
        <v>-1</v>
      </c>
      <c r="Z332" s="167">
        <f t="shared" si="131"/>
        <v>0</v>
      </c>
      <c r="AA332" s="167">
        <f t="shared" si="131"/>
        <v>0.40000000000000008</v>
      </c>
      <c r="AB332" s="167">
        <f t="shared" si="131"/>
        <v>0.40000000000000008</v>
      </c>
      <c r="AC332" s="167">
        <f t="shared" si="131"/>
        <v>0.4</v>
      </c>
      <c r="AD332" s="167">
        <f t="shared" si="131"/>
        <v>0.4</v>
      </c>
      <c r="AE332" s="167">
        <f t="shared" si="131"/>
        <v>0.4</v>
      </c>
      <c r="AF332" s="167">
        <f t="shared" si="131"/>
        <v>0.40000000000000008</v>
      </c>
      <c r="AG332" s="167">
        <f t="shared" si="131"/>
        <v>0.4</v>
      </c>
      <c r="AH332" s="167">
        <f t="shared" si="131"/>
        <v>0.4</v>
      </c>
      <c r="AI332" s="167">
        <f t="shared" si="131"/>
        <v>0.4</v>
      </c>
      <c r="AJ332" s="167">
        <f t="shared" si="131"/>
        <v>0.4</v>
      </c>
      <c r="AK332" s="167">
        <f t="shared" si="131"/>
        <v>0.40000000000000008</v>
      </c>
      <c r="AL332" s="167">
        <f t="shared" si="131"/>
        <v>0.40000000000000008</v>
      </c>
      <c r="AM332" s="167">
        <f t="shared" si="131"/>
        <v>0.4</v>
      </c>
      <c r="AN332" s="167">
        <f t="shared" si="131"/>
        <v>0.39999999999999997</v>
      </c>
    </row>
    <row r="333" spans="2:40" s="168" customFormat="1">
      <c r="B333" s="248" t="s">
        <v>152</v>
      </c>
      <c r="C333" s="543" t="s">
        <v>88</v>
      </c>
      <c r="D333" s="169"/>
      <c r="E333" s="169">
        <f t="shared" ref="E333:AN333" si="132">E325/E311</f>
        <v>0.35795633054596671</v>
      </c>
      <c r="F333" s="169">
        <f t="shared" si="132"/>
        <v>0.34167108144691255</v>
      </c>
      <c r="G333" s="169">
        <f t="shared" si="132"/>
        <v>0.35247659618562166</v>
      </c>
      <c r="H333" s="169">
        <f t="shared" si="132"/>
        <v>0.3339530300131141</v>
      </c>
      <c r="I333" s="169">
        <f t="shared" si="132"/>
        <v>0.34477224124056982</v>
      </c>
      <c r="J333" s="169">
        <f t="shared" si="132"/>
        <v>0.18189313641470528</v>
      </c>
      <c r="K333" s="169">
        <f t="shared" si="132"/>
        <v>0.3412521489241766</v>
      </c>
      <c r="L333" s="169">
        <f t="shared" si="132"/>
        <v>0.33847673975016468</v>
      </c>
      <c r="M333" s="169">
        <f t="shared" si="132"/>
        <v>0.15127428198350087</v>
      </c>
      <c r="N333" s="169">
        <f t="shared" si="132"/>
        <v>0.30257085341040135</v>
      </c>
      <c r="O333" s="169">
        <f t="shared" si="132"/>
        <v>0.3686488949646845</v>
      </c>
      <c r="P333" s="169">
        <f t="shared" si="132"/>
        <v>0.33042246872787345</v>
      </c>
      <c r="Q333" s="169">
        <f t="shared" si="132"/>
        <v>0.3258807588075881</v>
      </c>
      <c r="R333" s="169">
        <f t="shared" si="132"/>
        <v>0.31213467383680149</v>
      </c>
      <c r="S333" s="169">
        <f t="shared" si="132"/>
        <v>0.28317535545023698</v>
      </c>
      <c r="T333" s="169">
        <f t="shared" si="132"/>
        <v>0.28323412698412692</v>
      </c>
      <c r="U333" s="169">
        <f t="shared" si="132"/>
        <v>0.20767549186300704</v>
      </c>
      <c r="V333" s="169">
        <f t="shared" si="132"/>
        <v>0.23381995133819947</v>
      </c>
      <c r="W333" s="169">
        <f t="shared" si="132"/>
        <v>0.21244773038742504</v>
      </c>
      <c r="X333" s="169">
        <f t="shared" si="132"/>
        <v>0.22320223651953511</v>
      </c>
      <c r="Y333" s="169">
        <f t="shared" si="132"/>
        <v>0.23193480475058884</v>
      </c>
      <c r="Z333" s="169">
        <f t="shared" si="132"/>
        <v>0.2446027360346841</v>
      </c>
      <c r="AA333" s="169">
        <f t="shared" si="132"/>
        <v>0.2532192440199626</v>
      </c>
      <c r="AB333" s="169">
        <f t="shared" si="132"/>
        <v>0.256838343282426</v>
      </c>
      <c r="AC333" s="169">
        <f t="shared" si="132"/>
        <v>0.25319716343298199</v>
      </c>
      <c r="AD333" s="169">
        <f t="shared" si="132"/>
        <v>0.25695184358290979</v>
      </c>
      <c r="AE333" s="169">
        <f t="shared" si="132"/>
        <v>0.25337356118501114</v>
      </c>
      <c r="AF333" s="169">
        <f t="shared" si="132"/>
        <v>0.25705194498465811</v>
      </c>
      <c r="AG333" s="169">
        <f t="shared" si="132"/>
        <v>0.25351137835163073</v>
      </c>
      <c r="AH333" s="169">
        <f t="shared" si="132"/>
        <v>0.25730810677111998</v>
      </c>
      <c r="AI333" s="169">
        <f t="shared" si="132"/>
        <v>0.25380949724012702</v>
      </c>
      <c r="AJ333" s="169">
        <f t="shared" si="132"/>
        <v>0.25772330655809644</v>
      </c>
      <c r="AK333" s="169">
        <f t="shared" si="132"/>
        <v>0.25075700954537689</v>
      </c>
      <c r="AL333" s="169">
        <f t="shared" si="132"/>
        <v>0.25477843494187102</v>
      </c>
      <c r="AM333" s="169">
        <f t="shared" si="132"/>
        <v>0.2478522386443005</v>
      </c>
      <c r="AN333" s="169">
        <f t="shared" si="132"/>
        <v>0.25197858947611407</v>
      </c>
    </row>
    <row r="334" spans="2:40" s="168" customFormat="1">
      <c r="B334" s="640"/>
      <c r="C334" s="164"/>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c r="AA334" s="169"/>
      <c r="AB334" s="169"/>
      <c r="AC334" s="169"/>
      <c r="AD334" s="169"/>
      <c r="AE334" s="169"/>
      <c r="AF334" s="169"/>
      <c r="AG334" s="169"/>
      <c r="AH334" s="169"/>
      <c r="AI334" s="169"/>
      <c r="AJ334" s="169"/>
      <c r="AK334" s="169"/>
      <c r="AL334" s="169"/>
      <c r="AM334" s="169"/>
      <c r="AN334" s="169"/>
    </row>
    <row r="335" spans="2:40" s="162" customFormat="1">
      <c r="B335" s="176"/>
      <c r="C335" s="36"/>
      <c r="D335" s="165"/>
      <c r="E335" s="173"/>
      <c r="F335" s="173"/>
      <c r="G335" s="173"/>
      <c r="H335" s="173"/>
      <c r="I335" s="173"/>
      <c r="J335" s="173"/>
      <c r="K335" s="173"/>
      <c r="L335" s="173"/>
      <c r="M335" s="173"/>
      <c r="N335" s="173"/>
      <c r="O335" s="173"/>
      <c r="P335" s="173"/>
      <c r="Q335" s="541"/>
      <c r="R335" s="541"/>
      <c r="S335" s="541"/>
      <c r="T335" s="541"/>
      <c r="U335" s="541"/>
      <c r="V335" s="541"/>
      <c r="W335" s="541"/>
      <c r="X335" s="541"/>
      <c r="Y335" s="541"/>
      <c r="Z335" s="541"/>
      <c r="AA335" s="541"/>
      <c r="AB335" s="541"/>
      <c r="AC335" s="541"/>
      <c r="AD335" s="541"/>
      <c r="AE335" s="541"/>
      <c r="AF335" s="541"/>
      <c r="AG335" s="541"/>
      <c r="AH335" s="541"/>
      <c r="AI335" s="541"/>
      <c r="AJ335" s="541"/>
      <c r="AK335" s="541"/>
      <c r="AL335" s="541"/>
      <c r="AM335" s="541"/>
      <c r="AN335" s="541"/>
    </row>
    <row r="336" spans="2:40" s="162" customFormat="1">
      <c r="B336" s="175" t="s">
        <v>52</v>
      </c>
      <c r="C336" s="36"/>
      <c r="D336" s="165"/>
      <c r="F336" s="173"/>
      <c r="G336" s="177">
        <f t="shared" ref="G336:AN336" si="133">G379+G394</f>
        <v>-40.5</v>
      </c>
      <c r="H336" s="177">
        <f t="shared" si="133"/>
        <v>-39.500000000000014</v>
      </c>
      <c r="I336" s="177">
        <f t="shared" si="133"/>
        <v>-41.400000000000013</v>
      </c>
      <c r="J336" s="177">
        <f t="shared" si="133"/>
        <v>-45.2</v>
      </c>
      <c r="K336" s="177">
        <f t="shared" si="133"/>
        <v>-41.099999999999994</v>
      </c>
      <c r="L336" s="177">
        <f t="shared" si="133"/>
        <v>-47.299999999999969</v>
      </c>
      <c r="M336" s="177">
        <f t="shared" si="133"/>
        <v>-47.8</v>
      </c>
      <c r="N336" s="177">
        <f t="shared" si="133"/>
        <v>-46.9</v>
      </c>
      <c r="O336" s="177">
        <f t="shared" si="133"/>
        <v>-45.464000000000013</v>
      </c>
      <c r="P336" s="177">
        <f t="shared" si="133"/>
        <v>-45.207999999999998</v>
      </c>
      <c r="Q336" s="177">
        <f t="shared" si="133"/>
        <v>-44.247</v>
      </c>
      <c r="R336" s="177">
        <f t="shared" si="133"/>
        <v>-47.774000000000001</v>
      </c>
      <c r="S336" s="177">
        <f t="shared" si="133"/>
        <v>-45.329000000000001</v>
      </c>
      <c r="T336" s="177">
        <f t="shared" si="133"/>
        <v>-48.884000000000007</v>
      </c>
      <c r="U336" s="177">
        <f t="shared" si="133"/>
        <v>-49.879000000000005</v>
      </c>
      <c r="V336" s="177">
        <f t="shared" si="133"/>
        <v>-53.577999999999996</v>
      </c>
      <c r="W336" s="177">
        <f t="shared" si="133"/>
        <v>-60.234767077484335</v>
      </c>
      <c r="X336" s="177">
        <f t="shared" si="133"/>
        <v>-52.726792857311082</v>
      </c>
      <c r="Y336" s="177">
        <f t="shared" si="133"/>
        <v>-52.535213024364296</v>
      </c>
      <c r="Z336" s="177">
        <f t="shared" si="133"/>
        <v>-52.126873543863738</v>
      </c>
      <c r="AA336" s="177">
        <f t="shared" si="133"/>
        <v>-51.737331300583051</v>
      </c>
      <c r="AB336" s="177">
        <f t="shared" si="133"/>
        <v>-51.417164650271388</v>
      </c>
      <c r="AC336" s="177">
        <f t="shared" si="133"/>
        <v>-51.097864285079076</v>
      </c>
      <c r="AD336" s="177">
        <f t="shared" si="133"/>
        <v>-50.8489390117496</v>
      </c>
      <c r="AE336" s="177">
        <f t="shared" si="133"/>
        <v>-50.598174227595422</v>
      </c>
      <c r="AF336" s="177">
        <f t="shared" si="133"/>
        <v>-50.419161507826473</v>
      </c>
      <c r="AG336" s="177">
        <f t="shared" si="133"/>
        <v>-50.233621462908879</v>
      </c>
      <c r="AH336" s="177">
        <f t="shared" si="133"/>
        <v>-50.121286559813569</v>
      </c>
      <c r="AI336" s="177">
        <f t="shared" si="133"/>
        <v>-49.999538322244476</v>
      </c>
      <c r="AJ336" s="177">
        <f t="shared" si="133"/>
        <v>-49.952783417801236</v>
      </c>
      <c r="AK336" s="177">
        <f t="shared" si="133"/>
        <v>-49.893705229211164</v>
      </c>
      <c r="AL336" s="177">
        <f t="shared" si="133"/>
        <v>-49.902153270284295</v>
      </c>
      <c r="AM336" s="177">
        <f t="shared" si="133"/>
        <v>-49.895637186953614</v>
      </c>
      <c r="AN336" s="177">
        <f t="shared" si="133"/>
        <v>-49.958705401642959</v>
      </c>
    </row>
    <row r="337" spans="2:40" s="162" customFormat="1">
      <c r="B337" s="176"/>
      <c r="C337" s="36"/>
      <c r="D337" s="165"/>
      <c r="E337" s="173"/>
      <c r="F337" s="173"/>
      <c r="G337" s="173"/>
      <c r="H337" s="173"/>
      <c r="I337" s="173"/>
      <c r="J337" s="173"/>
      <c r="K337" s="173"/>
      <c r="L337" s="173"/>
      <c r="M337" s="173"/>
      <c r="N337" s="173"/>
      <c r="O337" s="173"/>
      <c r="P337" s="173"/>
      <c r="Q337" s="541"/>
      <c r="R337" s="541"/>
      <c r="S337" s="541"/>
      <c r="T337" s="541"/>
      <c r="U337" s="541"/>
      <c r="V337" s="541"/>
      <c r="W337" s="541"/>
      <c r="X337" s="541"/>
      <c r="Y337" s="541"/>
      <c r="Z337" s="541"/>
      <c r="AA337" s="541"/>
      <c r="AB337" s="541"/>
      <c r="AC337" s="541"/>
      <c r="AD337" s="541"/>
      <c r="AE337" s="541"/>
      <c r="AF337" s="541"/>
      <c r="AG337" s="541"/>
      <c r="AH337" s="541"/>
      <c r="AI337" s="541"/>
      <c r="AJ337" s="541"/>
      <c r="AK337" s="541"/>
      <c r="AL337" s="541"/>
      <c r="AM337" s="541"/>
      <c r="AN337" s="541"/>
    </row>
    <row r="338" spans="2:40" s="162" customFormat="1">
      <c r="B338" s="175" t="s">
        <v>153</v>
      </c>
      <c r="C338" s="36" t="s">
        <v>72</v>
      </c>
      <c r="D338" s="165"/>
      <c r="E338" s="172"/>
      <c r="F338" s="172"/>
      <c r="G338" s="641">
        <f t="shared" ref="G338:AN338" si="134">G325+G336</f>
        <v>131.19999999999999</v>
      </c>
      <c r="H338" s="641">
        <f t="shared" si="134"/>
        <v>110.99999999999999</v>
      </c>
      <c r="I338" s="641">
        <f t="shared" si="134"/>
        <v>111.9</v>
      </c>
      <c r="J338" s="641">
        <f t="shared" si="134"/>
        <v>2.1999999999999744</v>
      </c>
      <c r="K338" s="641">
        <f t="shared" si="134"/>
        <v>76.7</v>
      </c>
      <c r="L338" s="641">
        <f t="shared" si="134"/>
        <v>83.500000000000043</v>
      </c>
      <c r="M338" s="641">
        <f t="shared" si="134"/>
        <v>-11.599999999999994</v>
      </c>
      <c r="N338" s="641">
        <f t="shared" si="134"/>
        <v>54.800000000000004</v>
      </c>
      <c r="O338" s="166">
        <f t="shared" si="134"/>
        <v>116.336</v>
      </c>
      <c r="P338" s="166">
        <f t="shared" si="134"/>
        <v>94.792000000000002</v>
      </c>
      <c r="Q338" s="166">
        <f t="shared" si="134"/>
        <v>100.05300000000001</v>
      </c>
      <c r="R338" s="166">
        <f t="shared" si="134"/>
        <v>85.725999999999999</v>
      </c>
      <c r="S338" s="166">
        <f t="shared" si="134"/>
        <v>74.170999999999992</v>
      </c>
      <c r="T338" s="166">
        <f t="shared" si="134"/>
        <v>65.315999999999974</v>
      </c>
      <c r="U338" s="166">
        <f t="shared" si="134"/>
        <v>35.620999999999995</v>
      </c>
      <c r="V338" s="166">
        <f t="shared" si="134"/>
        <v>42.521999999999998</v>
      </c>
      <c r="W338" s="166">
        <f t="shared" si="134"/>
        <v>28.900864922515652</v>
      </c>
      <c r="X338" s="166">
        <f t="shared" si="134"/>
        <v>41.323710342688912</v>
      </c>
      <c r="Y338" s="166">
        <f t="shared" si="134"/>
        <v>46.906495887635728</v>
      </c>
      <c r="Z338" s="166">
        <f t="shared" si="134"/>
        <v>53.263563888136204</v>
      </c>
      <c r="AA338" s="166">
        <f t="shared" si="134"/>
        <v>62.539060199096937</v>
      </c>
      <c r="AB338" s="166">
        <f t="shared" si="134"/>
        <v>63.650940404048683</v>
      </c>
      <c r="AC338" s="166">
        <f t="shared" si="134"/>
        <v>67.808882904599272</v>
      </c>
      <c r="AD338" s="166">
        <f t="shared" si="134"/>
        <v>68.94275001743361</v>
      </c>
      <c r="AE338" s="166">
        <f t="shared" si="134"/>
        <v>73.325240196111437</v>
      </c>
      <c r="AF338" s="166">
        <f t="shared" si="134"/>
        <v>74.201748998733478</v>
      </c>
      <c r="AG338" s="166">
        <f t="shared" si="134"/>
        <v>78.797164948940974</v>
      </c>
      <c r="AH338" s="166">
        <f t="shared" si="134"/>
        <v>79.672144913170882</v>
      </c>
      <c r="AI338" s="166">
        <f t="shared" si="134"/>
        <v>84.512341068024043</v>
      </c>
      <c r="AJ338" s="166">
        <f t="shared" si="134"/>
        <v>85.38870072204287</v>
      </c>
      <c r="AK338" s="166">
        <f t="shared" si="134"/>
        <v>87.706377573731729</v>
      </c>
      <c r="AL338" s="166">
        <f t="shared" si="134"/>
        <v>88.595857352156287</v>
      </c>
      <c r="AM338" s="166">
        <f t="shared" si="134"/>
        <v>91.018397713071494</v>
      </c>
      <c r="AN338" s="166">
        <f t="shared" si="134"/>
        <v>91.922380913942419</v>
      </c>
    </row>
    <row r="339" spans="2:40" s="162" customFormat="1">
      <c r="B339" s="163"/>
      <c r="C339" s="164"/>
      <c r="D339" s="165"/>
      <c r="E339" s="166"/>
      <c r="F339" s="166"/>
      <c r="G339" s="166"/>
      <c r="H339" s="166"/>
      <c r="I339" s="166"/>
      <c r="J339" s="166"/>
      <c r="K339" s="166"/>
      <c r="L339" s="166"/>
      <c r="M339" s="166"/>
      <c r="N339" s="166"/>
      <c r="O339" s="173"/>
      <c r="P339" s="166"/>
      <c r="Q339" s="166"/>
      <c r="R339" s="166"/>
      <c r="S339" s="166"/>
      <c r="T339" s="166"/>
      <c r="U339" s="166"/>
      <c r="V339" s="166"/>
      <c r="W339" s="166"/>
      <c r="X339" s="166"/>
      <c r="Y339" s="166"/>
      <c r="Z339" s="166"/>
      <c r="AA339" s="166"/>
      <c r="AB339" s="166"/>
      <c r="AC339" s="166"/>
      <c r="AD339" s="166"/>
      <c r="AE339" s="166"/>
      <c r="AF339" s="166"/>
      <c r="AG339" s="166"/>
      <c r="AH339" s="166"/>
      <c r="AI339" s="166"/>
      <c r="AJ339" s="166"/>
      <c r="AK339" s="166"/>
      <c r="AL339" s="166"/>
      <c r="AM339" s="166"/>
      <c r="AN339" s="166"/>
    </row>
    <row r="340" spans="2:40" s="162" customFormat="1">
      <c r="B340" s="176" t="s">
        <v>154</v>
      </c>
      <c r="C340" s="36" t="s">
        <v>72</v>
      </c>
      <c r="D340" s="165"/>
      <c r="E340" s="173"/>
      <c r="F340" s="173"/>
      <c r="G340" s="173">
        <v>-6</v>
      </c>
      <c r="H340" s="173">
        <f>-10.2-G340</f>
        <v>-4.1999999999999993</v>
      </c>
      <c r="I340" s="173">
        <v>-6.4</v>
      </c>
      <c r="J340" s="173">
        <f>-28.6-I340</f>
        <v>-22.200000000000003</v>
      </c>
      <c r="K340" s="173">
        <v>-14</v>
      </c>
      <c r="L340" s="173">
        <f>-32.5-K340</f>
        <v>-18.5</v>
      </c>
      <c r="M340" s="173">
        <v>-17.2</v>
      </c>
      <c r="N340" s="173">
        <f>-35-M340</f>
        <v>-17.8</v>
      </c>
      <c r="O340" s="173">
        <v>-15.848000000000001</v>
      </c>
      <c r="P340" s="173">
        <f>-28.126-O340</f>
        <v>-12.278</v>
      </c>
      <c r="Q340" s="173">
        <v>-8.7149999999999999</v>
      </c>
      <c r="R340" s="173">
        <f>-16-Q340</f>
        <v>-7.2850000000000001</v>
      </c>
      <c r="S340" s="173">
        <v>-12.3</v>
      </c>
      <c r="T340" s="173">
        <f>-26.4-S340</f>
        <v>-14.099999999999998</v>
      </c>
      <c r="U340" s="173">
        <v>-6.3</v>
      </c>
      <c r="V340" s="173">
        <f>-26.6-U340</f>
        <v>-20.3</v>
      </c>
      <c r="W340" s="177">
        <f t="shared" ref="W340:AN340" si="135">W440</f>
        <v>-15.443709808219181</v>
      </c>
      <c r="X340" s="177">
        <f t="shared" si="135"/>
        <v>-11.280404239932054</v>
      </c>
      <c r="Y340" s="177">
        <f t="shared" si="135"/>
        <v>-11.181148228190075</v>
      </c>
      <c r="Z340" s="177">
        <f t="shared" si="135"/>
        <v>-10.75403858181058</v>
      </c>
      <c r="AA340" s="177">
        <f t="shared" si="135"/>
        <v>-10.229402819888403</v>
      </c>
      <c r="AB340" s="177">
        <f t="shared" si="135"/>
        <v>-9.4215184320240404</v>
      </c>
      <c r="AC340" s="177">
        <f t="shared" si="135"/>
        <v>-8.8306942874042189</v>
      </c>
      <c r="AD340" s="177">
        <f t="shared" si="135"/>
        <v>-7.8766994818097498</v>
      </c>
      <c r="AE340" s="177">
        <f t="shared" si="135"/>
        <v>-7.2214913628624133</v>
      </c>
      <c r="AF340" s="177">
        <f t="shared" si="135"/>
        <v>-6.757815734180916</v>
      </c>
      <c r="AG340" s="177">
        <f t="shared" si="135"/>
        <v>-6.6105786277136458</v>
      </c>
      <c r="AH340" s="177">
        <f t="shared" si="135"/>
        <v>-6.2088449277359814</v>
      </c>
      <c r="AI340" s="177">
        <f t="shared" si="135"/>
        <v>-6.0482395036229404</v>
      </c>
      <c r="AJ340" s="177">
        <f t="shared" si="135"/>
        <v>-5.6230702495446501</v>
      </c>
      <c r="AK340" s="177">
        <f t="shared" si="135"/>
        <v>-5.494572310019656</v>
      </c>
      <c r="AL340" s="177">
        <f t="shared" si="135"/>
        <v>-5.1250750972445394</v>
      </c>
      <c r="AM340" s="177">
        <f t="shared" si="135"/>
        <v>-5.0075350336879296</v>
      </c>
      <c r="AN340" s="177">
        <f t="shared" si="135"/>
        <v>-4.6588214794082798</v>
      </c>
    </row>
    <row r="341" spans="2:40" s="162" customFormat="1">
      <c r="B341" s="176"/>
      <c r="C341" s="36"/>
      <c r="D341" s="165"/>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c r="AB341" s="166"/>
      <c r="AC341" s="166"/>
      <c r="AD341" s="166"/>
      <c r="AE341" s="166"/>
      <c r="AF341" s="166"/>
      <c r="AG341" s="166"/>
      <c r="AH341" s="166"/>
      <c r="AI341" s="166"/>
      <c r="AJ341" s="166"/>
      <c r="AK341" s="166"/>
      <c r="AL341" s="166"/>
      <c r="AM341" s="166"/>
      <c r="AN341" s="166"/>
    </row>
    <row r="342" spans="2:40" s="162" customFormat="1">
      <c r="B342" s="176"/>
      <c r="C342" s="36"/>
      <c r="D342" s="165"/>
      <c r="E342" s="173"/>
      <c r="F342" s="173"/>
      <c r="G342" s="173"/>
      <c r="H342" s="173"/>
      <c r="I342" s="173"/>
      <c r="J342" s="173"/>
      <c r="K342" s="173"/>
      <c r="L342" s="173"/>
      <c r="M342" s="173"/>
      <c r="N342" s="173"/>
      <c r="O342" s="173"/>
      <c r="P342" s="173"/>
      <c r="Q342" s="541"/>
      <c r="R342" s="541"/>
      <c r="S342" s="541"/>
      <c r="T342" s="541"/>
      <c r="U342" s="541"/>
      <c r="V342" s="541"/>
      <c r="W342" s="541"/>
      <c r="X342" s="541"/>
      <c r="Y342" s="541"/>
      <c r="Z342" s="541"/>
      <c r="AA342" s="541"/>
      <c r="AB342" s="541"/>
      <c r="AC342" s="541"/>
      <c r="AD342" s="541"/>
      <c r="AE342" s="541"/>
      <c r="AF342" s="541"/>
      <c r="AG342" s="541"/>
      <c r="AH342" s="541"/>
      <c r="AI342" s="541"/>
      <c r="AJ342" s="541"/>
      <c r="AK342" s="541"/>
      <c r="AL342" s="541"/>
      <c r="AM342" s="541"/>
      <c r="AN342" s="541"/>
    </row>
    <row r="343" spans="2:40" s="162" customFormat="1">
      <c r="B343" s="175" t="s">
        <v>155</v>
      </c>
      <c r="C343" s="36" t="s">
        <v>72</v>
      </c>
      <c r="D343" s="165"/>
      <c r="E343" s="166"/>
      <c r="F343" s="166"/>
      <c r="G343" s="166">
        <f t="shared" ref="G343:AN343" si="136">G338+G340</f>
        <v>125.19999999999999</v>
      </c>
      <c r="H343" s="166">
        <f t="shared" si="136"/>
        <v>106.79999999999998</v>
      </c>
      <c r="I343" s="166">
        <f t="shared" si="136"/>
        <v>105.5</v>
      </c>
      <c r="J343" s="166">
        <f t="shared" si="136"/>
        <v>-20.000000000000028</v>
      </c>
      <c r="K343" s="166">
        <f t="shared" si="136"/>
        <v>62.7</v>
      </c>
      <c r="L343" s="166">
        <f t="shared" si="136"/>
        <v>65.000000000000043</v>
      </c>
      <c r="M343" s="166">
        <f t="shared" si="136"/>
        <v>-28.799999999999994</v>
      </c>
      <c r="N343" s="166">
        <f t="shared" si="136"/>
        <v>37</v>
      </c>
      <c r="O343" s="166">
        <f t="shared" si="136"/>
        <v>100.488</v>
      </c>
      <c r="P343" s="166">
        <f t="shared" si="136"/>
        <v>82.513999999999996</v>
      </c>
      <c r="Q343" s="166">
        <f t="shared" si="136"/>
        <v>91.338000000000008</v>
      </c>
      <c r="R343" s="166">
        <f t="shared" si="136"/>
        <v>78.441000000000003</v>
      </c>
      <c r="S343" s="166">
        <f t="shared" si="136"/>
        <v>61.870999999999995</v>
      </c>
      <c r="T343" s="166">
        <f t="shared" si="136"/>
        <v>51.21599999999998</v>
      </c>
      <c r="U343" s="166">
        <f t="shared" si="136"/>
        <v>29.320999999999994</v>
      </c>
      <c r="V343" s="166">
        <f t="shared" si="136"/>
        <v>22.221999999999998</v>
      </c>
      <c r="W343" s="166">
        <f t="shared" si="136"/>
        <v>13.457155114296471</v>
      </c>
      <c r="X343" s="166">
        <f t="shared" si="136"/>
        <v>30.043306102756858</v>
      </c>
      <c r="Y343" s="166">
        <f t="shared" si="136"/>
        <v>35.725347659445653</v>
      </c>
      <c r="Z343" s="166">
        <f t="shared" si="136"/>
        <v>42.509525306325628</v>
      </c>
      <c r="AA343" s="166">
        <f t="shared" si="136"/>
        <v>52.309657379208531</v>
      </c>
      <c r="AB343" s="166">
        <f t="shared" si="136"/>
        <v>54.229421972024639</v>
      </c>
      <c r="AC343" s="166">
        <f t="shared" si="136"/>
        <v>58.978188617195052</v>
      </c>
      <c r="AD343" s="166">
        <f t="shared" si="136"/>
        <v>61.066050535623859</v>
      </c>
      <c r="AE343" s="166">
        <f t="shared" si="136"/>
        <v>66.103748833249028</v>
      </c>
      <c r="AF343" s="166">
        <f t="shared" si="136"/>
        <v>67.443933264552555</v>
      </c>
      <c r="AG343" s="166">
        <f t="shared" si="136"/>
        <v>72.186586321227324</v>
      </c>
      <c r="AH343" s="166">
        <f t="shared" si="136"/>
        <v>73.463299985434901</v>
      </c>
      <c r="AI343" s="166">
        <f t="shared" si="136"/>
        <v>78.464101564401105</v>
      </c>
      <c r="AJ343" s="166">
        <f t="shared" si="136"/>
        <v>79.765630472498216</v>
      </c>
      <c r="AK343" s="166">
        <f t="shared" si="136"/>
        <v>82.21180526371208</v>
      </c>
      <c r="AL343" s="166">
        <f t="shared" si="136"/>
        <v>83.470782254911754</v>
      </c>
      <c r="AM343" s="166">
        <f t="shared" si="136"/>
        <v>86.010862679383564</v>
      </c>
      <c r="AN343" s="166">
        <f t="shared" si="136"/>
        <v>87.263559434534145</v>
      </c>
    </row>
    <row r="344" spans="2:40" s="162" customFormat="1">
      <c r="B344" s="176" t="s">
        <v>156</v>
      </c>
      <c r="C344" s="36" t="s">
        <v>72</v>
      </c>
      <c r="D344" s="165"/>
      <c r="E344" s="173"/>
      <c r="F344" s="173"/>
      <c r="G344" s="177">
        <f t="shared" ref="G344:V344" si="137">G348-G343</f>
        <v>-35.499999999999986</v>
      </c>
      <c r="H344" s="177">
        <f t="shared" si="137"/>
        <v>-31.899999999999991</v>
      </c>
      <c r="I344" s="177">
        <f t="shared" si="137"/>
        <v>-30.5</v>
      </c>
      <c r="J344" s="177">
        <f t="shared" si="137"/>
        <v>11.300000000000026</v>
      </c>
      <c r="K344" s="177">
        <f t="shared" si="137"/>
        <v>-19.5</v>
      </c>
      <c r="L344" s="177">
        <f t="shared" si="137"/>
        <v>-18.200000000000045</v>
      </c>
      <c r="M344" s="177">
        <f t="shared" si="137"/>
        <v>9.2999999999999936</v>
      </c>
      <c r="N344" s="177">
        <f t="shared" si="137"/>
        <v>-7.8000000000000007</v>
      </c>
      <c r="O344" s="177">
        <f t="shared" si="137"/>
        <v>-27.688000000000002</v>
      </c>
      <c r="P344" s="177">
        <f t="shared" si="137"/>
        <v>-22.614000000000004</v>
      </c>
      <c r="Q344" s="177">
        <f t="shared" si="137"/>
        <v>-26.838000000000008</v>
      </c>
      <c r="R344" s="177">
        <f t="shared" si="137"/>
        <v>-19.741</v>
      </c>
      <c r="S344" s="177">
        <f t="shared" si="137"/>
        <v>-17.670999999999992</v>
      </c>
      <c r="T344" s="177">
        <f t="shared" si="137"/>
        <v>-23.915999999999983</v>
      </c>
      <c r="U344" s="177">
        <f t="shared" si="137"/>
        <v>-14.920999999999994</v>
      </c>
      <c r="V344" s="177">
        <f t="shared" si="137"/>
        <v>1.3780000000000037</v>
      </c>
      <c r="W344" s="220">
        <f t="shared" ref="W344:AN344" si="138">W343*W345</f>
        <v>-4.037146534288941</v>
      </c>
      <c r="X344" s="220">
        <f t="shared" si="138"/>
        <v>-9.0129918308270565</v>
      </c>
      <c r="Y344" s="220">
        <f t="shared" si="138"/>
        <v>-10.717604297833695</v>
      </c>
      <c r="Z344" s="220">
        <f t="shared" si="138"/>
        <v>-12.752857591897689</v>
      </c>
      <c r="AA344" s="220">
        <f t="shared" si="138"/>
        <v>-15.692897213762558</v>
      </c>
      <c r="AB344" s="220">
        <f t="shared" si="138"/>
        <v>-16.26882659160739</v>
      </c>
      <c r="AC344" s="220">
        <f t="shared" si="138"/>
        <v>-17.693456585158515</v>
      </c>
      <c r="AD344" s="220">
        <f t="shared" si="138"/>
        <v>-18.319815160687156</v>
      </c>
      <c r="AE344" s="220">
        <f t="shared" si="138"/>
        <v>-19.831124649974708</v>
      </c>
      <c r="AF344" s="220">
        <f t="shared" si="138"/>
        <v>-20.233179979365765</v>
      </c>
      <c r="AG344" s="220">
        <f t="shared" si="138"/>
        <v>-21.655975896368197</v>
      </c>
      <c r="AH344" s="220">
        <f t="shared" si="138"/>
        <v>-22.03898999563047</v>
      </c>
      <c r="AI344" s="220">
        <f t="shared" si="138"/>
        <v>-23.53923046932033</v>
      </c>
      <c r="AJ344" s="220">
        <f t="shared" si="138"/>
        <v>-23.929689141749463</v>
      </c>
      <c r="AK344" s="220">
        <f t="shared" si="138"/>
        <v>-24.663541579113623</v>
      </c>
      <c r="AL344" s="220">
        <f t="shared" si="138"/>
        <v>-25.041234676473525</v>
      </c>
      <c r="AM344" s="220">
        <f t="shared" si="138"/>
        <v>-25.803258803815069</v>
      </c>
      <c r="AN344" s="220">
        <f t="shared" si="138"/>
        <v>-26.179067830360243</v>
      </c>
    </row>
    <row r="345" spans="2:40" s="162" customFormat="1">
      <c r="B345" s="642" t="s">
        <v>157</v>
      </c>
      <c r="C345" s="36" t="s">
        <v>88</v>
      </c>
      <c r="D345" s="165"/>
      <c r="E345" s="166"/>
      <c r="F345" s="166"/>
      <c r="G345" s="178">
        <f t="shared" ref="G345:V345" si="139">G344/G343</f>
        <v>-0.28354632587859419</v>
      </c>
      <c r="H345" s="178">
        <f t="shared" si="139"/>
        <v>-0.29868913857677898</v>
      </c>
      <c r="I345" s="178">
        <f t="shared" si="139"/>
        <v>-0.2890995260663507</v>
      </c>
      <c r="J345" s="178">
        <f t="shared" si="139"/>
        <v>-0.5650000000000005</v>
      </c>
      <c r="K345" s="178">
        <f t="shared" si="139"/>
        <v>-0.31100478468899523</v>
      </c>
      <c r="L345" s="178">
        <f t="shared" si="139"/>
        <v>-0.28000000000000053</v>
      </c>
      <c r="M345" s="178">
        <f t="shared" si="139"/>
        <v>-0.32291666666666652</v>
      </c>
      <c r="N345" s="178">
        <f t="shared" si="139"/>
        <v>-0.21081081081081082</v>
      </c>
      <c r="O345" s="178">
        <f t="shared" si="139"/>
        <v>-0.2755353873099276</v>
      </c>
      <c r="P345" s="178">
        <f t="shared" si="139"/>
        <v>-0.27406258331919436</v>
      </c>
      <c r="Q345" s="178">
        <f t="shared" si="139"/>
        <v>-0.29383170202982334</v>
      </c>
      <c r="R345" s="178">
        <f t="shared" si="139"/>
        <v>-0.2516668578931936</v>
      </c>
      <c r="S345" s="178">
        <f t="shared" si="139"/>
        <v>-0.28561038289343949</v>
      </c>
      <c r="T345" s="178">
        <f t="shared" si="139"/>
        <v>-0.46696344892221164</v>
      </c>
      <c r="U345" s="178">
        <f t="shared" si="139"/>
        <v>-0.50888441731182421</v>
      </c>
      <c r="V345" s="178">
        <f t="shared" si="139"/>
        <v>6.2010620106201231E-2</v>
      </c>
      <c r="W345" s="209">
        <v>-0.3</v>
      </c>
      <c r="X345" s="209">
        <v>-0.3</v>
      </c>
      <c r="Y345" s="209">
        <v>-0.3</v>
      </c>
      <c r="Z345" s="209">
        <v>-0.3</v>
      </c>
      <c r="AA345" s="209">
        <v>-0.3</v>
      </c>
      <c r="AB345" s="209">
        <v>-0.3</v>
      </c>
      <c r="AC345" s="209">
        <v>-0.3</v>
      </c>
      <c r="AD345" s="209">
        <v>-0.3</v>
      </c>
      <c r="AE345" s="209">
        <v>-0.3</v>
      </c>
      <c r="AF345" s="209">
        <v>-0.3</v>
      </c>
      <c r="AG345" s="209">
        <v>-0.3</v>
      </c>
      <c r="AH345" s="209">
        <v>-0.3</v>
      </c>
      <c r="AI345" s="209">
        <v>-0.3</v>
      </c>
      <c r="AJ345" s="209">
        <v>-0.3</v>
      </c>
      <c r="AK345" s="209">
        <v>-0.3</v>
      </c>
      <c r="AL345" s="209">
        <v>-0.3</v>
      </c>
      <c r="AM345" s="209">
        <v>-0.3</v>
      </c>
      <c r="AN345" s="209">
        <v>-0.3</v>
      </c>
    </row>
    <row r="346" spans="2:40" s="162" customFormat="1">
      <c r="B346" s="176"/>
      <c r="C346" s="36"/>
      <c r="D346" s="165"/>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c r="AB346" s="166"/>
      <c r="AC346" s="166"/>
      <c r="AD346" s="166"/>
      <c r="AE346" s="166"/>
      <c r="AF346" s="166"/>
      <c r="AG346" s="166"/>
      <c r="AH346" s="166"/>
      <c r="AI346" s="166"/>
      <c r="AJ346" s="166"/>
      <c r="AK346" s="166"/>
      <c r="AL346" s="166"/>
      <c r="AM346" s="166"/>
      <c r="AN346" s="166"/>
    </row>
    <row r="347" spans="2:40" s="162" customFormat="1">
      <c r="B347" s="176"/>
      <c r="C347" s="36"/>
      <c r="D347" s="165"/>
      <c r="E347" s="173"/>
      <c r="F347" s="173"/>
      <c r="G347" s="173"/>
      <c r="H347" s="173"/>
      <c r="I347" s="173"/>
      <c r="J347" s="173"/>
      <c r="K347" s="173"/>
      <c r="L347" s="173"/>
      <c r="M347" s="173"/>
      <c r="N347" s="173"/>
      <c r="O347" s="173"/>
      <c r="P347" s="173"/>
      <c r="Q347" s="541"/>
      <c r="R347" s="173"/>
      <c r="S347" s="541"/>
      <c r="T347" s="541"/>
      <c r="U347" s="541"/>
      <c r="V347" s="541"/>
      <c r="W347" s="541"/>
      <c r="X347" s="541"/>
      <c r="Y347" s="541"/>
      <c r="Z347" s="541"/>
      <c r="AA347" s="541"/>
      <c r="AB347" s="541"/>
      <c r="AC347" s="541"/>
      <c r="AD347" s="541"/>
      <c r="AE347" s="541"/>
      <c r="AF347" s="541"/>
      <c r="AG347" s="541"/>
      <c r="AH347" s="541"/>
      <c r="AI347" s="541"/>
      <c r="AJ347" s="541"/>
      <c r="AK347" s="541"/>
      <c r="AL347" s="541"/>
      <c r="AM347" s="541"/>
      <c r="AN347" s="541"/>
    </row>
    <row r="348" spans="2:40" s="162" customFormat="1">
      <c r="B348" s="175" t="s">
        <v>158</v>
      </c>
      <c r="C348" s="36" t="s">
        <v>72</v>
      </c>
      <c r="D348" s="172"/>
      <c r="E348" s="172"/>
      <c r="F348" s="172"/>
      <c r="G348" s="172">
        <v>89.7</v>
      </c>
      <c r="H348" s="172">
        <f>164.6-G348</f>
        <v>74.899999999999991</v>
      </c>
      <c r="I348" s="172">
        <v>75</v>
      </c>
      <c r="J348" s="172">
        <f>66.3-I348</f>
        <v>-8.7000000000000028</v>
      </c>
      <c r="K348" s="172">
        <v>43.2</v>
      </c>
      <c r="L348" s="172">
        <f>90-K348</f>
        <v>46.8</v>
      </c>
      <c r="M348" s="172">
        <v>-19.5</v>
      </c>
      <c r="N348" s="172">
        <f>9.7-M348</f>
        <v>29.2</v>
      </c>
      <c r="O348" s="172">
        <v>72.8</v>
      </c>
      <c r="P348" s="172">
        <f>132.7-O348</f>
        <v>59.899999999999991</v>
      </c>
      <c r="Q348" s="172">
        <v>64.5</v>
      </c>
      <c r="R348" s="172">
        <f>123.2-Q348</f>
        <v>58.7</v>
      </c>
      <c r="S348" s="172">
        <v>44.2</v>
      </c>
      <c r="T348" s="172">
        <f>71.5-S348</f>
        <v>27.299999999999997</v>
      </c>
      <c r="U348" s="172">
        <v>14.4</v>
      </c>
      <c r="V348" s="172">
        <f>38-U348</f>
        <v>23.6</v>
      </c>
      <c r="W348" s="166">
        <f t="shared" ref="W348:AN348" si="140">W343+W344</f>
        <v>9.4200085800075293</v>
      </c>
      <c r="X348" s="166">
        <f t="shared" si="140"/>
        <v>21.030314271929804</v>
      </c>
      <c r="Y348" s="166">
        <f t="shared" si="140"/>
        <v>25.007743361611958</v>
      </c>
      <c r="Z348" s="166">
        <f t="shared" si="140"/>
        <v>29.756667714427941</v>
      </c>
      <c r="AA348" s="166">
        <f t="shared" si="140"/>
        <v>36.616760165445974</v>
      </c>
      <c r="AB348" s="166">
        <f t="shared" si="140"/>
        <v>37.960595380417246</v>
      </c>
      <c r="AC348" s="166">
        <f t="shared" si="140"/>
        <v>41.284732032036537</v>
      </c>
      <c r="AD348" s="166">
        <f t="shared" si="140"/>
        <v>42.746235374936703</v>
      </c>
      <c r="AE348" s="166">
        <f t="shared" si="140"/>
        <v>46.272624183274317</v>
      </c>
      <c r="AF348" s="166">
        <f t="shared" si="140"/>
        <v>47.21075328518679</v>
      </c>
      <c r="AG348" s="166">
        <f t="shared" si="140"/>
        <v>50.530610424859127</v>
      </c>
      <c r="AH348" s="166">
        <f t="shared" si="140"/>
        <v>51.424309989804428</v>
      </c>
      <c r="AI348" s="166">
        <f t="shared" si="140"/>
        <v>54.924871095080775</v>
      </c>
      <c r="AJ348" s="166">
        <f t="shared" si="140"/>
        <v>55.835941330748753</v>
      </c>
      <c r="AK348" s="166">
        <f t="shared" si="140"/>
        <v>57.548263684598453</v>
      </c>
      <c r="AL348" s="166">
        <f t="shared" si="140"/>
        <v>58.429547578438232</v>
      </c>
      <c r="AM348" s="166">
        <f t="shared" si="140"/>
        <v>60.207603875568495</v>
      </c>
      <c r="AN348" s="166">
        <f t="shared" si="140"/>
        <v>61.084491604173905</v>
      </c>
    </row>
    <row r="349" spans="2:40" s="162" customFormat="1">
      <c r="B349" s="176" t="s">
        <v>159</v>
      </c>
      <c r="C349" s="36" t="s">
        <v>72</v>
      </c>
      <c r="D349" s="173"/>
      <c r="E349" s="173"/>
      <c r="F349" s="173"/>
      <c r="G349" s="173">
        <v>13.3</v>
      </c>
      <c r="H349" s="173">
        <f>24.4-G349</f>
        <v>11.099999999999998</v>
      </c>
      <c r="I349" s="173">
        <v>11.3</v>
      </c>
      <c r="J349" s="173">
        <f>10-I349</f>
        <v>-1.3000000000000007</v>
      </c>
      <c r="K349" s="173">
        <v>5.7</v>
      </c>
      <c r="L349" s="173">
        <f>11.9-K349</f>
        <v>6.2</v>
      </c>
      <c r="M349" s="173">
        <v>-2.6</v>
      </c>
      <c r="N349" s="173">
        <f>1.3-M349</f>
        <v>3.9000000000000004</v>
      </c>
      <c r="O349" s="173">
        <v>9.6</v>
      </c>
      <c r="P349" s="173">
        <f>18.3-O349</f>
        <v>8.7000000000000011</v>
      </c>
      <c r="Q349" s="173">
        <v>8.8000000000000007</v>
      </c>
      <c r="R349" s="173">
        <f>16.2-Q349</f>
        <v>7.3999999999999986</v>
      </c>
      <c r="S349" s="173">
        <v>5</v>
      </c>
      <c r="T349" s="173">
        <f>9.4-S349</f>
        <v>4.4000000000000004</v>
      </c>
      <c r="U349" s="173">
        <v>1.5</v>
      </c>
      <c r="V349" s="173">
        <f>3.7-U349</f>
        <v>2.2000000000000002</v>
      </c>
      <c r="W349" s="177">
        <f t="shared" ref="W349:AN349" si="141">W348/W487*100</f>
        <v>0.85399260949191125</v>
      </c>
      <c r="X349" s="177">
        <f t="shared" si="141"/>
        <v>1.9065516566128184</v>
      </c>
      <c r="Y349" s="177">
        <f t="shared" si="141"/>
        <v>2.2671346665450649</v>
      </c>
      <c r="Z349" s="177">
        <f t="shared" si="141"/>
        <v>2.697659359372655</v>
      </c>
      <c r="AA349" s="177">
        <f t="shared" si="141"/>
        <v>3.3195768665429051</v>
      </c>
      <c r="AB349" s="177">
        <f t="shared" si="141"/>
        <v>3.4414053481428155</v>
      </c>
      <c r="AC349" s="177">
        <f t="shared" si="141"/>
        <v>3.7427626249768231</v>
      </c>
      <c r="AD349" s="177">
        <f t="shared" si="141"/>
        <v>3.8752585821708951</v>
      </c>
      <c r="AE349" s="177">
        <f t="shared" si="141"/>
        <v>4.1949514948617352</v>
      </c>
      <c r="AF349" s="177">
        <f t="shared" si="141"/>
        <v>4.2799997528307205</v>
      </c>
      <c r="AG349" s="177">
        <f t="shared" si="141"/>
        <v>4.5809690606364741</v>
      </c>
      <c r="AH349" s="177">
        <f t="shared" si="141"/>
        <v>4.66198945643412</v>
      </c>
      <c r="AI349" s="177">
        <f t="shared" si="141"/>
        <v>4.9793408991202206</v>
      </c>
      <c r="AJ349" s="177">
        <f t="shared" si="141"/>
        <v>5.0619360731458354</v>
      </c>
      <c r="AK349" s="177">
        <f t="shared" si="141"/>
        <v>5.2171706064093142</v>
      </c>
      <c r="AL349" s="177">
        <f t="shared" si="141"/>
        <v>5.2970654309003153</v>
      </c>
      <c r="AM349" s="177">
        <f t="shared" si="141"/>
        <v>5.4582592264380887</v>
      </c>
      <c r="AN349" s="177">
        <f t="shared" si="141"/>
        <v>5.5377555064279491</v>
      </c>
    </row>
    <row r="350" spans="2:40" s="162" customFormat="1">
      <c r="B350" s="176" t="s">
        <v>160</v>
      </c>
      <c r="C350" s="36" t="s">
        <v>72</v>
      </c>
      <c r="D350" s="173"/>
      <c r="E350" s="173"/>
      <c r="F350" s="173"/>
      <c r="G350" s="177">
        <f t="shared" ref="G350:AN350" si="142">G348/G487*100</f>
        <v>13.164183631476936</v>
      </c>
      <c r="H350" s="177">
        <f t="shared" si="142"/>
        <v>11.057001310760265</v>
      </c>
      <c r="I350" s="177">
        <f t="shared" si="142"/>
        <v>11.197807255535899</v>
      </c>
      <c r="J350" s="177">
        <f t="shared" si="142"/>
        <v>-1.2372069846972544</v>
      </c>
      <c r="K350" s="177">
        <f t="shared" si="142"/>
        <v>5.7622971781853982</v>
      </c>
      <c r="L350" s="177">
        <f t="shared" si="142"/>
        <v>6.1562324811694369</v>
      </c>
      <c r="M350" s="177">
        <f t="shared" si="142"/>
        <v>-2.5650968671539323</v>
      </c>
      <c r="N350" s="177">
        <f t="shared" si="142"/>
        <v>3.8410681292766569</v>
      </c>
      <c r="O350" s="177">
        <f t="shared" si="142"/>
        <v>9.5763616373746796</v>
      </c>
      <c r="P350" s="177">
        <f t="shared" si="142"/>
        <v>7.8794514021805391</v>
      </c>
      <c r="Q350" s="177">
        <f t="shared" si="142"/>
        <v>8.4845511759706973</v>
      </c>
      <c r="R350" s="177">
        <f t="shared" si="142"/>
        <v>7.7215992872787602</v>
      </c>
      <c r="S350" s="177">
        <f t="shared" si="142"/>
        <v>5.8142195655489131</v>
      </c>
      <c r="T350" s="177">
        <f t="shared" si="142"/>
        <v>3.5911356140155046</v>
      </c>
      <c r="U350" s="177">
        <f t="shared" si="142"/>
        <v>1.5456777928504262</v>
      </c>
      <c r="V350" s="177">
        <f t="shared" si="142"/>
        <v>2.1395124444773064</v>
      </c>
      <c r="W350" s="177">
        <f t="shared" si="142"/>
        <v>0.85399260949191125</v>
      </c>
      <c r="X350" s="177">
        <f t="shared" si="142"/>
        <v>1.9065516566128184</v>
      </c>
      <c r="Y350" s="177">
        <f t="shared" si="142"/>
        <v>2.2671346665450649</v>
      </c>
      <c r="Z350" s="177">
        <f t="shared" si="142"/>
        <v>2.697659359372655</v>
      </c>
      <c r="AA350" s="177">
        <f t="shared" si="142"/>
        <v>3.3195768665429051</v>
      </c>
      <c r="AB350" s="177">
        <f t="shared" si="142"/>
        <v>3.4414053481428155</v>
      </c>
      <c r="AC350" s="177">
        <f t="shared" si="142"/>
        <v>3.7427626249768231</v>
      </c>
      <c r="AD350" s="177">
        <f t="shared" si="142"/>
        <v>3.8752585821708951</v>
      </c>
      <c r="AE350" s="177">
        <f t="shared" si="142"/>
        <v>4.1949514948617352</v>
      </c>
      <c r="AF350" s="177">
        <f t="shared" si="142"/>
        <v>4.2799997528307205</v>
      </c>
      <c r="AG350" s="177">
        <f t="shared" si="142"/>
        <v>4.5809690606364741</v>
      </c>
      <c r="AH350" s="177">
        <f t="shared" si="142"/>
        <v>4.66198945643412</v>
      </c>
      <c r="AI350" s="177">
        <f t="shared" si="142"/>
        <v>4.9793408991202206</v>
      </c>
      <c r="AJ350" s="177">
        <f t="shared" si="142"/>
        <v>5.0619360731458354</v>
      </c>
      <c r="AK350" s="177">
        <f t="shared" si="142"/>
        <v>5.2171706064093142</v>
      </c>
      <c r="AL350" s="177">
        <f t="shared" si="142"/>
        <v>5.2970654309003153</v>
      </c>
      <c r="AM350" s="177">
        <f t="shared" si="142"/>
        <v>5.4582592264380887</v>
      </c>
      <c r="AN350" s="177">
        <f t="shared" si="142"/>
        <v>5.5377555064279491</v>
      </c>
    </row>
    <row r="351" spans="2:40" s="162" customFormat="1">
      <c r="B351" s="176"/>
      <c r="C351" s="36"/>
      <c r="D351" s="173"/>
      <c r="E351" s="173"/>
      <c r="F351" s="173"/>
      <c r="G351" s="177"/>
      <c r="H351" s="177"/>
      <c r="I351" s="177"/>
      <c r="J351" s="177"/>
      <c r="K351" s="177"/>
      <c r="L351" s="177"/>
      <c r="M351" s="177"/>
      <c r="N351" s="177"/>
      <c r="O351" s="177"/>
      <c r="P351" s="177"/>
      <c r="Q351" s="177"/>
      <c r="R351" s="177"/>
      <c r="S351" s="177"/>
      <c r="T351" s="177"/>
      <c r="U351" s="166"/>
      <c r="V351" s="177"/>
      <c r="W351" s="177"/>
      <c r="X351" s="177"/>
      <c r="Y351" s="177"/>
      <c r="Z351" s="177"/>
      <c r="AA351" s="177"/>
      <c r="AB351" s="177"/>
      <c r="AC351" s="177"/>
      <c r="AD351" s="177"/>
      <c r="AE351" s="177"/>
      <c r="AF351" s="177"/>
      <c r="AG351" s="177"/>
      <c r="AH351" s="177"/>
      <c r="AI351" s="177"/>
      <c r="AJ351" s="177"/>
      <c r="AK351" s="177"/>
      <c r="AL351" s="177"/>
      <c r="AM351" s="177"/>
      <c r="AN351" s="177"/>
    </row>
    <row r="352" spans="2:40" s="162" customFormat="1">
      <c r="B352" s="129" t="s">
        <v>161</v>
      </c>
      <c r="C352" s="164"/>
      <c r="P352" s="173"/>
      <c r="Q352" s="173"/>
      <c r="R352" s="166"/>
      <c r="S352" s="166"/>
      <c r="T352" s="166"/>
      <c r="U352" s="166"/>
      <c r="V352" s="166"/>
      <c r="W352" s="166"/>
      <c r="X352" s="166"/>
      <c r="Y352" s="166"/>
      <c r="Z352" s="166"/>
      <c r="AA352" s="166"/>
      <c r="AB352" s="166"/>
      <c r="AC352" s="166"/>
      <c r="AD352" s="166"/>
      <c r="AE352" s="166"/>
      <c r="AF352" s="166"/>
      <c r="AG352" s="166"/>
      <c r="AH352" s="166"/>
      <c r="AI352" s="166"/>
      <c r="AJ352" s="166"/>
      <c r="AK352" s="166"/>
      <c r="AL352" s="166"/>
      <c r="AM352" s="166"/>
      <c r="AN352" s="166"/>
    </row>
    <row r="353" spans="2:40" s="162" customFormat="1">
      <c r="B353" s="163"/>
      <c r="C353" s="164"/>
      <c r="P353" s="173"/>
      <c r="Q353" s="173"/>
      <c r="R353" s="166"/>
      <c r="S353" s="166"/>
      <c r="T353" s="166"/>
      <c r="U353" s="166"/>
      <c r="V353" s="166"/>
      <c r="W353" s="166"/>
      <c r="X353" s="166"/>
      <c r="Y353" s="166"/>
      <c r="Z353" s="166"/>
      <c r="AA353" s="166"/>
      <c r="AB353" s="166"/>
      <c r="AC353" s="166"/>
      <c r="AD353" s="166"/>
      <c r="AE353" s="166"/>
      <c r="AF353" s="166"/>
      <c r="AG353" s="166"/>
      <c r="AH353" s="166"/>
      <c r="AI353" s="166"/>
      <c r="AJ353" s="166"/>
      <c r="AK353" s="166"/>
      <c r="AL353" s="166"/>
      <c r="AM353" s="166"/>
      <c r="AN353" s="166"/>
    </row>
    <row r="354" spans="2:40" s="162" customFormat="1">
      <c r="B354" s="175" t="s">
        <v>146</v>
      </c>
      <c r="C354" s="36" t="s">
        <v>72</v>
      </c>
      <c r="E354" s="166"/>
      <c r="F354" s="166"/>
      <c r="G354" s="166">
        <f t="shared" ref="G354:AN354" si="143">G311</f>
        <v>487.12454063071789</v>
      </c>
      <c r="H354" s="166">
        <f t="shared" si="143"/>
        <v>450.66217843296693</v>
      </c>
      <c r="I354" s="166">
        <f t="shared" si="143"/>
        <v>444.64136511800183</v>
      </c>
      <c r="J354" s="166">
        <f t="shared" si="143"/>
        <v>260.59257063955874</v>
      </c>
      <c r="K354" s="166">
        <f t="shared" si="143"/>
        <v>345.19929140775662</v>
      </c>
      <c r="L354" s="166">
        <f t="shared" si="143"/>
        <v>386.43718944039011</v>
      </c>
      <c r="M354" s="166">
        <f t="shared" si="143"/>
        <v>239.30042519685037</v>
      </c>
      <c r="N354" s="166">
        <f t="shared" si="143"/>
        <v>336.11961910308673</v>
      </c>
      <c r="O354" s="166">
        <f t="shared" si="143"/>
        <v>438.9</v>
      </c>
      <c r="P354" s="166">
        <f t="shared" si="143"/>
        <v>423.70000000000005</v>
      </c>
      <c r="Q354" s="166">
        <f t="shared" si="143"/>
        <v>442.8</v>
      </c>
      <c r="R354" s="166">
        <f t="shared" si="143"/>
        <v>427.7</v>
      </c>
      <c r="S354" s="166">
        <f t="shared" si="143"/>
        <v>422</v>
      </c>
      <c r="T354" s="166">
        <f t="shared" si="143"/>
        <v>403.20000000000005</v>
      </c>
      <c r="U354" s="166">
        <f t="shared" si="143"/>
        <v>411.7</v>
      </c>
      <c r="V354" s="166">
        <f t="shared" si="143"/>
        <v>411.00000000000006</v>
      </c>
      <c r="W354" s="166">
        <f t="shared" si="143"/>
        <v>419.565</v>
      </c>
      <c r="X354" s="166">
        <f t="shared" si="143"/>
        <v>421.36900000000003</v>
      </c>
      <c r="Y354" s="166">
        <f t="shared" si="143"/>
        <v>428.74853999999999</v>
      </c>
      <c r="Z354" s="166">
        <f t="shared" si="143"/>
        <v>430.86368999999991</v>
      </c>
      <c r="AA354" s="166">
        <f t="shared" si="143"/>
        <v>451.29426060000003</v>
      </c>
      <c r="AB354" s="166">
        <f t="shared" si="143"/>
        <v>448.01762690000004</v>
      </c>
      <c r="AC354" s="166">
        <f t="shared" si="143"/>
        <v>469.62116627799992</v>
      </c>
      <c r="AD354" s="166">
        <f t="shared" si="143"/>
        <v>466.20287816899997</v>
      </c>
      <c r="AE354" s="166">
        <f t="shared" si="143"/>
        <v>489.09370750493997</v>
      </c>
      <c r="AF354" s="166">
        <f t="shared" si="143"/>
        <v>484.80827684069004</v>
      </c>
      <c r="AG354" s="166">
        <f t="shared" si="143"/>
        <v>508.97433973507424</v>
      </c>
      <c r="AH354" s="166">
        <f t="shared" si="143"/>
        <v>504.42806914139692</v>
      </c>
      <c r="AI354" s="166">
        <f t="shared" si="143"/>
        <v>529.97181292632229</v>
      </c>
      <c r="AJ354" s="166">
        <f t="shared" si="143"/>
        <v>525.14258779050385</v>
      </c>
      <c r="AK354" s="166">
        <f t="shared" si="143"/>
        <v>548.73872938751424</v>
      </c>
      <c r="AL354" s="166">
        <f t="shared" si="143"/>
        <v>543.60177953852178</v>
      </c>
      <c r="AM354" s="166">
        <f t="shared" si="143"/>
        <v>568.5404968330937</v>
      </c>
      <c r="AN354" s="166">
        <f t="shared" si="143"/>
        <v>563.06802340059448</v>
      </c>
    </row>
    <row r="355" spans="2:40" s="162" customFormat="1">
      <c r="B355" s="180" t="s">
        <v>162</v>
      </c>
      <c r="C355" s="36" t="s">
        <v>72</v>
      </c>
      <c r="E355" s="166"/>
      <c r="F355" s="166"/>
      <c r="G355" s="177">
        <f t="shared" ref="G355:V355" si="144">G356-G354</f>
        <v>-75.724540630717911</v>
      </c>
      <c r="H355" s="177">
        <f t="shared" si="144"/>
        <v>-39.762178432966948</v>
      </c>
      <c r="I355" s="177">
        <f t="shared" si="144"/>
        <v>277.05863488199822</v>
      </c>
      <c r="J355" s="177">
        <f t="shared" si="144"/>
        <v>142.70742936044121</v>
      </c>
      <c r="K355" s="177">
        <f t="shared" si="144"/>
        <v>104.70070859224336</v>
      </c>
      <c r="L355" s="177">
        <f t="shared" si="144"/>
        <v>115.66281055960991</v>
      </c>
      <c r="M355" s="177">
        <f t="shared" si="144"/>
        <v>50.499574803149642</v>
      </c>
      <c r="N355" s="177">
        <f t="shared" si="144"/>
        <v>13.080380896913255</v>
      </c>
      <c r="O355" s="177">
        <f t="shared" si="144"/>
        <v>23.700000000000045</v>
      </c>
      <c r="P355" s="177">
        <f t="shared" si="144"/>
        <v>39.899999999999977</v>
      </c>
      <c r="Q355" s="177">
        <f t="shared" si="144"/>
        <v>2.3999999999999773</v>
      </c>
      <c r="R355" s="177">
        <f t="shared" si="144"/>
        <v>55.600000000000023</v>
      </c>
      <c r="S355" s="177">
        <f t="shared" si="144"/>
        <v>0</v>
      </c>
      <c r="T355" s="177">
        <f t="shared" si="144"/>
        <v>0</v>
      </c>
      <c r="U355" s="177">
        <f t="shared" si="144"/>
        <v>0</v>
      </c>
      <c r="V355" s="177">
        <f t="shared" si="144"/>
        <v>56.199999999999932</v>
      </c>
      <c r="W355" s="94">
        <v>0</v>
      </c>
      <c r="X355" s="94">
        <v>0</v>
      </c>
      <c r="Y355" s="94">
        <v>0</v>
      </c>
      <c r="Z355" s="94">
        <v>0</v>
      </c>
      <c r="AA355" s="94">
        <v>0</v>
      </c>
      <c r="AB355" s="94">
        <v>0</v>
      </c>
      <c r="AC355" s="94">
        <v>0</v>
      </c>
      <c r="AD355" s="94">
        <v>0</v>
      </c>
      <c r="AE355" s="94">
        <v>0</v>
      </c>
      <c r="AF355" s="94">
        <v>0</v>
      </c>
      <c r="AG355" s="94">
        <v>0</v>
      </c>
      <c r="AH355" s="94">
        <v>0</v>
      </c>
      <c r="AI355" s="94">
        <v>0</v>
      </c>
      <c r="AJ355" s="94">
        <v>0</v>
      </c>
      <c r="AK355" s="94">
        <v>0</v>
      </c>
      <c r="AL355" s="94">
        <v>0</v>
      </c>
      <c r="AM355" s="94">
        <v>0</v>
      </c>
      <c r="AN355" s="94">
        <v>0</v>
      </c>
    </row>
    <row r="356" spans="2:40" s="162" customFormat="1">
      <c r="B356" s="175" t="s">
        <v>163</v>
      </c>
      <c r="C356" s="36" t="s">
        <v>72</v>
      </c>
      <c r="E356" s="172"/>
      <c r="F356" s="172"/>
      <c r="G356" s="172">
        <v>411.4</v>
      </c>
      <c r="H356" s="172">
        <f>822.3-G356</f>
        <v>410.9</v>
      </c>
      <c r="I356" s="172">
        <v>721.7</v>
      </c>
      <c r="J356" s="172">
        <f>1125-I356</f>
        <v>403.29999999999995</v>
      </c>
      <c r="K356" s="172">
        <v>449.9</v>
      </c>
      <c r="L356" s="172">
        <f>952-K356</f>
        <v>502.1</v>
      </c>
      <c r="M356" s="172">
        <v>289.8</v>
      </c>
      <c r="N356" s="172">
        <f>639-M356</f>
        <v>349.2</v>
      </c>
      <c r="O356" s="172">
        <v>462.6</v>
      </c>
      <c r="P356" s="172">
        <f>926.2-O356</f>
        <v>463.6</v>
      </c>
      <c r="Q356" s="172">
        <v>445.2</v>
      </c>
      <c r="R356" s="172">
        <f>928.5-Q356</f>
        <v>483.3</v>
      </c>
      <c r="S356" s="172">
        <v>422</v>
      </c>
      <c r="T356" s="172">
        <f>825.2-S356</f>
        <v>403.20000000000005</v>
      </c>
      <c r="U356" s="172">
        <v>411.7</v>
      </c>
      <c r="V356" s="172">
        <f>878.9-U356</f>
        <v>467.2</v>
      </c>
      <c r="W356" s="166">
        <f t="shared" ref="W356:AN356" si="145">SUM(W354:W355)</f>
        <v>419.565</v>
      </c>
      <c r="X356" s="166">
        <f t="shared" si="145"/>
        <v>421.36900000000003</v>
      </c>
      <c r="Y356" s="166">
        <f t="shared" si="145"/>
        <v>428.74853999999999</v>
      </c>
      <c r="Z356" s="166">
        <f t="shared" si="145"/>
        <v>430.86368999999991</v>
      </c>
      <c r="AA356" s="166">
        <f t="shared" si="145"/>
        <v>451.29426060000003</v>
      </c>
      <c r="AB356" s="166">
        <f t="shared" si="145"/>
        <v>448.01762690000004</v>
      </c>
      <c r="AC356" s="166">
        <f t="shared" si="145"/>
        <v>469.62116627799992</v>
      </c>
      <c r="AD356" s="166">
        <f t="shared" si="145"/>
        <v>466.20287816899997</v>
      </c>
      <c r="AE356" s="166">
        <f t="shared" si="145"/>
        <v>489.09370750493997</v>
      </c>
      <c r="AF356" s="166">
        <f t="shared" si="145"/>
        <v>484.80827684069004</v>
      </c>
      <c r="AG356" s="166">
        <f t="shared" si="145"/>
        <v>508.97433973507424</v>
      </c>
      <c r="AH356" s="166">
        <f t="shared" si="145"/>
        <v>504.42806914139692</v>
      </c>
      <c r="AI356" s="166">
        <f t="shared" si="145"/>
        <v>529.97181292632229</v>
      </c>
      <c r="AJ356" s="166">
        <f t="shared" si="145"/>
        <v>525.14258779050385</v>
      </c>
      <c r="AK356" s="166">
        <f t="shared" si="145"/>
        <v>548.73872938751424</v>
      </c>
      <c r="AL356" s="166">
        <f t="shared" si="145"/>
        <v>543.60177953852178</v>
      </c>
      <c r="AM356" s="166">
        <f t="shared" si="145"/>
        <v>568.5404968330937</v>
      </c>
      <c r="AN356" s="166">
        <f t="shared" si="145"/>
        <v>563.06802340059448</v>
      </c>
    </row>
    <row r="357" spans="2:40" s="162" customFormat="1">
      <c r="B357" s="163"/>
      <c r="C357" s="164"/>
      <c r="P357" s="173"/>
      <c r="Q357" s="173"/>
      <c r="R357" s="173"/>
      <c r="S357" s="166"/>
      <c r="T357" s="166"/>
      <c r="U357" s="166"/>
      <c r="V357" s="166"/>
      <c r="W357" s="166"/>
      <c r="X357" s="166"/>
      <c r="Y357" s="166"/>
      <c r="Z357" s="166"/>
      <c r="AA357" s="166"/>
      <c r="AB357" s="166"/>
      <c r="AC357" s="166"/>
      <c r="AD357" s="166"/>
      <c r="AE357" s="166"/>
      <c r="AF357" s="166"/>
      <c r="AG357" s="166"/>
      <c r="AH357" s="166"/>
      <c r="AI357" s="166"/>
      <c r="AJ357" s="166"/>
      <c r="AK357" s="166"/>
      <c r="AL357" s="166"/>
      <c r="AM357" s="166"/>
      <c r="AN357" s="166"/>
    </row>
    <row r="358" spans="2:40" s="162" customFormat="1">
      <c r="B358" s="175" t="s">
        <v>150</v>
      </c>
      <c r="C358" s="36" t="s">
        <v>72</v>
      </c>
      <c r="E358" s="166"/>
      <c r="F358" s="166"/>
      <c r="G358" s="166">
        <f t="shared" ref="G358:AN358" si="146">G325</f>
        <v>171.7</v>
      </c>
      <c r="H358" s="166">
        <f t="shared" si="146"/>
        <v>150.5</v>
      </c>
      <c r="I358" s="166">
        <f t="shared" si="146"/>
        <v>153.30000000000001</v>
      </c>
      <c r="J358" s="166">
        <f t="shared" si="146"/>
        <v>47.399999999999977</v>
      </c>
      <c r="K358" s="166">
        <f t="shared" si="146"/>
        <v>117.8</v>
      </c>
      <c r="L358" s="166">
        <f t="shared" si="146"/>
        <v>130.80000000000001</v>
      </c>
      <c r="M358" s="166">
        <f t="shared" si="146"/>
        <v>36.200000000000003</v>
      </c>
      <c r="N358" s="166">
        <f t="shared" si="146"/>
        <v>101.7</v>
      </c>
      <c r="O358" s="166">
        <f t="shared" si="146"/>
        <v>161.80000000000001</v>
      </c>
      <c r="P358" s="166">
        <f t="shared" si="146"/>
        <v>140</v>
      </c>
      <c r="Q358" s="166">
        <f t="shared" si="146"/>
        <v>144.30000000000001</v>
      </c>
      <c r="R358" s="166">
        <f t="shared" si="146"/>
        <v>133.5</v>
      </c>
      <c r="S358" s="166">
        <f t="shared" si="146"/>
        <v>119.5</v>
      </c>
      <c r="T358" s="166">
        <f t="shared" si="146"/>
        <v>114.19999999999999</v>
      </c>
      <c r="U358" s="166">
        <f t="shared" si="146"/>
        <v>85.5</v>
      </c>
      <c r="V358" s="166">
        <f t="shared" si="146"/>
        <v>96.1</v>
      </c>
      <c r="W358" s="166">
        <f t="shared" si="146"/>
        <v>89.135631999999987</v>
      </c>
      <c r="X358" s="166">
        <f t="shared" si="146"/>
        <v>94.050503199999994</v>
      </c>
      <c r="Y358" s="166">
        <f t="shared" si="146"/>
        <v>99.441708912000024</v>
      </c>
      <c r="Z358" s="166">
        <f t="shared" si="146"/>
        <v>105.39043743199994</v>
      </c>
      <c r="AA358" s="166">
        <f t="shared" si="146"/>
        <v>114.27639149967999</v>
      </c>
      <c r="AB358" s="166">
        <f t="shared" si="146"/>
        <v>115.06810505432007</v>
      </c>
      <c r="AC358" s="166">
        <f t="shared" si="146"/>
        <v>118.90674718967836</v>
      </c>
      <c r="AD358" s="166">
        <f t="shared" si="146"/>
        <v>119.79168902918322</v>
      </c>
      <c r="AE358" s="166">
        <f t="shared" si="146"/>
        <v>123.92341442370686</v>
      </c>
      <c r="AF358" s="166">
        <f t="shared" si="146"/>
        <v>124.62091050655995</v>
      </c>
      <c r="AG358" s="166">
        <f t="shared" si="146"/>
        <v>129.03078641184985</v>
      </c>
      <c r="AH358" s="166">
        <f t="shared" si="146"/>
        <v>129.79343147298445</v>
      </c>
      <c r="AI358" s="166">
        <f t="shared" si="146"/>
        <v>134.51187939026852</v>
      </c>
      <c r="AJ358" s="166">
        <f t="shared" si="146"/>
        <v>135.34148413984411</v>
      </c>
      <c r="AK358" s="166">
        <f t="shared" si="146"/>
        <v>137.60008280294289</v>
      </c>
      <c r="AL358" s="166">
        <f t="shared" si="146"/>
        <v>138.49801062244057</v>
      </c>
      <c r="AM358" s="166">
        <f t="shared" si="146"/>
        <v>140.91403490002511</v>
      </c>
      <c r="AN358" s="166">
        <f t="shared" si="146"/>
        <v>141.88108631558538</v>
      </c>
    </row>
    <row r="359" spans="2:40" s="162" customFormat="1">
      <c r="B359" s="180" t="s">
        <v>162</v>
      </c>
      <c r="C359" s="36" t="s">
        <v>72</v>
      </c>
      <c r="E359" s="166"/>
      <c r="F359" s="166"/>
      <c r="G359" s="177">
        <f t="shared" ref="G359:V359" si="147">G360-G358</f>
        <v>-23.5</v>
      </c>
      <c r="H359" s="177">
        <f t="shared" si="147"/>
        <v>-0.89999999999997726</v>
      </c>
      <c r="I359" s="177">
        <f t="shared" si="147"/>
        <v>254.2</v>
      </c>
      <c r="J359" s="177">
        <f t="shared" si="147"/>
        <v>-106.59999999999997</v>
      </c>
      <c r="K359" s="177">
        <f t="shared" si="147"/>
        <v>32.700000000000003</v>
      </c>
      <c r="L359" s="177">
        <f t="shared" si="147"/>
        <v>32.599999999999966</v>
      </c>
      <c r="M359" s="177">
        <f t="shared" si="147"/>
        <v>-15.800000000000004</v>
      </c>
      <c r="N359" s="177">
        <f t="shared" si="147"/>
        <v>-25.200000000000003</v>
      </c>
      <c r="O359" s="177">
        <f t="shared" si="147"/>
        <v>-55.500000000000014</v>
      </c>
      <c r="P359" s="177">
        <f t="shared" si="147"/>
        <v>-80.399999999999991</v>
      </c>
      <c r="Q359" s="177">
        <f t="shared" si="147"/>
        <v>-43.300000000000011</v>
      </c>
      <c r="R359" s="177">
        <f t="shared" si="147"/>
        <v>-96.300000000000011</v>
      </c>
      <c r="S359" s="177">
        <f t="shared" si="147"/>
        <v>-6.4000000000000057</v>
      </c>
      <c r="T359" s="177">
        <f t="shared" si="147"/>
        <v>-11.199999999999989</v>
      </c>
      <c r="U359" s="177">
        <f t="shared" si="147"/>
        <v>-13.400000000000006</v>
      </c>
      <c r="V359" s="177">
        <f t="shared" si="147"/>
        <v>-47.699999999999989</v>
      </c>
      <c r="W359" s="94">
        <v>-12</v>
      </c>
      <c r="X359" s="94">
        <v>-10</v>
      </c>
      <c r="Y359" s="94">
        <v>-10</v>
      </c>
      <c r="Z359" s="94">
        <v>0</v>
      </c>
      <c r="AA359" s="94">
        <v>0</v>
      </c>
      <c r="AB359" s="94">
        <v>0</v>
      </c>
      <c r="AC359" s="94">
        <v>0</v>
      </c>
      <c r="AD359" s="94">
        <v>0</v>
      </c>
      <c r="AE359" s="94">
        <v>0</v>
      </c>
      <c r="AF359" s="94">
        <v>0</v>
      </c>
      <c r="AG359" s="94">
        <v>0</v>
      </c>
      <c r="AH359" s="94">
        <v>0</v>
      </c>
      <c r="AI359" s="94">
        <v>0</v>
      </c>
      <c r="AJ359" s="94">
        <v>0</v>
      </c>
      <c r="AK359" s="94">
        <v>0</v>
      </c>
      <c r="AL359" s="94">
        <v>0</v>
      </c>
      <c r="AM359" s="94">
        <v>0</v>
      </c>
      <c r="AN359" s="94">
        <v>0</v>
      </c>
    </row>
    <row r="360" spans="2:40" s="162" customFormat="1">
      <c r="B360" s="175" t="s">
        <v>164</v>
      </c>
      <c r="C360" s="164"/>
      <c r="E360" s="172"/>
      <c r="F360" s="172"/>
      <c r="G360" s="172">
        <v>148.19999999999999</v>
      </c>
      <c r="H360" s="172">
        <f>297.8-G360</f>
        <v>149.60000000000002</v>
      </c>
      <c r="I360" s="172">
        <v>407.5</v>
      </c>
      <c r="J360" s="172">
        <f>348.3-I360</f>
        <v>-59.199999999999989</v>
      </c>
      <c r="K360" s="172">
        <v>150.5</v>
      </c>
      <c r="L360" s="172">
        <f>313.9-K360</f>
        <v>163.39999999999998</v>
      </c>
      <c r="M360" s="172">
        <v>20.399999999999999</v>
      </c>
      <c r="N360" s="172">
        <f>96.9-M360</f>
        <v>76.5</v>
      </c>
      <c r="O360" s="172">
        <v>106.3</v>
      </c>
      <c r="P360" s="172">
        <f>165.9-O360</f>
        <v>59.600000000000009</v>
      </c>
      <c r="Q360" s="172">
        <v>101</v>
      </c>
      <c r="R360" s="172">
        <f>138.2-Q360</f>
        <v>37.199999999999989</v>
      </c>
      <c r="S360" s="172">
        <v>113.1</v>
      </c>
      <c r="T360" s="172">
        <f>216.1-S360</f>
        <v>103</v>
      </c>
      <c r="U360" s="172">
        <v>72.099999999999994</v>
      </c>
      <c r="V360" s="172">
        <f>120.5-U360</f>
        <v>48.400000000000006</v>
      </c>
      <c r="W360" s="166">
        <f t="shared" ref="W360:AN360" si="148">SUM(W358:W359)</f>
        <v>77.135631999999987</v>
      </c>
      <c r="X360" s="166">
        <f t="shared" si="148"/>
        <v>84.050503199999994</v>
      </c>
      <c r="Y360" s="166">
        <f t="shared" si="148"/>
        <v>89.441708912000024</v>
      </c>
      <c r="Z360" s="166">
        <f t="shared" si="148"/>
        <v>105.39043743199994</v>
      </c>
      <c r="AA360" s="166">
        <f t="shared" si="148"/>
        <v>114.27639149967999</v>
      </c>
      <c r="AB360" s="166">
        <f t="shared" si="148"/>
        <v>115.06810505432007</v>
      </c>
      <c r="AC360" s="166">
        <f t="shared" si="148"/>
        <v>118.90674718967836</v>
      </c>
      <c r="AD360" s="166">
        <f t="shared" si="148"/>
        <v>119.79168902918322</v>
      </c>
      <c r="AE360" s="166">
        <f t="shared" si="148"/>
        <v>123.92341442370686</v>
      </c>
      <c r="AF360" s="166">
        <f t="shared" si="148"/>
        <v>124.62091050655995</v>
      </c>
      <c r="AG360" s="166">
        <f t="shared" si="148"/>
        <v>129.03078641184985</v>
      </c>
      <c r="AH360" s="166">
        <f t="shared" si="148"/>
        <v>129.79343147298445</v>
      </c>
      <c r="AI360" s="166">
        <f t="shared" si="148"/>
        <v>134.51187939026852</v>
      </c>
      <c r="AJ360" s="166">
        <f t="shared" si="148"/>
        <v>135.34148413984411</v>
      </c>
      <c r="AK360" s="166">
        <f t="shared" si="148"/>
        <v>137.60008280294289</v>
      </c>
      <c r="AL360" s="166">
        <f t="shared" si="148"/>
        <v>138.49801062244057</v>
      </c>
      <c r="AM360" s="166">
        <f t="shared" si="148"/>
        <v>140.91403490002511</v>
      </c>
      <c r="AN360" s="166">
        <f t="shared" si="148"/>
        <v>141.88108631558538</v>
      </c>
    </row>
    <row r="361" spans="2:40" s="162" customFormat="1">
      <c r="B361" s="175"/>
      <c r="C361" s="3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c r="AB361" s="166"/>
      <c r="AC361" s="166"/>
      <c r="AD361" s="166"/>
      <c r="AE361" s="166"/>
      <c r="AF361" s="166"/>
      <c r="AG361" s="166"/>
      <c r="AH361" s="166"/>
      <c r="AI361" s="166"/>
      <c r="AJ361" s="166"/>
      <c r="AK361" s="166"/>
      <c r="AL361" s="166"/>
      <c r="AM361" s="166"/>
      <c r="AN361" s="166"/>
    </row>
    <row r="362" spans="2:40" s="162" customFormat="1">
      <c r="B362" s="175" t="s">
        <v>153</v>
      </c>
      <c r="C362" s="36" t="s">
        <v>72</v>
      </c>
      <c r="E362" s="166"/>
      <c r="F362" s="166"/>
      <c r="G362" s="166">
        <f t="shared" ref="G362:AN362" si="149">G338</f>
        <v>131.19999999999999</v>
      </c>
      <c r="H362" s="166">
        <f t="shared" si="149"/>
        <v>110.99999999999999</v>
      </c>
      <c r="I362" s="166">
        <f t="shared" si="149"/>
        <v>111.9</v>
      </c>
      <c r="J362" s="166">
        <f t="shared" si="149"/>
        <v>2.1999999999999744</v>
      </c>
      <c r="K362" s="166">
        <f t="shared" si="149"/>
        <v>76.7</v>
      </c>
      <c r="L362" s="166">
        <f t="shared" si="149"/>
        <v>83.500000000000043</v>
      </c>
      <c r="M362" s="166">
        <f t="shared" si="149"/>
        <v>-11.599999999999994</v>
      </c>
      <c r="N362" s="166">
        <f t="shared" si="149"/>
        <v>54.800000000000004</v>
      </c>
      <c r="O362" s="166">
        <f t="shared" si="149"/>
        <v>116.336</v>
      </c>
      <c r="P362" s="166">
        <f t="shared" si="149"/>
        <v>94.792000000000002</v>
      </c>
      <c r="Q362" s="166">
        <f t="shared" si="149"/>
        <v>100.05300000000001</v>
      </c>
      <c r="R362" s="166">
        <f t="shared" si="149"/>
        <v>85.725999999999999</v>
      </c>
      <c r="S362" s="166">
        <f t="shared" si="149"/>
        <v>74.170999999999992</v>
      </c>
      <c r="T362" s="166">
        <f t="shared" si="149"/>
        <v>65.315999999999974</v>
      </c>
      <c r="U362" s="166">
        <f t="shared" si="149"/>
        <v>35.620999999999995</v>
      </c>
      <c r="V362" s="166">
        <f t="shared" si="149"/>
        <v>42.521999999999998</v>
      </c>
      <c r="W362" s="166">
        <f t="shared" si="149"/>
        <v>28.900864922515652</v>
      </c>
      <c r="X362" s="166">
        <f t="shared" si="149"/>
        <v>41.323710342688912</v>
      </c>
      <c r="Y362" s="166">
        <f t="shared" si="149"/>
        <v>46.906495887635728</v>
      </c>
      <c r="Z362" s="166">
        <f t="shared" si="149"/>
        <v>53.263563888136204</v>
      </c>
      <c r="AA362" s="166">
        <f t="shared" si="149"/>
        <v>62.539060199096937</v>
      </c>
      <c r="AB362" s="166">
        <f t="shared" si="149"/>
        <v>63.650940404048683</v>
      </c>
      <c r="AC362" s="166">
        <f t="shared" si="149"/>
        <v>67.808882904599272</v>
      </c>
      <c r="AD362" s="166">
        <f t="shared" si="149"/>
        <v>68.94275001743361</v>
      </c>
      <c r="AE362" s="166">
        <f t="shared" si="149"/>
        <v>73.325240196111437</v>
      </c>
      <c r="AF362" s="166">
        <f t="shared" si="149"/>
        <v>74.201748998733478</v>
      </c>
      <c r="AG362" s="166">
        <f t="shared" si="149"/>
        <v>78.797164948940974</v>
      </c>
      <c r="AH362" s="166">
        <f t="shared" si="149"/>
        <v>79.672144913170882</v>
      </c>
      <c r="AI362" s="166">
        <f t="shared" si="149"/>
        <v>84.512341068024043</v>
      </c>
      <c r="AJ362" s="166">
        <f t="shared" si="149"/>
        <v>85.38870072204287</v>
      </c>
      <c r="AK362" s="166">
        <f t="shared" si="149"/>
        <v>87.706377573731729</v>
      </c>
      <c r="AL362" s="166">
        <f t="shared" si="149"/>
        <v>88.595857352156287</v>
      </c>
      <c r="AM362" s="166">
        <f t="shared" si="149"/>
        <v>91.018397713071494</v>
      </c>
      <c r="AN362" s="166">
        <f t="shared" si="149"/>
        <v>91.922380913942419</v>
      </c>
    </row>
    <row r="363" spans="2:40" s="162" customFormat="1">
      <c r="B363" s="180" t="s">
        <v>162</v>
      </c>
      <c r="C363" s="36" t="s">
        <v>72</v>
      </c>
      <c r="E363" s="166"/>
      <c r="F363" s="166"/>
      <c r="G363" s="177">
        <f t="shared" ref="G363:V363" si="150">G364-G362</f>
        <v>-23.499999999999986</v>
      </c>
      <c r="H363" s="177">
        <f t="shared" si="150"/>
        <v>-0.89999999999999147</v>
      </c>
      <c r="I363" s="177">
        <f t="shared" si="150"/>
        <v>254.20000000000002</v>
      </c>
      <c r="J363" s="177">
        <f t="shared" si="150"/>
        <v>-106.59999999999998</v>
      </c>
      <c r="K363" s="177">
        <f t="shared" si="150"/>
        <v>32.700000000000003</v>
      </c>
      <c r="L363" s="177">
        <f t="shared" si="150"/>
        <v>32.599999999999952</v>
      </c>
      <c r="M363" s="177">
        <f t="shared" si="150"/>
        <v>-15.800000000000004</v>
      </c>
      <c r="N363" s="177">
        <f t="shared" si="150"/>
        <v>-25.200000000000003</v>
      </c>
      <c r="O363" s="177">
        <f t="shared" si="150"/>
        <v>-55.500000000000021</v>
      </c>
      <c r="P363" s="177">
        <f t="shared" si="150"/>
        <v>-80.399999999999991</v>
      </c>
      <c r="Q363" s="177">
        <f t="shared" si="150"/>
        <v>-43.300000000000011</v>
      </c>
      <c r="R363" s="177">
        <f t="shared" si="150"/>
        <v>-96.300000000000011</v>
      </c>
      <c r="S363" s="177">
        <f t="shared" si="150"/>
        <v>-6.3709999999999951</v>
      </c>
      <c r="T363" s="177">
        <f t="shared" si="150"/>
        <v>-11.215999999999966</v>
      </c>
      <c r="U363" s="177">
        <f t="shared" si="150"/>
        <v>36.478999999999999</v>
      </c>
      <c r="V363" s="177">
        <f t="shared" si="150"/>
        <v>-99.221999999999994</v>
      </c>
      <c r="W363" s="541">
        <f t="shared" ref="W363:AN363" si="151">W359</f>
        <v>-12</v>
      </c>
      <c r="X363" s="541">
        <f t="shared" si="151"/>
        <v>-10</v>
      </c>
      <c r="Y363" s="541">
        <f t="shared" si="151"/>
        <v>-10</v>
      </c>
      <c r="Z363" s="541">
        <f t="shared" si="151"/>
        <v>0</v>
      </c>
      <c r="AA363" s="541">
        <f t="shared" si="151"/>
        <v>0</v>
      </c>
      <c r="AB363" s="541">
        <f t="shared" si="151"/>
        <v>0</v>
      </c>
      <c r="AC363" s="541">
        <f t="shared" si="151"/>
        <v>0</v>
      </c>
      <c r="AD363" s="541">
        <f t="shared" si="151"/>
        <v>0</v>
      </c>
      <c r="AE363" s="541">
        <f t="shared" si="151"/>
        <v>0</v>
      </c>
      <c r="AF363" s="541">
        <f t="shared" si="151"/>
        <v>0</v>
      </c>
      <c r="AG363" s="541">
        <f t="shared" si="151"/>
        <v>0</v>
      </c>
      <c r="AH363" s="541">
        <f t="shared" si="151"/>
        <v>0</v>
      </c>
      <c r="AI363" s="541">
        <f t="shared" si="151"/>
        <v>0</v>
      </c>
      <c r="AJ363" s="541">
        <f t="shared" si="151"/>
        <v>0</v>
      </c>
      <c r="AK363" s="541">
        <f t="shared" si="151"/>
        <v>0</v>
      </c>
      <c r="AL363" s="541">
        <f t="shared" si="151"/>
        <v>0</v>
      </c>
      <c r="AM363" s="541">
        <f t="shared" si="151"/>
        <v>0</v>
      </c>
      <c r="AN363" s="541">
        <f t="shared" si="151"/>
        <v>0</v>
      </c>
    </row>
    <row r="364" spans="2:40" s="162" customFormat="1">
      <c r="B364" s="175" t="s">
        <v>165</v>
      </c>
      <c r="C364" s="164"/>
      <c r="E364" s="172"/>
      <c r="F364" s="172"/>
      <c r="G364" s="172">
        <v>107.7</v>
      </c>
      <c r="H364" s="172">
        <v>110.1</v>
      </c>
      <c r="I364" s="172">
        <v>366.1</v>
      </c>
      <c r="J364" s="172">
        <v>-104.4</v>
      </c>
      <c r="K364" s="172">
        <v>109.4</v>
      </c>
      <c r="L364" s="172">
        <v>116.1</v>
      </c>
      <c r="M364" s="172">
        <v>-27.4</v>
      </c>
      <c r="N364" s="172">
        <v>29.6</v>
      </c>
      <c r="O364" s="172">
        <v>60.835999999999977</v>
      </c>
      <c r="P364" s="172">
        <v>14.39200000000001</v>
      </c>
      <c r="Q364" s="172">
        <v>56.753</v>
      </c>
      <c r="R364" s="172">
        <v>-10.574000000000011</v>
      </c>
      <c r="S364" s="172">
        <v>67.8</v>
      </c>
      <c r="T364" s="172">
        <f>121.9-S364</f>
        <v>54.100000000000009</v>
      </c>
      <c r="U364" s="172">
        <v>72.099999999999994</v>
      </c>
      <c r="V364" s="172">
        <f>15.4-U364</f>
        <v>-56.699999999999996</v>
      </c>
      <c r="W364" s="166">
        <f t="shared" ref="W364:AN364" si="152">SUM(W362:W363)</f>
        <v>16.900864922515652</v>
      </c>
      <c r="X364" s="166">
        <f t="shared" si="152"/>
        <v>31.323710342688912</v>
      </c>
      <c r="Y364" s="166">
        <f t="shared" si="152"/>
        <v>36.906495887635728</v>
      </c>
      <c r="Z364" s="166">
        <f t="shared" si="152"/>
        <v>53.263563888136204</v>
      </c>
      <c r="AA364" s="166">
        <f t="shared" si="152"/>
        <v>62.539060199096937</v>
      </c>
      <c r="AB364" s="166">
        <f t="shared" si="152"/>
        <v>63.650940404048683</v>
      </c>
      <c r="AC364" s="166">
        <f t="shared" si="152"/>
        <v>67.808882904599272</v>
      </c>
      <c r="AD364" s="166">
        <f t="shared" si="152"/>
        <v>68.94275001743361</v>
      </c>
      <c r="AE364" s="166">
        <f t="shared" si="152"/>
        <v>73.325240196111437</v>
      </c>
      <c r="AF364" s="166">
        <f t="shared" si="152"/>
        <v>74.201748998733478</v>
      </c>
      <c r="AG364" s="166">
        <f t="shared" si="152"/>
        <v>78.797164948940974</v>
      </c>
      <c r="AH364" s="166">
        <f t="shared" si="152"/>
        <v>79.672144913170882</v>
      </c>
      <c r="AI364" s="166">
        <f t="shared" si="152"/>
        <v>84.512341068024043</v>
      </c>
      <c r="AJ364" s="166">
        <f t="shared" si="152"/>
        <v>85.38870072204287</v>
      </c>
      <c r="AK364" s="166">
        <f t="shared" si="152"/>
        <v>87.706377573731729</v>
      </c>
      <c r="AL364" s="166">
        <f t="shared" si="152"/>
        <v>88.595857352156287</v>
      </c>
      <c r="AM364" s="166">
        <f t="shared" si="152"/>
        <v>91.018397713071494</v>
      </c>
      <c r="AN364" s="166">
        <f t="shared" si="152"/>
        <v>91.922380913942419</v>
      </c>
    </row>
    <row r="365" spans="2:40" s="162" customFormat="1">
      <c r="B365" s="175"/>
      <c r="C365" s="3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c r="AB365" s="166"/>
      <c r="AC365" s="166"/>
      <c r="AD365" s="166"/>
      <c r="AE365" s="166"/>
      <c r="AF365" s="166"/>
      <c r="AG365" s="166"/>
      <c r="AH365" s="166"/>
      <c r="AI365" s="166"/>
      <c r="AJ365" s="166"/>
      <c r="AK365" s="166"/>
      <c r="AL365" s="166"/>
      <c r="AM365" s="166"/>
      <c r="AN365" s="166"/>
    </row>
    <row r="366" spans="2:40" s="162" customFormat="1">
      <c r="B366" s="175" t="s">
        <v>166</v>
      </c>
      <c r="C366" s="164" t="s">
        <v>72</v>
      </c>
      <c r="E366" s="166"/>
      <c r="F366" s="166"/>
      <c r="G366" s="166">
        <f t="shared" ref="G366:AN366" si="153">G348</f>
        <v>89.7</v>
      </c>
      <c r="H366" s="166">
        <f t="shared" si="153"/>
        <v>74.899999999999991</v>
      </c>
      <c r="I366" s="166">
        <f t="shared" si="153"/>
        <v>75</v>
      </c>
      <c r="J366" s="166">
        <f t="shared" si="153"/>
        <v>-8.7000000000000028</v>
      </c>
      <c r="K366" s="166">
        <f t="shared" si="153"/>
        <v>43.2</v>
      </c>
      <c r="L366" s="166">
        <f t="shared" si="153"/>
        <v>46.8</v>
      </c>
      <c r="M366" s="166">
        <f t="shared" si="153"/>
        <v>-19.5</v>
      </c>
      <c r="N366" s="166">
        <f t="shared" si="153"/>
        <v>29.2</v>
      </c>
      <c r="O366" s="166">
        <f t="shared" si="153"/>
        <v>72.8</v>
      </c>
      <c r="P366" s="166">
        <f t="shared" si="153"/>
        <v>59.899999999999991</v>
      </c>
      <c r="Q366" s="166">
        <f t="shared" si="153"/>
        <v>64.5</v>
      </c>
      <c r="R366" s="166">
        <f t="shared" si="153"/>
        <v>58.7</v>
      </c>
      <c r="S366" s="166">
        <f t="shared" si="153"/>
        <v>44.2</v>
      </c>
      <c r="T366" s="166">
        <f t="shared" si="153"/>
        <v>27.299999999999997</v>
      </c>
      <c r="U366" s="166">
        <f t="shared" si="153"/>
        <v>14.4</v>
      </c>
      <c r="V366" s="166">
        <f t="shared" si="153"/>
        <v>23.6</v>
      </c>
      <c r="W366" s="166">
        <f t="shared" si="153"/>
        <v>9.4200085800075293</v>
      </c>
      <c r="X366" s="166">
        <f t="shared" si="153"/>
        <v>21.030314271929804</v>
      </c>
      <c r="Y366" s="166">
        <f t="shared" si="153"/>
        <v>25.007743361611958</v>
      </c>
      <c r="Z366" s="166">
        <f t="shared" si="153"/>
        <v>29.756667714427941</v>
      </c>
      <c r="AA366" s="166">
        <f t="shared" si="153"/>
        <v>36.616760165445974</v>
      </c>
      <c r="AB366" s="166">
        <f t="shared" si="153"/>
        <v>37.960595380417246</v>
      </c>
      <c r="AC366" s="166">
        <f t="shared" si="153"/>
        <v>41.284732032036537</v>
      </c>
      <c r="AD366" s="166">
        <f t="shared" si="153"/>
        <v>42.746235374936703</v>
      </c>
      <c r="AE366" s="166">
        <f t="shared" si="153"/>
        <v>46.272624183274317</v>
      </c>
      <c r="AF366" s="166">
        <f t="shared" si="153"/>
        <v>47.21075328518679</v>
      </c>
      <c r="AG366" s="166">
        <f t="shared" si="153"/>
        <v>50.530610424859127</v>
      </c>
      <c r="AH366" s="166">
        <f t="shared" si="153"/>
        <v>51.424309989804428</v>
      </c>
      <c r="AI366" s="166">
        <f t="shared" si="153"/>
        <v>54.924871095080775</v>
      </c>
      <c r="AJ366" s="166">
        <f t="shared" si="153"/>
        <v>55.835941330748753</v>
      </c>
      <c r="AK366" s="166">
        <f t="shared" si="153"/>
        <v>57.548263684598453</v>
      </c>
      <c r="AL366" s="166">
        <f t="shared" si="153"/>
        <v>58.429547578438232</v>
      </c>
      <c r="AM366" s="166">
        <f t="shared" si="153"/>
        <v>60.207603875568495</v>
      </c>
      <c r="AN366" s="166">
        <f t="shared" si="153"/>
        <v>61.084491604173905</v>
      </c>
    </row>
    <row r="367" spans="2:40" s="162" customFormat="1">
      <c r="B367" s="180" t="s">
        <v>162</v>
      </c>
      <c r="C367" s="36" t="s">
        <v>72</v>
      </c>
      <c r="E367" s="166"/>
      <c r="F367" s="166"/>
      <c r="G367" s="177">
        <f t="shared" ref="G367:V367" si="154">G368-G366</f>
        <v>-6.9000000000000057</v>
      </c>
      <c r="H367" s="177">
        <f t="shared" si="154"/>
        <v>-13.099999999999994</v>
      </c>
      <c r="I367" s="177">
        <f t="shared" si="154"/>
        <v>253</v>
      </c>
      <c r="J367" s="177">
        <f t="shared" si="154"/>
        <v>-83.899999999999991</v>
      </c>
      <c r="K367" s="177">
        <f t="shared" si="154"/>
        <v>34.700000000000003</v>
      </c>
      <c r="L367" s="177">
        <f t="shared" si="154"/>
        <v>31.100000000000009</v>
      </c>
      <c r="M367" s="177">
        <f t="shared" si="154"/>
        <v>-14.200000000000003</v>
      </c>
      <c r="N367" s="177">
        <f t="shared" si="154"/>
        <v>-29.099999999999998</v>
      </c>
      <c r="O367" s="177">
        <f t="shared" si="154"/>
        <v>-50</v>
      </c>
      <c r="P367" s="177">
        <f t="shared" si="154"/>
        <v>-74.724999999999994</v>
      </c>
      <c r="Q367" s="177">
        <f t="shared" si="154"/>
        <v>-42</v>
      </c>
      <c r="R367" s="177">
        <f t="shared" si="154"/>
        <v>-224.5</v>
      </c>
      <c r="S367" s="177">
        <f t="shared" si="154"/>
        <v>-38.1</v>
      </c>
      <c r="T367" s="177">
        <f t="shared" si="154"/>
        <v>-4.1999999999999957</v>
      </c>
      <c r="U367" s="177">
        <f t="shared" si="154"/>
        <v>-2.3000000000000007</v>
      </c>
      <c r="V367" s="177">
        <f t="shared" si="154"/>
        <v>-17.5</v>
      </c>
      <c r="W367" s="688">
        <f>W359-7-18</f>
        <v>-37</v>
      </c>
      <c r="X367" s="541">
        <f>X359</f>
        <v>-10</v>
      </c>
      <c r="Y367" s="632">
        <f>Y359-7</f>
        <v>-17</v>
      </c>
      <c r="Z367" s="541">
        <f>Z359</f>
        <v>0</v>
      </c>
      <c r="AA367" s="632">
        <f>AA359-7</f>
        <v>-7</v>
      </c>
      <c r="AB367" s="541">
        <f t="shared" ref="AB367:AN367" si="155">AB359</f>
        <v>0</v>
      </c>
      <c r="AC367" s="541">
        <f t="shared" si="155"/>
        <v>0</v>
      </c>
      <c r="AD367" s="541">
        <f t="shared" si="155"/>
        <v>0</v>
      </c>
      <c r="AE367" s="541">
        <f t="shared" si="155"/>
        <v>0</v>
      </c>
      <c r="AF367" s="541">
        <f t="shared" si="155"/>
        <v>0</v>
      </c>
      <c r="AG367" s="541">
        <f t="shared" si="155"/>
        <v>0</v>
      </c>
      <c r="AH367" s="541">
        <f t="shared" si="155"/>
        <v>0</v>
      </c>
      <c r="AI367" s="541">
        <f t="shared" si="155"/>
        <v>0</v>
      </c>
      <c r="AJ367" s="541">
        <f t="shared" si="155"/>
        <v>0</v>
      </c>
      <c r="AK367" s="541">
        <f t="shared" si="155"/>
        <v>0</v>
      </c>
      <c r="AL367" s="541">
        <f t="shared" si="155"/>
        <v>0</v>
      </c>
      <c r="AM367" s="541">
        <f t="shared" si="155"/>
        <v>0</v>
      </c>
      <c r="AN367" s="541">
        <f t="shared" si="155"/>
        <v>0</v>
      </c>
    </row>
    <row r="368" spans="2:40" s="162" customFormat="1">
      <c r="B368" s="175" t="s">
        <v>167</v>
      </c>
      <c r="C368" s="36" t="s">
        <v>72</v>
      </c>
      <c r="D368" s="172"/>
      <c r="E368" s="172"/>
      <c r="F368" s="172"/>
      <c r="G368" s="172">
        <v>82.8</v>
      </c>
      <c r="H368" s="172">
        <f>144.6-G368</f>
        <v>61.8</v>
      </c>
      <c r="I368" s="172">
        <v>328</v>
      </c>
      <c r="J368" s="172">
        <f>235.4-I368</f>
        <v>-92.6</v>
      </c>
      <c r="K368" s="172">
        <v>77.900000000000006</v>
      </c>
      <c r="L368" s="172">
        <f>155.8-K368</f>
        <v>77.900000000000006</v>
      </c>
      <c r="M368" s="172">
        <v>-33.700000000000003</v>
      </c>
      <c r="N368" s="172">
        <f>-33.6-M368</f>
        <v>0.10000000000000142</v>
      </c>
      <c r="O368" s="172">
        <v>22.8</v>
      </c>
      <c r="P368" s="172">
        <f>7.975-O368</f>
        <v>-14.825000000000001</v>
      </c>
      <c r="Q368" s="172">
        <v>22.5</v>
      </c>
      <c r="R368" s="172">
        <f>-143.3-Q368</f>
        <v>-165.8</v>
      </c>
      <c r="S368" s="172">
        <v>6.1</v>
      </c>
      <c r="T368" s="172">
        <f>29.2-S368</f>
        <v>23.1</v>
      </c>
      <c r="U368" s="172">
        <v>12.1</v>
      </c>
      <c r="V368" s="172">
        <f>18.2-U368</f>
        <v>6.1</v>
      </c>
      <c r="W368" s="166">
        <f t="shared" ref="W368:AN368" si="156">SUM(W366:W367)</f>
        <v>-27.579991419992471</v>
      </c>
      <c r="X368" s="166">
        <f t="shared" si="156"/>
        <v>11.030314271929804</v>
      </c>
      <c r="Y368" s="166">
        <f t="shared" si="156"/>
        <v>8.0077433616119578</v>
      </c>
      <c r="Z368" s="166">
        <f t="shared" si="156"/>
        <v>29.756667714427941</v>
      </c>
      <c r="AA368" s="166">
        <f t="shared" si="156"/>
        <v>29.616760165445974</v>
      </c>
      <c r="AB368" s="166">
        <f t="shared" si="156"/>
        <v>37.960595380417246</v>
      </c>
      <c r="AC368" s="166">
        <f t="shared" si="156"/>
        <v>41.284732032036537</v>
      </c>
      <c r="AD368" s="166">
        <f t="shared" si="156"/>
        <v>42.746235374936703</v>
      </c>
      <c r="AE368" s="166">
        <f t="shared" si="156"/>
        <v>46.272624183274317</v>
      </c>
      <c r="AF368" s="166">
        <f t="shared" si="156"/>
        <v>47.21075328518679</v>
      </c>
      <c r="AG368" s="166">
        <f t="shared" si="156"/>
        <v>50.530610424859127</v>
      </c>
      <c r="AH368" s="166">
        <f t="shared" si="156"/>
        <v>51.424309989804428</v>
      </c>
      <c r="AI368" s="166">
        <f t="shared" si="156"/>
        <v>54.924871095080775</v>
      </c>
      <c r="AJ368" s="166">
        <f t="shared" si="156"/>
        <v>55.835941330748753</v>
      </c>
      <c r="AK368" s="166">
        <f t="shared" si="156"/>
        <v>57.548263684598453</v>
      </c>
      <c r="AL368" s="166">
        <f t="shared" si="156"/>
        <v>58.429547578438232</v>
      </c>
      <c r="AM368" s="166">
        <f t="shared" si="156"/>
        <v>60.207603875568495</v>
      </c>
      <c r="AN368" s="166">
        <f t="shared" si="156"/>
        <v>61.084491604173905</v>
      </c>
    </row>
    <row r="369" spans="1:40" s="162" customFormat="1">
      <c r="B369" s="175"/>
      <c r="C369" s="164"/>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c r="AB369" s="166"/>
      <c r="AC369" s="166"/>
      <c r="AD369" s="166"/>
      <c r="AE369" s="166"/>
      <c r="AF369" s="166"/>
      <c r="AG369" s="166"/>
      <c r="AH369" s="166"/>
      <c r="AI369" s="166"/>
      <c r="AJ369" s="166"/>
      <c r="AK369" s="166"/>
      <c r="AL369" s="166"/>
      <c r="AM369" s="166"/>
      <c r="AN369" s="166"/>
    </row>
    <row r="370" spans="1:40" s="162" customFormat="1">
      <c r="B370" s="176" t="s">
        <v>168</v>
      </c>
      <c r="C370" s="36" t="s">
        <v>72</v>
      </c>
      <c r="D370" s="173"/>
      <c r="E370" s="173"/>
      <c r="F370" s="173"/>
      <c r="G370" s="173">
        <v>12.3</v>
      </c>
      <c r="H370" s="173">
        <f>21.4-G370</f>
        <v>9.0999999999999979</v>
      </c>
      <c r="I370" s="173">
        <v>49.3</v>
      </c>
      <c r="J370" s="173">
        <f>35.4-I370</f>
        <v>-13.899999999999999</v>
      </c>
      <c r="K370" s="173">
        <v>10.3</v>
      </c>
      <c r="L370" s="173">
        <f>20.6-K370</f>
        <v>10.3</v>
      </c>
      <c r="M370" s="173">
        <v>-4.5</v>
      </c>
      <c r="N370" s="173">
        <f>-4.4-M370</f>
        <v>9.9999999999999645E-2</v>
      </c>
      <c r="O370" s="173">
        <v>3</v>
      </c>
      <c r="P370" s="173">
        <f>1.1-O370</f>
        <v>-1.9</v>
      </c>
      <c r="Q370" s="173">
        <v>3</v>
      </c>
      <c r="R370" s="173">
        <f>1.1-Q370</f>
        <v>-1.9</v>
      </c>
      <c r="S370" s="173">
        <v>3</v>
      </c>
      <c r="T370" s="173">
        <f>3.9-S370</f>
        <v>0.89999999999999991</v>
      </c>
      <c r="U370" s="173">
        <v>1.2</v>
      </c>
      <c r="V370" s="173">
        <f>1.8-U370</f>
        <v>0.60000000000000009</v>
      </c>
      <c r="W370" s="177">
        <f t="shared" ref="W370:AN370" si="157">W368/W487*100</f>
        <v>-2.5003277483750517</v>
      </c>
      <c r="X370" s="177">
        <f t="shared" si="157"/>
        <v>0.99997858691904462</v>
      </c>
      <c r="Y370" s="177">
        <f t="shared" si="157"/>
        <v>0.72596044806564919</v>
      </c>
      <c r="Z370" s="177">
        <f t="shared" si="157"/>
        <v>2.697659359372655</v>
      </c>
      <c r="AA370" s="177">
        <f t="shared" si="157"/>
        <v>2.684975717757264</v>
      </c>
      <c r="AB370" s="177">
        <f t="shared" si="157"/>
        <v>3.4414053481428155</v>
      </c>
      <c r="AC370" s="177">
        <f t="shared" si="157"/>
        <v>3.7427626249768231</v>
      </c>
      <c r="AD370" s="177">
        <f t="shared" si="157"/>
        <v>3.8752585821708951</v>
      </c>
      <c r="AE370" s="177">
        <f t="shared" si="157"/>
        <v>4.1949514948617352</v>
      </c>
      <c r="AF370" s="177">
        <f t="shared" si="157"/>
        <v>4.2799997528307205</v>
      </c>
      <c r="AG370" s="177">
        <f t="shared" si="157"/>
        <v>4.5809690606364741</v>
      </c>
      <c r="AH370" s="177">
        <f t="shared" si="157"/>
        <v>4.66198945643412</v>
      </c>
      <c r="AI370" s="177">
        <f t="shared" si="157"/>
        <v>4.9793408991202206</v>
      </c>
      <c r="AJ370" s="177">
        <f t="shared" si="157"/>
        <v>5.0619360731458354</v>
      </c>
      <c r="AK370" s="177">
        <f t="shared" si="157"/>
        <v>5.2171706064093142</v>
      </c>
      <c r="AL370" s="177">
        <f t="shared" si="157"/>
        <v>5.2970654309003153</v>
      </c>
      <c r="AM370" s="177">
        <f t="shared" si="157"/>
        <v>5.4582592264380887</v>
      </c>
      <c r="AN370" s="177">
        <f t="shared" si="157"/>
        <v>5.5377555064279491</v>
      </c>
    </row>
    <row r="371" spans="1:40" s="162" customFormat="1">
      <c r="B371" s="176" t="s">
        <v>169</v>
      </c>
      <c r="C371" s="36" t="s">
        <v>72</v>
      </c>
      <c r="D371" s="173"/>
      <c r="E371" s="173"/>
      <c r="F371" s="173"/>
      <c r="G371" s="177">
        <f t="shared" ref="G371:AN371" si="158">G368/G487*100</f>
        <v>12.151554121363324</v>
      </c>
      <c r="H371" s="177">
        <f t="shared" si="158"/>
        <v>9.1231332577434507</v>
      </c>
      <c r="I371" s="177">
        <f t="shared" si="158"/>
        <v>48.971743730877002</v>
      </c>
      <c r="J371" s="177">
        <f t="shared" si="158"/>
        <v>-13.16843296355928</v>
      </c>
      <c r="K371" s="177">
        <f t="shared" si="158"/>
        <v>10.390809031959318</v>
      </c>
      <c r="L371" s="177">
        <f t="shared" si="158"/>
        <v>10.247233125707247</v>
      </c>
      <c r="M371" s="177">
        <f t="shared" si="158"/>
        <v>-4.4330135601583338</v>
      </c>
      <c r="N371" s="177">
        <f t="shared" si="158"/>
        <v>1.3154342908481888E-2</v>
      </c>
      <c r="O371" s="177">
        <f t="shared" si="158"/>
        <v>2.9991901831338281</v>
      </c>
      <c r="P371" s="177">
        <f t="shared" si="158"/>
        <v>-1.9501313361824126</v>
      </c>
      <c r="Q371" s="177">
        <f t="shared" si="158"/>
        <v>2.959727154408383</v>
      </c>
      <c r="R371" s="177">
        <f t="shared" si="158"/>
        <v>-21.809900542262664</v>
      </c>
      <c r="S371" s="177">
        <f t="shared" si="158"/>
        <v>0.8024149174173838</v>
      </c>
      <c r="T371" s="177">
        <f t="shared" si="158"/>
        <v>3.0386532118592733</v>
      </c>
      <c r="U371" s="177">
        <f t="shared" si="158"/>
        <v>1.2987987009368163</v>
      </c>
      <c r="V371" s="177">
        <f t="shared" si="158"/>
        <v>0.55300957251320204</v>
      </c>
      <c r="W371" s="177">
        <f t="shared" si="158"/>
        <v>-2.5003277483750517</v>
      </c>
      <c r="X371" s="177">
        <f t="shared" si="158"/>
        <v>0.99997858691904462</v>
      </c>
      <c r="Y371" s="177">
        <f t="shared" si="158"/>
        <v>0.72596044806564919</v>
      </c>
      <c r="Z371" s="177">
        <f t="shared" si="158"/>
        <v>2.697659359372655</v>
      </c>
      <c r="AA371" s="177">
        <f t="shared" si="158"/>
        <v>2.684975717757264</v>
      </c>
      <c r="AB371" s="177">
        <f t="shared" si="158"/>
        <v>3.4414053481428155</v>
      </c>
      <c r="AC371" s="177">
        <f t="shared" si="158"/>
        <v>3.7427626249768231</v>
      </c>
      <c r="AD371" s="177">
        <f t="shared" si="158"/>
        <v>3.8752585821708951</v>
      </c>
      <c r="AE371" s="177">
        <f t="shared" si="158"/>
        <v>4.1949514948617352</v>
      </c>
      <c r="AF371" s="177">
        <f t="shared" si="158"/>
        <v>4.2799997528307205</v>
      </c>
      <c r="AG371" s="177">
        <f t="shared" si="158"/>
        <v>4.5809690606364741</v>
      </c>
      <c r="AH371" s="177">
        <f t="shared" si="158"/>
        <v>4.66198945643412</v>
      </c>
      <c r="AI371" s="177">
        <f t="shared" si="158"/>
        <v>4.9793408991202206</v>
      </c>
      <c r="AJ371" s="177">
        <f t="shared" si="158"/>
        <v>5.0619360731458354</v>
      </c>
      <c r="AK371" s="177">
        <f t="shared" si="158"/>
        <v>5.2171706064093142</v>
      </c>
      <c r="AL371" s="177">
        <f t="shared" si="158"/>
        <v>5.2970654309003153</v>
      </c>
      <c r="AM371" s="177">
        <f t="shared" si="158"/>
        <v>5.4582592264380887</v>
      </c>
      <c r="AN371" s="177">
        <f t="shared" si="158"/>
        <v>5.5377555064279491</v>
      </c>
    </row>
    <row r="372" spans="1:40" s="162" customFormat="1">
      <c r="B372" s="175"/>
      <c r="C372" s="164"/>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c r="AB372" s="166"/>
      <c r="AC372" s="166"/>
      <c r="AD372" s="166"/>
      <c r="AE372" s="166"/>
      <c r="AF372" s="166"/>
      <c r="AG372" s="166"/>
      <c r="AH372" s="166"/>
      <c r="AI372" s="166"/>
      <c r="AJ372" s="166"/>
      <c r="AK372" s="166"/>
      <c r="AL372" s="166"/>
      <c r="AM372" s="166"/>
      <c r="AN372" s="166"/>
    </row>
    <row r="373" spans="1:40" s="643" customFormat="1">
      <c r="B373" s="644"/>
      <c r="C373" s="645"/>
      <c r="Q373" s="646"/>
      <c r="R373" s="647"/>
      <c r="S373" s="647"/>
      <c r="T373" s="647"/>
      <c r="U373" s="647"/>
      <c r="V373" s="647"/>
      <c r="W373" s="647"/>
      <c r="X373" s="647"/>
      <c r="Y373" s="647"/>
      <c r="Z373" s="647"/>
      <c r="AA373" s="647"/>
      <c r="AB373" s="647"/>
      <c r="AC373" s="647"/>
      <c r="AD373" s="647"/>
      <c r="AE373" s="647"/>
      <c r="AF373" s="647"/>
      <c r="AG373" s="647"/>
      <c r="AH373" s="647"/>
      <c r="AI373" s="647"/>
      <c r="AJ373" s="647"/>
      <c r="AK373" s="647"/>
      <c r="AL373" s="647"/>
      <c r="AM373" s="647"/>
      <c r="AN373" s="647"/>
    </row>
    <row r="374" spans="1:40" s="162" customFormat="1">
      <c r="B374" s="163"/>
      <c r="C374" s="164"/>
      <c r="Q374" s="173"/>
      <c r="R374" s="166"/>
      <c r="S374" s="166"/>
      <c r="T374" s="166"/>
      <c r="U374" s="166"/>
      <c r="V374" s="166"/>
      <c r="W374" s="166"/>
      <c r="X374" s="166"/>
      <c r="Y374" s="166"/>
      <c r="Z374" s="166"/>
      <c r="AA374" s="166"/>
      <c r="AB374" s="166"/>
      <c r="AC374" s="166"/>
      <c r="AD374" s="166"/>
      <c r="AE374" s="166"/>
      <c r="AF374" s="166"/>
      <c r="AG374" s="166"/>
      <c r="AH374" s="166"/>
      <c r="AI374" s="166"/>
      <c r="AJ374" s="166"/>
      <c r="AK374" s="166"/>
      <c r="AL374" s="166"/>
      <c r="AM374" s="166"/>
      <c r="AN374" s="166"/>
    </row>
    <row r="375" spans="1:40">
      <c r="A375" s="168"/>
      <c r="B375" s="249" t="s">
        <v>170</v>
      </c>
    </row>
    <row r="376" spans="1:40">
      <c r="A376" s="168"/>
      <c r="B376" s="202" t="s">
        <v>171</v>
      </c>
    </row>
    <row r="377" spans="1:40">
      <c r="A377" s="168"/>
      <c r="B377" s="151" t="s">
        <v>172</v>
      </c>
      <c r="C377" s="36" t="s">
        <v>72</v>
      </c>
      <c r="E377" s="177"/>
      <c r="F377" s="177"/>
      <c r="G377" s="177">
        <f t="shared" ref="G377:AN377" si="159">F382</f>
        <v>1498.61</v>
      </c>
      <c r="H377" s="177">
        <f t="shared" si="159"/>
        <v>1447.5419999999999</v>
      </c>
      <c r="I377" s="177">
        <f t="shared" si="159"/>
        <v>1436.2570000000001</v>
      </c>
      <c r="J377" s="177">
        <f t="shared" si="159"/>
        <v>1531.5039999999999</v>
      </c>
      <c r="K377" s="177">
        <f t="shared" si="159"/>
        <v>1528.902</v>
      </c>
      <c r="L377" s="177">
        <f t="shared" si="159"/>
        <v>1441.2570000000001</v>
      </c>
      <c r="M377" s="177">
        <f t="shared" si="159"/>
        <v>1370.7619999999999</v>
      </c>
      <c r="N377" s="177">
        <f t="shared" si="159"/>
        <v>1366.143</v>
      </c>
      <c r="O377" s="177">
        <f t="shared" si="159"/>
        <v>1442.68</v>
      </c>
      <c r="P377" s="177">
        <f t="shared" si="159"/>
        <v>1533.8910000000001</v>
      </c>
      <c r="Q377" s="177">
        <f t="shared" si="159"/>
        <v>1652.4760000000001</v>
      </c>
      <c r="R377" s="177">
        <f t="shared" si="159"/>
        <v>1696.837</v>
      </c>
      <c r="S377" s="177">
        <f t="shared" si="159"/>
        <v>1816.961</v>
      </c>
      <c r="T377" s="177">
        <f t="shared" si="159"/>
        <v>1847.0050000000001</v>
      </c>
      <c r="U377" s="177">
        <f t="shared" si="159"/>
        <v>1877.4079999999999</v>
      </c>
      <c r="V377" s="177">
        <f t="shared" si="159"/>
        <v>1653.049</v>
      </c>
      <c r="W377" s="177">
        <f t="shared" si="159"/>
        <v>1593.41</v>
      </c>
      <c r="X377" s="177">
        <f t="shared" si="159"/>
        <v>1369.2963333333335</v>
      </c>
      <c r="Y377" s="177">
        <f t="shared" si="159"/>
        <v>1364.6531222222222</v>
      </c>
      <c r="Z377" s="177">
        <f t="shared" si="159"/>
        <v>1353.4645680148149</v>
      </c>
      <c r="AA377" s="177">
        <f t="shared" si="159"/>
        <v>1342.818177614321</v>
      </c>
      <c r="AB377" s="177">
        <f t="shared" si="159"/>
        <v>1334.1611125418435</v>
      </c>
      <c r="AC377" s="177">
        <f t="shared" si="159"/>
        <v>1325.5304856091154</v>
      </c>
      <c r="AD377" s="177">
        <f t="shared" si="159"/>
        <v>1318.9158293910516</v>
      </c>
      <c r="AE377" s="177">
        <f t="shared" si="159"/>
        <v>1312.24819866487</v>
      </c>
      <c r="AF377" s="177">
        <f t="shared" si="159"/>
        <v>1307.6340886431028</v>
      </c>
      <c r="AG377" s="177">
        <f t="shared" si="159"/>
        <v>1302.8309478355879</v>
      </c>
      <c r="AH377" s="177">
        <f t="shared" si="159"/>
        <v>1300.1211967532076</v>
      </c>
      <c r="AI377" s="177">
        <f t="shared" si="159"/>
        <v>1297.1380690594126</v>
      </c>
      <c r="AJ377" s="177">
        <f t="shared" si="159"/>
        <v>1296.2978784582047</v>
      </c>
      <c r="AK377" s="177">
        <f t="shared" si="159"/>
        <v>1295.0993561995049</v>
      </c>
      <c r="AL377" s="177">
        <f t="shared" si="159"/>
        <v>1295.8284760105225</v>
      </c>
      <c r="AM377" s="177">
        <f t="shared" si="159"/>
        <v>1296.1223358399202</v>
      </c>
      <c r="AN377" s="177">
        <f t="shared" si="159"/>
        <v>1298.401497725237</v>
      </c>
    </row>
    <row r="378" spans="1:40">
      <c r="A378" s="168"/>
      <c r="B378" s="174" t="s">
        <v>173</v>
      </c>
      <c r="C378" s="36" t="s">
        <v>72</v>
      </c>
      <c r="E378" s="173"/>
      <c r="F378" s="173"/>
      <c r="G378" s="173">
        <f>162.262</f>
        <v>162.262</v>
      </c>
      <c r="H378" s="173">
        <f>303.651-G378</f>
        <v>141.38900000000001</v>
      </c>
      <c r="I378" s="173">
        <f>187.943</f>
        <v>187.94300000000001</v>
      </c>
      <c r="J378" s="173">
        <f>326.877-I378</f>
        <v>138.934</v>
      </c>
      <c r="K378" s="173">
        <f>111.34</f>
        <v>111.34</v>
      </c>
      <c r="L378" s="173">
        <f>171.673-K378</f>
        <v>60.332999999999998</v>
      </c>
      <c r="M378" s="173">
        <v>46.231000000000002</v>
      </c>
      <c r="N378" s="173">
        <f>100.065-M378</f>
        <v>53.833999999999996</v>
      </c>
      <c r="O378" s="173">
        <v>81.686000000000007</v>
      </c>
      <c r="P378" s="173">
        <f>254.746-O378</f>
        <v>173.06</v>
      </c>
      <c r="Q378" s="173">
        <v>77.320999999999998</v>
      </c>
      <c r="R378" s="173">
        <f>303.689-Q378</f>
        <v>226.36800000000002</v>
      </c>
      <c r="S378" s="173">
        <v>76.119</v>
      </c>
      <c r="T378" s="173">
        <f>161.589-S378</f>
        <v>85.47</v>
      </c>
      <c r="U378" s="173">
        <v>69.551000000000002</v>
      </c>
      <c r="V378" s="173">
        <f>102.967-U378</f>
        <v>33.415999999999997</v>
      </c>
      <c r="W378" s="94">
        <v>39</v>
      </c>
      <c r="X378" s="94">
        <v>41</v>
      </c>
      <c r="Y378" s="40">
        <f t="shared" ref="Y378:AN378" si="160">Y$356*Y386</f>
        <v>34.299883200000004</v>
      </c>
      <c r="Z378" s="40">
        <f t="shared" si="160"/>
        <v>34.469095199999991</v>
      </c>
      <c r="AA378" s="40">
        <f t="shared" si="160"/>
        <v>36.103540848000002</v>
      </c>
      <c r="AB378" s="40">
        <f t="shared" si="160"/>
        <v>35.841410152000002</v>
      </c>
      <c r="AC378" s="40">
        <f t="shared" si="160"/>
        <v>37.569693302239997</v>
      </c>
      <c r="AD378" s="40">
        <f t="shared" si="160"/>
        <v>37.296230253520001</v>
      </c>
      <c r="AE378" s="40">
        <f t="shared" si="160"/>
        <v>39.127496600395197</v>
      </c>
      <c r="AF378" s="40">
        <f t="shared" si="160"/>
        <v>38.784662147255204</v>
      </c>
      <c r="AG378" s="40">
        <f t="shared" si="160"/>
        <v>40.717947178805943</v>
      </c>
      <c r="AH378" s="40">
        <f t="shared" si="160"/>
        <v>40.354245531311754</v>
      </c>
      <c r="AI378" s="40">
        <f t="shared" si="160"/>
        <v>42.397745034105782</v>
      </c>
      <c r="AJ378" s="40">
        <f t="shared" si="160"/>
        <v>42.011407023240309</v>
      </c>
      <c r="AK378" s="40">
        <f t="shared" si="160"/>
        <v>43.899098351001143</v>
      </c>
      <c r="AL378" s="40">
        <f t="shared" si="160"/>
        <v>43.488142363081742</v>
      </c>
      <c r="AM378" s="40">
        <f t="shared" si="160"/>
        <v>45.483239746647499</v>
      </c>
      <c r="AN378" s="40">
        <f t="shared" si="160"/>
        <v>45.045441872047562</v>
      </c>
    </row>
    <row r="379" spans="1:40">
      <c r="A379" s="168"/>
      <c r="B379" s="174" t="s">
        <v>174</v>
      </c>
      <c r="C379" s="36" t="s">
        <v>72</v>
      </c>
      <c r="E379" s="173"/>
      <c r="F379" s="173"/>
      <c r="G379" s="563">
        <v>-33.973430305320079</v>
      </c>
      <c r="H379" s="563">
        <v>-33.213967271954488</v>
      </c>
      <c r="I379" s="563">
        <v>-32.785617096018747</v>
      </c>
      <c r="J379" s="563">
        <v>-35.827382903981267</v>
      </c>
      <c r="K379" s="563">
        <v>-34.83091801385681</v>
      </c>
      <c r="L379" s="563">
        <v>-40.164081986143152</v>
      </c>
      <c r="M379" s="563">
        <v>-41.117644870349487</v>
      </c>
      <c r="N379" s="563">
        <v>-40.381355129650508</v>
      </c>
      <c r="O379" s="541">
        <f>-42.343-3.121-O394</f>
        <v>-38.799500000000009</v>
      </c>
      <c r="P379" s="173">
        <f>-71.034-6.309-O379</f>
        <v>-38.543499999999995</v>
      </c>
      <c r="Q379" s="541">
        <f>-41.067-3.18-Q394</f>
        <v>-38.369500000000002</v>
      </c>
      <c r="R379" s="173">
        <f>-73.846-6.42-Q379</f>
        <v>-41.896500000000003</v>
      </c>
      <c r="S379" s="541">
        <f>-42.397-2.932-S394</f>
        <v>-39.6815</v>
      </c>
      <c r="T379" s="173">
        <f>-76.075-6.843-S379</f>
        <v>-43.236500000000007</v>
      </c>
      <c r="U379" s="541">
        <f>-45.343-4.536-U394</f>
        <v>-44.279000000000003</v>
      </c>
      <c r="V379" s="173">
        <f>-81.611-9.044-U379</f>
        <v>-46.375999999999998</v>
      </c>
      <c r="W379" s="134">
        <f t="shared" ref="W379:AN379" si="161">V382/-W385</f>
        <v>-53.113666666666667</v>
      </c>
      <c r="X379" s="134">
        <f t="shared" si="161"/>
        <v>-45.643211111111114</v>
      </c>
      <c r="Y379" s="134">
        <f t="shared" si="161"/>
        <v>-45.48843740740741</v>
      </c>
      <c r="Z379" s="134">
        <f t="shared" si="161"/>
        <v>-45.115485600493827</v>
      </c>
      <c r="AA379" s="134">
        <f t="shared" si="161"/>
        <v>-44.760605920477367</v>
      </c>
      <c r="AB379" s="134">
        <f t="shared" si="161"/>
        <v>-44.472037084728115</v>
      </c>
      <c r="AC379" s="134">
        <f t="shared" si="161"/>
        <v>-44.184349520303847</v>
      </c>
      <c r="AD379" s="134">
        <f t="shared" si="161"/>
        <v>-43.963860979701721</v>
      </c>
      <c r="AE379" s="134">
        <f t="shared" si="161"/>
        <v>-43.74160662216233</v>
      </c>
      <c r="AF379" s="134">
        <f t="shared" si="161"/>
        <v>-43.58780295477009</v>
      </c>
      <c r="AG379" s="134">
        <f t="shared" si="161"/>
        <v>-43.427698261186265</v>
      </c>
      <c r="AH379" s="134">
        <f t="shared" si="161"/>
        <v>-43.337373225106923</v>
      </c>
      <c r="AI379" s="134">
        <f t="shared" si="161"/>
        <v>-43.237935635313754</v>
      </c>
      <c r="AJ379" s="134">
        <f t="shared" si="161"/>
        <v>-43.209929281940155</v>
      </c>
      <c r="AK379" s="134">
        <f t="shared" si="161"/>
        <v>-43.169978539983497</v>
      </c>
      <c r="AL379" s="134">
        <f t="shared" si="161"/>
        <v>-43.194282533684081</v>
      </c>
      <c r="AM379" s="134">
        <f t="shared" si="161"/>
        <v>-43.204077861330674</v>
      </c>
      <c r="AN379" s="134">
        <f t="shared" si="161"/>
        <v>-43.28004992417457</v>
      </c>
    </row>
    <row r="380" spans="1:40">
      <c r="A380" s="168"/>
      <c r="B380" s="174" t="s">
        <v>175</v>
      </c>
      <c r="C380" s="36" t="s">
        <v>72</v>
      </c>
      <c r="E380" s="177"/>
      <c r="F380" s="177"/>
      <c r="G380" s="177">
        <f t="shared" ref="G380:V380" si="162">G382-SUM(G377:G379)</f>
        <v>-179.35656969467982</v>
      </c>
      <c r="H380" s="177">
        <f t="shared" si="162"/>
        <v>-119.46003272804546</v>
      </c>
      <c r="I380" s="177">
        <f t="shared" si="162"/>
        <v>-59.910382903981372</v>
      </c>
      <c r="J380" s="177">
        <f t="shared" si="162"/>
        <v>-105.70861709601854</v>
      </c>
      <c r="K380" s="177">
        <f t="shared" si="162"/>
        <v>-164.15408198614318</v>
      </c>
      <c r="L380" s="177">
        <f t="shared" si="162"/>
        <v>-90.663918013857028</v>
      </c>
      <c r="M380" s="177">
        <f t="shared" si="162"/>
        <v>-9.7323551296503865</v>
      </c>
      <c r="N380" s="177">
        <f t="shared" si="162"/>
        <v>63.084355129650476</v>
      </c>
      <c r="O380" s="177">
        <f t="shared" si="162"/>
        <v>48.324500000000171</v>
      </c>
      <c r="P380" s="177">
        <f t="shared" si="162"/>
        <v>-15.931499999999915</v>
      </c>
      <c r="Q380" s="177">
        <f t="shared" si="162"/>
        <v>5.40949999999998</v>
      </c>
      <c r="R380" s="177">
        <f t="shared" si="162"/>
        <v>-64.347499999999854</v>
      </c>
      <c r="S380" s="177">
        <f t="shared" si="162"/>
        <v>-6.3934999999999036</v>
      </c>
      <c r="T380" s="177">
        <f t="shared" si="162"/>
        <v>-11.830500000000256</v>
      </c>
      <c r="U380" s="177">
        <f t="shared" si="162"/>
        <v>-249.63099999999986</v>
      </c>
      <c r="V380" s="177">
        <f t="shared" si="162"/>
        <v>-46.67899999999986</v>
      </c>
      <c r="W380" s="632">
        <v>-210</v>
      </c>
      <c r="X380" s="94">
        <v>0</v>
      </c>
      <c r="Y380" s="94">
        <v>0</v>
      </c>
      <c r="Z380" s="94">
        <v>0</v>
      </c>
      <c r="AA380" s="94">
        <v>0</v>
      </c>
      <c r="AB380" s="94">
        <v>0</v>
      </c>
      <c r="AC380" s="94">
        <v>0</v>
      </c>
      <c r="AD380" s="94">
        <v>0</v>
      </c>
      <c r="AE380" s="94">
        <v>0</v>
      </c>
      <c r="AF380" s="94">
        <v>0</v>
      </c>
      <c r="AG380" s="94">
        <v>0</v>
      </c>
      <c r="AH380" s="94">
        <v>0</v>
      </c>
      <c r="AI380" s="94">
        <v>0</v>
      </c>
      <c r="AJ380" s="94">
        <v>0</v>
      </c>
      <c r="AK380" s="94">
        <v>0</v>
      </c>
      <c r="AL380" s="94">
        <v>0</v>
      </c>
      <c r="AM380" s="94">
        <v>0</v>
      </c>
      <c r="AN380" s="94">
        <v>0</v>
      </c>
    </row>
    <row r="381" spans="1:40">
      <c r="A381" s="168"/>
      <c r="B381" s="196" t="s">
        <v>176</v>
      </c>
      <c r="D381" s="25"/>
      <c r="E381" s="184"/>
      <c r="F381" s="184"/>
      <c r="G381" s="184" t="s">
        <v>177</v>
      </c>
      <c r="H381" s="184" t="s">
        <v>177</v>
      </c>
      <c r="I381" s="184" t="s">
        <v>177</v>
      </c>
      <c r="J381" s="184" t="s">
        <v>177</v>
      </c>
      <c r="K381" s="184" t="s">
        <v>177</v>
      </c>
      <c r="L381" s="184" t="s">
        <v>177</v>
      </c>
      <c r="M381" s="184" t="s">
        <v>177</v>
      </c>
      <c r="N381" s="184" t="s">
        <v>177</v>
      </c>
      <c r="O381" s="184" t="s">
        <v>177</v>
      </c>
      <c r="P381" s="184" t="s">
        <v>177</v>
      </c>
      <c r="Q381" s="184" t="s">
        <v>177</v>
      </c>
      <c r="R381" s="184" t="s">
        <v>177</v>
      </c>
      <c r="S381" s="184" t="s">
        <v>177</v>
      </c>
      <c r="T381" s="184" t="s">
        <v>177</v>
      </c>
      <c r="U381" s="184" t="s">
        <v>177</v>
      </c>
      <c r="V381" s="184" t="s">
        <v>177</v>
      </c>
      <c r="W381" s="184" t="s">
        <v>177</v>
      </c>
      <c r="X381" s="184" t="s">
        <v>177</v>
      </c>
      <c r="Y381" s="184" t="s">
        <v>177</v>
      </c>
      <c r="Z381" s="184" t="s">
        <v>177</v>
      </c>
      <c r="AA381" s="184" t="s">
        <v>177</v>
      </c>
      <c r="AB381" s="184" t="s">
        <v>177</v>
      </c>
      <c r="AC381" s="184" t="s">
        <v>177</v>
      </c>
      <c r="AD381" s="184" t="s">
        <v>177</v>
      </c>
      <c r="AE381" s="184" t="s">
        <v>177</v>
      </c>
      <c r="AF381" s="184" t="s">
        <v>177</v>
      </c>
      <c r="AG381" s="184" t="s">
        <v>177</v>
      </c>
      <c r="AH381" s="184" t="s">
        <v>177</v>
      </c>
      <c r="AI381" s="184" t="s">
        <v>177</v>
      </c>
      <c r="AJ381" s="184" t="s">
        <v>177</v>
      </c>
      <c r="AK381" s="184" t="s">
        <v>177</v>
      </c>
      <c r="AL381" s="184" t="s">
        <v>177</v>
      </c>
      <c r="AM381" s="184" t="s">
        <v>177</v>
      </c>
      <c r="AN381" s="184" t="s">
        <v>177</v>
      </c>
    </row>
    <row r="382" spans="1:40">
      <c r="A382" s="168"/>
      <c r="B382" s="197" t="s">
        <v>178</v>
      </c>
      <c r="C382" s="36" t="s">
        <v>72</v>
      </c>
      <c r="E382" s="173"/>
      <c r="F382" s="173">
        <v>1498.61</v>
      </c>
      <c r="G382" s="173">
        <v>1447.5419999999999</v>
      </c>
      <c r="H382" s="173">
        <v>1436.2570000000001</v>
      </c>
      <c r="I382" s="173">
        <v>1531.5039999999999</v>
      </c>
      <c r="J382" s="173">
        <v>1528.902</v>
      </c>
      <c r="K382" s="173">
        <v>1441.2570000000001</v>
      </c>
      <c r="L382" s="173">
        <v>1370.7619999999999</v>
      </c>
      <c r="M382" s="173">
        <v>1366.143</v>
      </c>
      <c r="N382" s="173">
        <v>1442.68</v>
      </c>
      <c r="O382" s="173">
        <v>1533.8910000000001</v>
      </c>
      <c r="P382" s="173">
        <v>1652.4760000000001</v>
      </c>
      <c r="Q382" s="173">
        <v>1696.837</v>
      </c>
      <c r="R382" s="173">
        <v>1816.961</v>
      </c>
      <c r="S382" s="173">
        <v>1847.0050000000001</v>
      </c>
      <c r="T382" s="173">
        <v>1877.4079999999999</v>
      </c>
      <c r="U382" s="173">
        <v>1653.049</v>
      </c>
      <c r="V382" s="173">
        <v>1593.41</v>
      </c>
      <c r="W382" s="40">
        <f t="shared" ref="W382:AN382" si="163">SUM(W377:W381)</f>
        <v>1369.2963333333335</v>
      </c>
      <c r="X382" s="40">
        <f t="shared" si="163"/>
        <v>1364.6531222222222</v>
      </c>
      <c r="Y382" s="40">
        <f t="shared" si="163"/>
        <v>1353.4645680148149</v>
      </c>
      <c r="Z382" s="40">
        <f t="shared" si="163"/>
        <v>1342.818177614321</v>
      </c>
      <c r="AA382" s="40">
        <f t="shared" si="163"/>
        <v>1334.1611125418435</v>
      </c>
      <c r="AB382" s="40">
        <f t="shared" si="163"/>
        <v>1325.5304856091154</v>
      </c>
      <c r="AC382" s="40">
        <f t="shared" si="163"/>
        <v>1318.9158293910516</v>
      </c>
      <c r="AD382" s="40">
        <f t="shared" si="163"/>
        <v>1312.24819866487</v>
      </c>
      <c r="AE382" s="40">
        <f t="shared" si="163"/>
        <v>1307.6340886431028</v>
      </c>
      <c r="AF382" s="40">
        <f t="shared" si="163"/>
        <v>1302.8309478355879</v>
      </c>
      <c r="AG382" s="40">
        <f t="shared" si="163"/>
        <v>1300.1211967532076</v>
      </c>
      <c r="AH382" s="40">
        <f t="shared" si="163"/>
        <v>1297.1380690594126</v>
      </c>
      <c r="AI382" s="40">
        <f t="shared" si="163"/>
        <v>1296.2978784582047</v>
      </c>
      <c r="AJ382" s="40">
        <f t="shared" si="163"/>
        <v>1295.0993561995049</v>
      </c>
      <c r="AK382" s="40">
        <f t="shared" si="163"/>
        <v>1295.8284760105225</v>
      </c>
      <c r="AL382" s="40">
        <f t="shared" si="163"/>
        <v>1296.1223358399202</v>
      </c>
      <c r="AM382" s="40">
        <f t="shared" si="163"/>
        <v>1298.401497725237</v>
      </c>
      <c r="AN382" s="40">
        <f t="shared" si="163"/>
        <v>1300.1668896731101</v>
      </c>
    </row>
    <row r="383" spans="1:40">
      <c r="B383" s="203"/>
    </row>
    <row r="384" spans="1:40">
      <c r="B384" s="202" t="s">
        <v>179</v>
      </c>
      <c r="G384" s="40"/>
      <c r="H384" s="40"/>
      <c r="I384" s="40"/>
      <c r="J384" s="40"/>
      <c r="K384" s="40"/>
      <c r="L384" s="40"/>
      <c r="M384" s="40"/>
      <c r="N384" s="40"/>
      <c r="O384" s="40"/>
      <c r="P384" s="40"/>
    </row>
    <row r="385" spans="2:40">
      <c r="B385" s="151" t="s">
        <v>180</v>
      </c>
      <c r="C385" s="36" t="s">
        <v>181</v>
      </c>
      <c r="G385" s="40">
        <f t="shared" ref="G385:V385" si="164">F382/-G379</f>
        <v>44.111235943263715</v>
      </c>
      <c r="H385" s="40">
        <f t="shared" si="164"/>
        <v>43.58232752346597</v>
      </c>
      <c r="I385" s="40">
        <f t="shared" si="164"/>
        <v>43.807532912790862</v>
      </c>
      <c r="J385" s="40">
        <f t="shared" si="164"/>
        <v>42.746744971701901</v>
      </c>
      <c r="K385" s="40">
        <f t="shared" si="164"/>
        <v>43.89496709193125</v>
      </c>
      <c r="L385" s="40">
        <f t="shared" si="164"/>
        <v>35.884226122664579</v>
      </c>
      <c r="M385" s="40">
        <f t="shared" si="164"/>
        <v>33.337561144910701</v>
      </c>
      <c r="N385" s="40">
        <f t="shared" si="164"/>
        <v>33.831034040680144</v>
      </c>
      <c r="O385" s="40">
        <f t="shared" si="164"/>
        <v>37.182953388574589</v>
      </c>
      <c r="P385" s="40">
        <f t="shared" si="164"/>
        <v>39.796359956931788</v>
      </c>
      <c r="Q385" s="40">
        <f t="shared" si="164"/>
        <v>43.067436375245961</v>
      </c>
      <c r="R385" s="40">
        <f t="shared" si="164"/>
        <v>40.500686214838943</v>
      </c>
      <c r="S385" s="40">
        <f t="shared" si="164"/>
        <v>45.788616861761781</v>
      </c>
      <c r="T385" s="40">
        <f t="shared" si="164"/>
        <v>42.718652064806349</v>
      </c>
      <c r="U385" s="40">
        <f t="shared" si="164"/>
        <v>42.399512184105326</v>
      </c>
      <c r="V385" s="40">
        <f t="shared" si="164"/>
        <v>35.644492841124723</v>
      </c>
      <c r="W385" s="94">
        <v>30</v>
      </c>
      <c r="X385" s="541">
        <f t="shared" ref="X385:AN385" si="165">W385</f>
        <v>30</v>
      </c>
      <c r="Y385" s="541">
        <f t="shared" si="165"/>
        <v>30</v>
      </c>
      <c r="Z385" s="541">
        <f t="shared" si="165"/>
        <v>30</v>
      </c>
      <c r="AA385" s="541">
        <f t="shared" si="165"/>
        <v>30</v>
      </c>
      <c r="AB385" s="541">
        <f t="shared" si="165"/>
        <v>30</v>
      </c>
      <c r="AC385" s="541">
        <f t="shared" si="165"/>
        <v>30</v>
      </c>
      <c r="AD385" s="541">
        <f t="shared" si="165"/>
        <v>30</v>
      </c>
      <c r="AE385" s="541">
        <f t="shared" si="165"/>
        <v>30</v>
      </c>
      <c r="AF385" s="541">
        <f t="shared" si="165"/>
        <v>30</v>
      </c>
      <c r="AG385" s="541">
        <f t="shared" si="165"/>
        <v>30</v>
      </c>
      <c r="AH385" s="541">
        <f t="shared" si="165"/>
        <v>30</v>
      </c>
      <c r="AI385" s="541">
        <f t="shared" si="165"/>
        <v>30</v>
      </c>
      <c r="AJ385" s="541">
        <f t="shared" si="165"/>
        <v>30</v>
      </c>
      <c r="AK385" s="541">
        <f t="shared" si="165"/>
        <v>30</v>
      </c>
      <c r="AL385" s="541">
        <f t="shared" si="165"/>
        <v>30</v>
      </c>
      <c r="AM385" s="541">
        <f t="shared" si="165"/>
        <v>30</v>
      </c>
      <c r="AN385" s="541">
        <f t="shared" si="165"/>
        <v>30</v>
      </c>
    </row>
    <row r="386" spans="2:40">
      <c r="B386" s="151" t="s">
        <v>182</v>
      </c>
      <c r="C386" s="36" t="s">
        <v>88</v>
      </c>
      <c r="G386" s="29">
        <f t="shared" ref="G386:V386" si="166">G378/G$354</f>
        <v>0.33310167414252384</v>
      </c>
      <c r="H386" s="29">
        <f t="shared" si="166"/>
        <v>0.31373611269451296</v>
      </c>
      <c r="I386" s="29">
        <f t="shared" si="166"/>
        <v>0.4226844705510529</v>
      </c>
      <c r="J386" s="29">
        <f t="shared" si="166"/>
        <v>0.53314643490803104</v>
      </c>
      <c r="K386" s="29">
        <f t="shared" si="166"/>
        <v>0.32253832140252825</v>
      </c>
      <c r="L386" s="29">
        <f t="shared" si="166"/>
        <v>0.15612627782375141</v>
      </c>
      <c r="M386" s="29">
        <f t="shared" si="166"/>
        <v>0.19319230194417761</v>
      </c>
      <c r="N386" s="29">
        <f t="shared" si="166"/>
        <v>0.1601632185102807</v>
      </c>
      <c r="O386" s="29">
        <f t="shared" si="166"/>
        <v>0.1861152882205514</v>
      </c>
      <c r="P386" s="29">
        <f t="shared" si="166"/>
        <v>0.40844937455746988</v>
      </c>
      <c r="Q386" s="29">
        <f t="shared" si="166"/>
        <v>0.17461833785004516</v>
      </c>
      <c r="R386" s="29">
        <f t="shared" si="166"/>
        <v>0.52926817862988085</v>
      </c>
      <c r="S386" s="29">
        <f t="shared" si="166"/>
        <v>0.18037677725118484</v>
      </c>
      <c r="T386" s="29">
        <f t="shared" si="166"/>
        <v>0.21197916666666664</v>
      </c>
      <c r="U386" s="29">
        <f t="shared" si="166"/>
        <v>0.16893611853291232</v>
      </c>
      <c r="V386" s="29">
        <f t="shared" si="166"/>
        <v>8.1304136253041337E-2</v>
      </c>
      <c r="W386" s="150">
        <v>0.08</v>
      </c>
      <c r="X386" s="150">
        <v>0.08</v>
      </c>
      <c r="Y386" s="150">
        <v>0.08</v>
      </c>
      <c r="Z386" s="150">
        <v>0.08</v>
      </c>
      <c r="AA386" s="150">
        <v>0.08</v>
      </c>
      <c r="AB386" s="150">
        <v>0.08</v>
      </c>
      <c r="AC386" s="150">
        <v>0.08</v>
      </c>
      <c r="AD386" s="150">
        <v>0.08</v>
      </c>
      <c r="AE386" s="150">
        <v>0.08</v>
      </c>
      <c r="AF386" s="150">
        <v>0.08</v>
      </c>
      <c r="AG386" s="150">
        <v>0.08</v>
      </c>
      <c r="AH386" s="150">
        <v>0.08</v>
      </c>
      <c r="AI386" s="150">
        <v>0.08</v>
      </c>
      <c r="AJ386" s="150">
        <v>0.08</v>
      </c>
      <c r="AK386" s="150">
        <v>0.08</v>
      </c>
      <c r="AL386" s="150">
        <v>0.08</v>
      </c>
      <c r="AM386" s="150">
        <v>0.08</v>
      </c>
      <c r="AN386" s="150">
        <v>0.08</v>
      </c>
    </row>
    <row r="387" spans="2:40">
      <c r="B387" s="151" t="s">
        <v>183</v>
      </c>
      <c r="C387" s="36" t="s">
        <v>88</v>
      </c>
      <c r="G387" s="29">
        <f t="shared" ref="G387:V387" si="167">G379/G$354</f>
        <v>-6.9742801833247908E-2</v>
      </c>
      <c r="H387" s="29">
        <f t="shared" si="167"/>
        <v>-7.3700365509804702E-2</v>
      </c>
      <c r="I387" s="29">
        <f t="shared" si="167"/>
        <v>-7.3734968601758155E-2</v>
      </c>
      <c r="J387" s="29">
        <f t="shared" si="167"/>
        <v>-0.13748428366953053</v>
      </c>
      <c r="K387" s="29">
        <f t="shared" si="167"/>
        <v>-0.1009008966148595</v>
      </c>
      <c r="L387" s="29">
        <f t="shared" si="167"/>
        <v>-0.10393430830067318</v>
      </c>
      <c r="M387" s="29">
        <f t="shared" si="167"/>
        <v>-0.17182437029322367</v>
      </c>
      <c r="N387" s="29">
        <f t="shared" si="167"/>
        <v>-0.12013983366221084</v>
      </c>
      <c r="O387" s="29">
        <f t="shared" si="167"/>
        <v>-8.8401686033265009E-2</v>
      </c>
      <c r="P387" s="29">
        <f t="shared" si="167"/>
        <v>-9.0968845881519919E-2</v>
      </c>
      <c r="Q387" s="29">
        <f t="shared" si="167"/>
        <v>-8.6651987353206866E-2</v>
      </c>
      <c r="R387" s="29">
        <f t="shared" si="167"/>
        <v>-9.79576806172551E-2</v>
      </c>
      <c r="S387" s="29">
        <f t="shared" si="167"/>
        <v>-9.4031990521327019E-2</v>
      </c>
      <c r="T387" s="29">
        <f t="shared" si="167"/>
        <v>-0.10723338293650794</v>
      </c>
      <c r="U387" s="29">
        <f t="shared" si="167"/>
        <v>-0.10755161525382562</v>
      </c>
      <c r="V387" s="29">
        <f t="shared" si="167"/>
        <v>-0.1128369829683698</v>
      </c>
      <c r="W387" s="29">
        <f t="shared" ref="W387:AN387" si="168">W379/W$354</f>
        <v>-0.12659222448647209</v>
      </c>
      <c r="X387" s="29">
        <f t="shared" si="168"/>
        <v>-0.10832123651979883</v>
      </c>
      <c r="Y387" s="29">
        <f t="shared" si="168"/>
        <v>-0.10609584211623767</v>
      </c>
      <c r="Z387" s="29">
        <f t="shared" si="168"/>
        <v>-0.10470941656859931</v>
      </c>
      <c r="AA387" s="29">
        <f t="shared" si="168"/>
        <v>-9.9182750210400891E-2</v>
      </c>
      <c r="AB387" s="29">
        <f t="shared" si="168"/>
        <v>-9.9264034302504162E-2</v>
      </c>
      <c r="AC387" s="29">
        <f t="shared" si="168"/>
        <v>-9.4085089627642976E-2</v>
      </c>
      <c r="AD387" s="29">
        <f t="shared" si="168"/>
        <v>-9.4301993913827112E-2</v>
      </c>
      <c r="AE387" s="29">
        <f t="shared" si="168"/>
        <v>-8.943399996966947E-2</v>
      </c>
      <c r="AF387" s="29">
        <f t="shared" si="168"/>
        <v>-8.9907299518100475E-2</v>
      </c>
      <c r="AG387" s="29">
        <f t="shared" si="168"/>
        <v>-8.5323944393327911E-2</v>
      </c>
      <c r="AH387" s="29">
        <f t="shared" si="168"/>
        <v>-8.5913881237562467E-2</v>
      </c>
      <c r="AI387" s="29">
        <f t="shared" si="168"/>
        <v>-8.1585349599196097E-2</v>
      </c>
      <c r="AJ387" s="29">
        <f t="shared" si="168"/>
        <v>-8.2282279682823922E-2</v>
      </c>
      <c r="AK387" s="29">
        <f t="shared" si="168"/>
        <v>-7.8671280571299448E-2</v>
      </c>
      <c r="AL387" s="29">
        <f t="shared" si="168"/>
        <v>-7.9459420773701064E-2</v>
      </c>
      <c r="AM387" s="29">
        <f t="shared" si="168"/>
        <v>-7.5991205731144401E-2</v>
      </c>
      <c r="AN387" s="29">
        <f t="shared" si="168"/>
        <v>-7.6864691521264031E-2</v>
      </c>
    </row>
    <row r="388" spans="2:40">
      <c r="B388" s="151" t="s">
        <v>184</v>
      </c>
      <c r="C388" s="36" t="s">
        <v>185</v>
      </c>
      <c r="G388" s="204">
        <f t="shared" ref="G388:AN388" si="169">G378/-G379</f>
        <v>4.7761441379851046</v>
      </c>
      <c r="H388" s="204">
        <f t="shared" si="169"/>
        <v>4.2569139314889171</v>
      </c>
      <c r="I388" s="204">
        <f t="shared" si="169"/>
        <v>5.7324832242618511</v>
      </c>
      <c r="J388" s="204">
        <f t="shared" si="169"/>
        <v>3.8778718605360694</v>
      </c>
      <c r="K388" s="204">
        <f t="shared" si="169"/>
        <v>3.1965852853980343</v>
      </c>
      <c r="L388" s="204">
        <f t="shared" si="169"/>
        <v>1.5021630525705838</v>
      </c>
      <c r="M388" s="204">
        <f t="shared" si="169"/>
        <v>1.1243591442499623</v>
      </c>
      <c r="N388" s="204">
        <f t="shared" si="169"/>
        <v>1.3331400055089215</v>
      </c>
      <c r="O388" s="204">
        <f t="shared" si="169"/>
        <v>2.1053364089743423</v>
      </c>
      <c r="P388" s="204">
        <f t="shared" si="169"/>
        <v>4.4899918274157775</v>
      </c>
      <c r="Q388" s="204">
        <f t="shared" si="169"/>
        <v>2.0151682977364831</v>
      </c>
      <c r="R388" s="204">
        <f t="shared" si="169"/>
        <v>5.4030288926282628</v>
      </c>
      <c r="S388" s="204">
        <f t="shared" si="169"/>
        <v>1.9182490581253229</v>
      </c>
      <c r="T388" s="204">
        <f t="shared" si="169"/>
        <v>1.9768020075630541</v>
      </c>
      <c r="U388" s="204">
        <f t="shared" si="169"/>
        <v>1.5707445967614444</v>
      </c>
      <c r="V388" s="204">
        <f t="shared" si="169"/>
        <v>0.72054510953941686</v>
      </c>
      <c r="W388" s="204">
        <f t="shared" si="169"/>
        <v>0.73427429224116836</v>
      </c>
      <c r="X388" s="204">
        <f t="shared" si="169"/>
        <v>0.89827159399876666</v>
      </c>
      <c r="Y388" s="204">
        <f t="shared" si="169"/>
        <v>0.75403520443668959</v>
      </c>
      <c r="Z388" s="204">
        <f t="shared" si="169"/>
        <v>0.76401915531244324</v>
      </c>
      <c r="AA388" s="204">
        <f t="shared" si="169"/>
        <v>0.80659187036346891</v>
      </c>
      <c r="AB388" s="204">
        <f t="shared" si="169"/>
        <v>0.80593137849104945</v>
      </c>
      <c r="AC388" s="204">
        <f t="shared" si="169"/>
        <v>0.85029413604868742</v>
      </c>
      <c r="AD388" s="204">
        <f t="shared" si="169"/>
        <v>0.84833837207200269</v>
      </c>
      <c r="AE388" s="204">
        <f t="shared" si="169"/>
        <v>0.89451439080362161</v>
      </c>
      <c r="AF388" s="204">
        <f t="shared" si="169"/>
        <v>0.88980539320830232</v>
      </c>
      <c r="AG388" s="204">
        <f t="shared" si="169"/>
        <v>0.93760316132613974</v>
      </c>
      <c r="AH388" s="204">
        <f t="shared" si="169"/>
        <v>0.93116500904888866</v>
      </c>
      <c r="AI388" s="204">
        <f t="shared" si="169"/>
        <v>0.98056820731927441</v>
      </c>
      <c r="AJ388" s="204">
        <f t="shared" si="169"/>
        <v>0.97226280443831281</v>
      </c>
      <c r="AK388" s="204">
        <f t="shared" si="169"/>
        <v>1.0168895106200331</v>
      </c>
      <c r="AL388" s="204">
        <f t="shared" si="169"/>
        <v>1.0068032112622429</v>
      </c>
      <c r="AM388" s="204">
        <f t="shared" si="169"/>
        <v>1.052753397321246</v>
      </c>
      <c r="AN388" s="204">
        <f t="shared" si="169"/>
        <v>1.0407899702279897</v>
      </c>
    </row>
    <row r="389" spans="2:40">
      <c r="B389" s="151"/>
    </row>
    <row r="390" spans="2:40">
      <c r="B390" s="249" t="s">
        <v>186</v>
      </c>
    </row>
    <row r="391" spans="2:40">
      <c r="B391" s="202" t="s">
        <v>187</v>
      </c>
      <c r="F391" s="177"/>
    </row>
    <row r="392" spans="2:40">
      <c r="B392" s="151" t="s">
        <v>188</v>
      </c>
      <c r="C392" s="36" t="s">
        <v>72</v>
      </c>
      <c r="E392" s="177"/>
      <c r="F392" s="177"/>
      <c r="G392" s="177">
        <f t="shared" ref="G392:AN392" si="170">F397</f>
        <v>831.83299999999997</v>
      </c>
      <c r="H392" s="177">
        <f t="shared" si="170"/>
        <v>788.63199999999995</v>
      </c>
      <c r="I392" s="177">
        <f t="shared" si="170"/>
        <v>798.40800000000002</v>
      </c>
      <c r="J392" s="177">
        <f t="shared" si="170"/>
        <v>802.87300000000005</v>
      </c>
      <c r="K392" s="177">
        <f t="shared" si="170"/>
        <v>649.53099999999995</v>
      </c>
      <c r="L392" s="177">
        <f t="shared" si="170"/>
        <v>645.79200000000003</v>
      </c>
      <c r="M392" s="177">
        <f t="shared" si="170"/>
        <v>627.06500000000005</v>
      </c>
      <c r="N392" s="177">
        <f t="shared" si="170"/>
        <v>621.12400000000002</v>
      </c>
      <c r="O392" s="177">
        <f t="shared" si="170"/>
        <v>623.89700000000005</v>
      </c>
      <c r="P392" s="177">
        <f t="shared" si="170"/>
        <v>615.57399999999996</v>
      </c>
      <c r="Q392" s="177">
        <f t="shared" si="170"/>
        <v>566.553</v>
      </c>
      <c r="R392" s="177">
        <f t="shared" si="170"/>
        <v>562.86699999999996</v>
      </c>
      <c r="S392" s="177">
        <f t="shared" si="170"/>
        <v>544.60699999999997</v>
      </c>
      <c r="T392" s="177">
        <f t="shared" si="170"/>
        <v>549.87599999999998</v>
      </c>
      <c r="U392" s="177">
        <f t="shared" si="170"/>
        <v>555.81299999999999</v>
      </c>
      <c r="V392" s="177">
        <f t="shared" si="170"/>
        <v>561.56299999999999</v>
      </c>
      <c r="W392" s="177">
        <f t="shared" si="170"/>
        <v>555.255</v>
      </c>
      <c r="X392" s="177">
        <f t="shared" si="170"/>
        <v>552.32954958918231</v>
      </c>
      <c r="Y392" s="177">
        <f t="shared" si="170"/>
        <v>549.45965784298244</v>
      </c>
      <c r="Z392" s="177">
        <f t="shared" si="170"/>
        <v>546.70036762602558</v>
      </c>
      <c r="AA392" s="177">
        <f t="shared" si="170"/>
        <v>543.99761658265572</v>
      </c>
      <c r="AB392" s="177">
        <f t="shared" si="170"/>
        <v>541.53383380855007</v>
      </c>
      <c r="AC392" s="177">
        <f t="shared" si="170"/>
        <v>539.06888251200678</v>
      </c>
      <c r="AD392" s="177">
        <f t="shared" si="170"/>
        <v>536.8515794100116</v>
      </c>
      <c r="AE392" s="177">
        <f t="shared" si="170"/>
        <v>534.62853015965368</v>
      </c>
      <c r="AF392" s="177">
        <f t="shared" si="170"/>
        <v>532.66289962926999</v>
      </c>
      <c r="AG392" s="177">
        <f t="shared" si="170"/>
        <v>530.67962384462055</v>
      </c>
      <c r="AH392" s="177">
        <f t="shared" si="170"/>
        <v>528.96344404024865</v>
      </c>
      <c r="AI392" s="177">
        <f t="shared" si="170"/>
        <v>527.22381139695597</v>
      </c>
      <c r="AJ392" s="177">
        <f t="shared" si="170"/>
        <v>525.76192683928844</v>
      </c>
      <c r="AK392" s="177">
        <f t="shared" si="170"/>
        <v>524.27049858133239</v>
      </c>
      <c r="AL392" s="177">
        <f t="shared" si="170"/>
        <v>523.03415918597989</v>
      </c>
      <c r="AM392" s="177">
        <f t="shared" si="170"/>
        <v>521.76230624476489</v>
      </c>
      <c r="AN392" s="177">
        <f t="shared" si="170"/>
        <v>520.75615188747281</v>
      </c>
    </row>
    <row r="393" spans="2:40">
      <c r="B393" s="174" t="s">
        <v>189</v>
      </c>
      <c r="C393" s="36" t="s">
        <v>72</v>
      </c>
      <c r="E393" s="177"/>
      <c r="F393" s="173"/>
      <c r="G393" s="173">
        <v>11.316000000000001</v>
      </c>
      <c r="H393" s="173">
        <f>29.129-G393</f>
        <v>17.813000000000002</v>
      </c>
      <c r="I393" s="173">
        <f>12.624</f>
        <v>12.624000000000001</v>
      </c>
      <c r="J393" s="173">
        <f>20.515-I393</f>
        <v>7.891</v>
      </c>
      <c r="K393" s="173">
        <v>5.0490000000000004</v>
      </c>
      <c r="L393" s="173">
        <f>2.399-K393</f>
        <v>-2.6500000000000004</v>
      </c>
      <c r="M393" s="173">
        <v>8.4489999999999998</v>
      </c>
      <c r="N393" s="173">
        <f>11.411-M393</f>
        <v>2.9619999999999997</v>
      </c>
      <c r="O393" s="173">
        <v>2.9660000000000002</v>
      </c>
      <c r="P393" s="173">
        <f>8.113-O393</f>
        <v>5.1469999999999994</v>
      </c>
      <c r="Q393" s="173">
        <v>3.4609999999999999</v>
      </c>
      <c r="R393" s="173">
        <f>7.047-Q393</f>
        <v>3.5859999999999999</v>
      </c>
      <c r="S393" s="173">
        <v>2.6419999999999999</v>
      </c>
      <c r="T393" s="173">
        <f>2.256-S393</f>
        <v>-0.38600000000000012</v>
      </c>
      <c r="U393" s="173">
        <v>6.35</v>
      </c>
      <c r="V393" s="173">
        <f>10.66-U393</f>
        <v>4.3100000000000005</v>
      </c>
      <c r="W393" s="40">
        <f t="shared" ref="W393:AN393" si="171">W$354*W401</f>
        <v>4.1956499999999997</v>
      </c>
      <c r="X393" s="40">
        <f t="shared" si="171"/>
        <v>4.2136900000000006</v>
      </c>
      <c r="Y393" s="40">
        <f t="shared" si="171"/>
        <v>4.2874854000000004</v>
      </c>
      <c r="Z393" s="40">
        <f t="shared" si="171"/>
        <v>4.3086368999999989</v>
      </c>
      <c r="AA393" s="40">
        <f t="shared" si="171"/>
        <v>4.5129426060000002</v>
      </c>
      <c r="AB393" s="40">
        <f t="shared" si="171"/>
        <v>4.4801762690000002</v>
      </c>
      <c r="AC393" s="40">
        <f t="shared" si="171"/>
        <v>4.6962116627799997</v>
      </c>
      <c r="AD393" s="40">
        <f t="shared" si="171"/>
        <v>4.6620287816900001</v>
      </c>
      <c r="AE393" s="40">
        <f t="shared" si="171"/>
        <v>4.8909370750493997</v>
      </c>
      <c r="AF393" s="40">
        <f t="shared" si="171"/>
        <v>4.8480827684069006</v>
      </c>
      <c r="AG393" s="40">
        <f t="shared" si="171"/>
        <v>5.0897433973507429</v>
      </c>
      <c r="AH393" s="40">
        <f t="shared" si="171"/>
        <v>5.0442806914139693</v>
      </c>
      <c r="AI393" s="40">
        <f t="shared" si="171"/>
        <v>5.2997181292632227</v>
      </c>
      <c r="AJ393" s="40">
        <f t="shared" si="171"/>
        <v>5.2514258779050387</v>
      </c>
      <c r="AK393" s="40">
        <f t="shared" si="171"/>
        <v>5.4873872938751429</v>
      </c>
      <c r="AL393" s="40">
        <f t="shared" si="171"/>
        <v>5.4360177953852178</v>
      </c>
      <c r="AM393" s="40">
        <f t="shared" si="171"/>
        <v>5.6854049683309373</v>
      </c>
      <c r="AN393" s="40">
        <f t="shared" si="171"/>
        <v>5.6306802340059452</v>
      </c>
    </row>
    <row r="394" spans="2:40">
      <c r="B394" s="174" t="s">
        <v>190</v>
      </c>
      <c r="C394" s="36" t="s">
        <v>72</v>
      </c>
      <c r="E394" s="173"/>
      <c r="F394" s="173"/>
      <c r="G394" s="563">
        <v>-6.5265696946799228</v>
      </c>
      <c r="H394" s="563">
        <v>-6.2860327280455266</v>
      </c>
      <c r="I394" s="563">
        <v>-8.6143829039812641</v>
      </c>
      <c r="J394" s="563">
        <v>-9.3726170960187343</v>
      </c>
      <c r="K394" s="563">
        <v>-6.2690819861431866</v>
      </c>
      <c r="L394" s="563">
        <v>-7.1359180138568128</v>
      </c>
      <c r="M394" s="563">
        <v>-6.6823551296505066</v>
      </c>
      <c r="N394" s="563">
        <v>-6.518644870349493</v>
      </c>
      <c r="O394" s="541">
        <f>P394</f>
        <v>-6.6645000000000003</v>
      </c>
      <c r="P394" s="173">
        <f>(-2.712-10.49-0.127)/2</f>
        <v>-6.6645000000000003</v>
      </c>
      <c r="Q394" s="541">
        <f>R394</f>
        <v>-5.8774999999999995</v>
      </c>
      <c r="R394" s="173">
        <f>(-1.721-9.908-0.126)/2</f>
        <v>-5.8774999999999995</v>
      </c>
      <c r="S394" s="541">
        <f>T394</f>
        <v>-5.6475000000000009</v>
      </c>
      <c r="T394" s="173">
        <f>(-1.394-9.8-0.101)/2</f>
        <v>-5.6475000000000009</v>
      </c>
      <c r="U394" s="541">
        <v>-5.6</v>
      </c>
      <c r="V394" s="173">
        <f>(-1.504-12.792-0.108)/2</f>
        <v>-7.202</v>
      </c>
      <c r="W394" s="177">
        <f t="shared" ref="W394:AN394" si="172">V397/-W400</f>
        <v>-7.1211004108176645</v>
      </c>
      <c r="X394" s="177">
        <f t="shared" si="172"/>
        <v>-7.0835817461999646</v>
      </c>
      <c r="Y394" s="177">
        <f t="shared" si="172"/>
        <v>-7.0467756169568858</v>
      </c>
      <c r="Z394" s="177">
        <f t="shared" si="172"/>
        <v>-7.0113879433699093</v>
      </c>
      <c r="AA394" s="177">
        <f t="shared" si="172"/>
        <v>-6.9767253801056812</v>
      </c>
      <c r="AB394" s="177">
        <f t="shared" si="172"/>
        <v>-6.9451275655432738</v>
      </c>
      <c r="AC394" s="177">
        <f t="shared" si="172"/>
        <v>-6.9135147647752309</v>
      </c>
      <c r="AD394" s="177">
        <f t="shared" si="172"/>
        <v>-6.8850780320478799</v>
      </c>
      <c r="AE394" s="177">
        <f t="shared" si="172"/>
        <v>-6.8565676054330957</v>
      </c>
      <c r="AF394" s="177">
        <f t="shared" si="172"/>
        <v>-6.8313585530563845</v>
      </c>
      <c r="AG394" s="177">
        <f t="shared" si="172"/>
        <v>-6.8059232017226154</v>
      </c>
      <c r="AH394" s="177">
        <f t="shared" si="172"/>
        <v>-6.78391333470665</v>
      </c>
      <c r="AI394" s="177">
        <f t="shared" si="172"/>
        <v>-6.761602686930722</v>
      </c>
      <c r="AJ394" s="177">
        <f t="shared" si="172"/>
        <v>-6.7428541358610792</v>
      </c>
      <c r="AK394" s="177">
        <f t="shared" si="172"/>
        <v>-6.7237266892276661</v>
      </c>
      <c r="AL394" s="177">
        <f t="shared" si="172"/>
        <v>-6.7078707366002162</v>
      </c>
      <c r="AM394" s="177">
        <f t="shared" si="172"/>
        <v>-6.6915593256229426</v>
      </c>
      <c r="AN394" s="177">
        <f t="shared" si="172"/>
        <v>-6.6786554774683857</v>
      </c>
    </row>
    <row r="395" spans="2:40">
      <c r="B395" s="174" t="s">
        <v>175</v>
      </c>
      <c r="C395" s="36" t="s">
        <v>72</v>
      </c>
      <c r="E395" s="177"/>
      <c r="F395" s="177"/>
      <c r="G395" s="177">
        <f t="shared" ref="G395:V395" si="173">G397-SUM(G392:G394)</f>
        <v>-47.99043030532016</v>
      </c>
      <c r="H395" s="177">
        <f t="shared" si="173"/>
        <v>-1.7509672719544369</v>
      </c>
      <c r="I395" s="177">
        <f t="shared" si="173"/>
        <v>0.45538290398121717</v>
      </c>
      <c r="J395" s="177">
        <f t="shared" si="173"/>
        <v>-151.8603829039813</v>
      </c>
      <c r="K395" s="177">
        <f t="shared" si="173"/>
        <v>-2.5189180138567053</v>
      </c>
      <c r="L395" s="177">
        <f t="shared" si="173"/>
        <v>-8.9410819861432174</v>
      </c>
      <c r="M395" s="177">
        <f t="shared" si="173"/>
        <v>-7.7076448703494407</v>
      </c>
      <c r="N395" s="177">
        <f t="shared" si="173"/>
        <v>6.3296448703495116</v>
      </c>
      <c r="O395" s="177">
        <f t="shared" si="173"/>
        <v>-4.6245000000001255</v>
      </c>
      <c r="P395" s="177">
        <f t="shared" si="173"/>
        <v>-47.503500000000031</v>
      </c>
      <c r="Q395" s="177">
        <f t="shared" si="173"/>
        <v>-1.2694999999999936</v>
      </c>
      <c r="R395" s="177">
        <f t="shared" si="173"/>
        <v>-15.968499999999949</v>
      </c>
      <c r="S395" s="177">
        <f t="shared" si="173"/>
        <v>8.2744999999999891</v>
      </c>
      <c r="T395" s="177">
        <f t="shared" si="173"/>
        <v>11.970500000000015</v>
      </c>
      <c r="U395" s="177">
        <f t="shared" si="173"/>
        <v>5</v>
      </c>
      <c r="V395" s="177">
        <f t="shared" si="173"/>
        <v>-3.41599999999994</v>
      </c>
      <c r="W395" s="94">
        <v>0</v>
      </c>
      <c r="X395" s="94">
        <v>0</v>
      </c>
      <c r="Y395" s="94">
        <v>0</v>
      </c>
      <c r="Z395" s="94">
        <v>0</v>
      </c>
      <c r="AA395" s="94">
        <v>0</v>
      </c>
      <c r="AB395" s="94">
        <v>0</v>
      </c>
      <c r="AC395" s="94">
        <v>0</v>
      </c>
      <c r="AD395" s="94">
        <v>0</v>
      </c>
      <c r="AE395" s="94">
        <v>0</v>
      </c>
      <c r="AF395" s="94">
        <v>0</v>
      </c>
      <c r="AG395" s="94">
        <v>0</v>
      </c>
      <c r="AH395" s="94">
        <v>0</v>
      </c>
      <c r="AI395" s="94">
        <v>0</v>
      </c>
      <c r="AJ395" s="94">
        <v>0</v>
      </c>
      <c r="AK395" s="94">
        <v>0</v>
      </c>
      <c r="AL395" s="94">
        <v>0</v>
      </c>
      <c r="AM395" s="94">
        <v>0</v>
      </c>
      <c r="AN395" s="94">
        <v>0</v>
      </c>
    </row>
    <row r="396" spans="2:40">
      <c r="B396" s="196" t="s">
        <v>176</v>
      </c>
      <c r="D396" s="25"/>
      <c r="E396" s="184"/>
      <c r="F396" s="184"/>
      <c r="G396" s="184" t="s">
        <v>177</v>
      </c>
      <c r="H396" s="184" t="s">
        <v>177</v>
      </c>
      <c r="I396" s="184" t="s">
        <v>177</v>
      </c>
      <c r="J396" s="184" t="s">
        <v>177</v>
      </c>
      <c r="K396" s="184" t="s">
        <v>177</v>
      </c>
      <c r="L396" s="184" t="s">
        <v>177</v>
      </c>
      <c r="M396" s="184" t="s">
        <v>177</v>
      </c>
      <c r="N396" s="184" t="s">
        <v>177</v>
      </c>
      <c r="O396" s="184" t="s">
        <v>177</v>
      </c>
      <c r="P396" s="184" t="s">
        <v>177</v>
      </c>
      <c r="Q396" s="184" t="s">
        <v>177</v>
      </c>
      <c r="R396" s="184" t="s">
        <v>177</v>
      </c>
      <c r="S396" s="184" t="s">
        <v>177</v>
      </c>
      <c r="T396" s="184" t="s">
        <v>177</v>
      </c>
      <c r="U396" s="184" t="s">
        <v>177</v>
      </c>
      <c r="V396" s="184" t="s">
        <v>177</v>
      </c>
      <c r="W396" s="184" t="s">
        <v>177</v>
      </c>
      <c r="X396" s="184" t="s">
        <v>177</v>
      </c>
      <c r="Y396" s="184" t="s">
        <v>177</v>
      </c>
      <c r="Z396" s="184" t="s">
        <v>177</v>
      </c>
      <c r="AA396" s="184" t="s">
        <v>177</v>
      </c>
      <c r="AB396" s="184" t="s">
        <v>177</v>
      </c>
      <c r="AC396" s="184" t="s">
        <v>177</v>
      </c>
      <c r="AD396" s="184" t="s">
        <v>177</v>
      </c>
      <c r="AE396" s="184" t="s">
        <v>177</v>
      </c>
      <c r="AF396" s="184" t="s">
        <v>177</v>
      </c>
      <c r="AG396" s="184" t="s">
        <v>177</v>
      </c>
      <c r="AH396" s="184" t="s">
        <v>177</v>
      </c>
      <c r="AI396" s="184" t="s">
        <v>177</v>
      </c>
      <c r="AJ396" s="184" t="s">
        <v>177</v>
      </c>
      <c r="AK396" s="184" t="s">
        <v>177</v>
      </c>
      <c r="AL396" s="184" t="s">
        <v>177</v>
      </c>
      <c r="AM396" s="184" t="s">
        <v>177</v>
      </c>
      <c r="AN396" s="184" t="s">
        <v>177</v>
      </c>
    </row>
    <row r="397" spans="2:40">
      <c r="B397" s="197" t="s">
        <v>191</v>
      </c>
      <c r="C397" s="36" t="s">
        <v>72</v>
      </c>
      <c r="E397" s="173"/>
      <c r="F397" s="173">
        <v>831.83299999999997</v>
      </c>
      <c r="G397" s="173">
        <v>788.63199999999995</v>
      </c>
      <c r="H397" s="173">
        <v>798.40800000000002</v>
      </c>
      <c r="I397" s="173">
        <v>802.87300000000005</v>
      </c>
      <c r="J397" s="173">
        <v>649.53099999999995</v>
      </c>
      <c r="K397" s="173">
        <v>645.79200000000003</v>
      </c>
      <c r="L397" s="173">
        <v>627.06500000000005</v>
      </c>
      <c r="M397" s="173">
        <v>621.12400000000002</v>
      </c>
      <c r="N397" s="173">
        <v>623.89700000000005</v>
      </c>
      <c r="O397" s="173">
        <v>615.57399999999996</v>
      </c>
      <c r="P397" s="173">
        <v>566.553</v>
      </c>
      <c r="Q397" s="173">
        <v>562.86699999999996</v>
      </c>
      <c r="R397" s="173">
        <v>544.60699999999997</v>
      </c>
      <c r="S397" s="173">
        <v>549.87599999999998</v>
      </c>
      <c r="T397" s="173">
        <v>555.81299999999999</v>
      </c>
      <c r="U397" s="173">
        <v>561.56299999999999</v>
      </c>
      <c r="V397" s="173">
        <v>555.255</v>
      </c>
      <c r="W397" s="40">
        <f t="shared" ref="W397:AN397" si="174">SUM(W392:W396)</f>
        <v>552.32954958918231</v>
      </c>
      <c r="X397" s="40">
        <f t="shared" si="174"/>
        <v>549.45965784298244</v>
      </c>
      <c r="Y397" s="40">
        <f t="shared" si="174"/>
        <v>546.70036762602558</v>
      </c>
      <c r="Z397" s="40">
        <f t="shared" si="174"/>
        <v>543.99761658265572</v>
      </c>
      <c r="AA397" s="40">
        <f t="shared" si="174"/>
        <v>541.53383380855007</v>
      </c>
      <c r="AB397" s="40">
        <f t="shared" si="174"/>
        <v>539.06888251200678</v>
      </c>
      <c r="AC397" s="40">
        <f t="shared" si="174"/>
        <v>536.8515794100116</v>
      </c>
      <c r="AD397" s="40">
        <f t="shared" si="174"/>
        <v>534.62853015965368</v>
      </c>
      <c r="AE397" s="40">
        <f t="shared" si="174"/>
        <v>532.66289962926999</v>
      </c>
      <c r="AF397" s="40">
        <f t="shared" si="174"/>
        <v>530.67962384462055</v>
      </c>
      <c r="AG397" s="40">
        <f t="shared" si="174"/>
        <v>528.96344404024865</v>
      </c>
      <c r="AH397" s="40">
        <f t="shared" si="174"/>
        <v>527.22381139695597</v>
      </c>
      <c r="AI397" s="40">
        <f t="shared" si="174"/>
        <v>525.76192683928844</v>
      </c>
      <c r="AJ397" s="40">
        <f t="shared" si="174"/>
        <v>524.27049858133239</v>
      </c>
      <c r="AK397" s="40">
        <f t="shared" si="174"/>
        <v>523.03415918597989</v>
      </c>
      <c r="AL397" s="40">
        <f t="shared" si="174"/>
        <v>521.76230624476489</v>
      </c>
      <c r="AM397" s="40">
        <f t="shared" si="174"/>
        <v>520.75615188747281</v>
      </c>
      <c r="AN397" s="40">
        <f t="shared" si="174"/>
        <v>519.70817664401034</v>
      </c>
    </row>
    <row r="398" spans="2:40">
      <c r="B398" s="203"/>
    </row>
    <row r="399" spans="2:40">
      <c r="B399" s="202" t="s">
        <v>192</v>
      </c>
    </row>
    <row r="400" spans="2:40">
      <c r="B400" s="151" t="s">
        <v>193</v>
      </c>
      <c r="C400" s="36" t="s">
        <v>181</v>
      </c>
      <c r="G400" s="40">
        <f t="shared" ref="G400:V400" si="175">F397/-G394</f>
        <v>127.45332370817422</v>
      </c>
      <c r="H400" s="40">
        <f t="shared" si="175"/>
        <v>125.45782596413619</v>
      </c>
      <c r="I400" s="40">
        <f t="shared" si="175"/>
        <v>92.683133417601397</v>
      </c>
      <c r="J400" s="40">
        <f t="shared" si="175"/>
        <v>85.661559815672135</v>
      </c>
      <c r="K400" s="40">
        <f t="shared" si="175"/>
        <v>103.60863064730776</v>
      </c>
      <c r="L400" s="40">
        <f t="shared" si="175"/>
        <v>90.498797596325403</v>
      </c>
      <c r="M400" s="40">
        <f t="shared" si="175"/>
        <v>93.838921732493461</v>
      </c>
      <c r="N400" s="40">
        <f t="shared" si="175"/>
        <v>95.284221238255441</v>
      </c>
      <c r="O400" s="40">
        <f t="shared" si="175"/>
        <v>93.61497486683173</v>
      </c>
      <c r="P400" s="40">
        <f t="shared" si="175"/>
        <v>92.366118988671303</v>
      </c>
      <c r="Q400" s="40">
        <f t="shared" si="175"/>
        <v>96.393534666099541</v>
      </c>
      <c r="R400" s="40">
        <f t="shared" si="175"/>
        <v>95.766397277754152</v>
      </c>
      <c r="S400" s="40">
        <f t="shared" si="175"/>
        <v>96.433289065958363</v>
      </c>
      <c r="T400" s="40">
        <f t="shared" si="175"/>
        <v>97.366268260292145</v>
      </c>
      <c r="U400" s="40">
        <f t="shared" si="175"/>
        <v>99.252321428571435</v>
      </c>
      <c r="V400" s="40">
        <f t="shared" si="175"/>
        <v>77.973201888364343</v>
      </c>
      <c r="W400" s="541">
        <f t="shared" ref="W400:AN400" si="176">V400</f>
        <v>77.973201888364343</v>
      </c>
      <c r="X400" s="541">
        <f t="shared" si="176"/>
        <v>77.973201888364343</v>
      </c>
      <c r="Y400" s="541">
        <f t="shared" si="176"/>
        <v>77.973201888364343</v>
      </c>
      <c r="Z400" s="541">
        <f t="shared" si="176"/>
        <v>77.973201888364343</v>
      </c>
      <c r="AA400" s="541">
        <f t="shared" si="176"/>
        <v>77.973201888364343</v>
      </c>
      <c r="AB400" s="541">
        <f t="shared" si="176"/>
        <v>77.973201888364343</v>
      </c>
      <c r="AC400" s="541">
        <f t="shared" si="176"/>
        <v>77.973201888364343</v>
      </c>
      <c r="AD400" s="541">
        <f t="shared" si="176"/>
        <v>77.973201888364343</v>
      </c>
      <c r="AE400" s="541">
        <f t="shared" si="176"/>
        <v>77.973201888364343</v>
      </c>
      <c r="AF400" s="541">
        <f t="shared" si="176"/>
        <v>77.973201888364343</v>
      </c>
      <c r="AG400" s="541">
        <f t="shared" si="176"/>
        <v>77.973201888364343</v>
      </c>
      <c r="AH400" s="541">
        <f t="shared" si="176"/>
        <v>77.973201888364343</v>
      </c>
      <c r="AI400" s="541">
        <f t="shared" si="176"/>
        <v>77.973201888364343</v>
      </c>
      <c r="AJ400" s="541">
        <f t="shared" si="176"/>
        <v>77.973201888364343</v>
      </c>
      <c r="AK400" s="541">
        <f t="shared" si="176"/>
        <v>77.973201888364343</v>
      </c>
      <c r="AL400" s="541">
        <f t="shared" si="176"/>
        <v>77.973201888364343</v>
      </c>
      <c r="AM400" s="541">
        <f t="shared" si="176"/>
        <v>77.973201888364343</v>
      </c>
      <c r="AN400" s="541">
        <f t="shared" si="176"/>
        <v>77.973201888364343</v>
      </c>
    </row>
    <row r="401" spans="2:40">
      <c r="B401" s="151" t="s">
        <v>194</v>
      </c>
      <c r="C401" s="36" t="s">
        <v>88</v>
      </c>
      <c r="G401" s="29">
        <f t="shared" ref="G401:V401" si="177">G393/G$354</f>
        <v>2.3230198965850293E-2</v>
      </c>
      <c r="H401" s="29">
        <f t="shared" si="177"/>
        <v>3.9526281220090387E-2</v>
      </c>
      <c r="I401" s="29">
        <f t="shared" si="177"/>
        <v>2.8391420570260621E-2</v>
      </c>
      <c r="J401" s="29">
        <f t="shared" si="177"/>
        <v>3.0280986064313078E-2</v>
      </c>
      <c r="K401" s="29">
        <f t="shared" si="177"/>
        <v>1.4626333615604141E-2</v>
      </c>
      <c r="L401" s="29">
        <f t="shared" si="177"/>
        <v>-6.857518045397068E-3</v>
      </c>
      <c r="M401" s="29">
        <f t="shared" si="177"/>
        <v>3.5307083107143616E-2</v>
      </c>
      <c r="N401" s="29">
        <f t="shared" si="177"/>
        <v>8.8123389164366638E-3</v>
      </c>
      <c r="O401" s="29">
        <f t="shared" si="177"/>
        <v>6.7578035999088636E-3</v>
      </c>
      <c r="P401" s="29">
        <f t="shared" si="177"/>
        <v>1.2147746046731175E-2</v>
      </c>
      <c r="Q401" s="29">
        <f t="shared" si="177"/>
        <v>7.8161698283649491E-3</v>
      </c>
      <c r="R401" s="29">
        <f t="shared" si="177"/>
        <v>8.3843815758709375E-3</v>
      </c>
      <c r="S401" s="29">
        <f t="shared" si="177"/>
        <v>6.2606635071090046E-3</v>
      </c>
      <c r="T401" s="29">
        <f t="shared" si="177"/>
        <v>-9.5734126984127E-4</v>
      </c>
      <c r="U401" s="29">
        <f t="shared" si="177"/>
        <v>1.542385231965023E-2</v>
      </c>
      <c r="V401" s="29">
        <f t="shared" si="177"/>
        <v>1.048661800486618E-2</v>
      </c>
      <c r="W401" s="150">
        <v>0.01</v>
      </c>
      <c r="X401" s="150">
        <v>0.01</v>
      </c>
      <c r="Y401" s="150">
        <v>0.01</v>
      </c>
      <c r="Z401" s="150">
        <v>0.01</v>
      </c>
      <c r="AA401" s="150">
        <v>0.01</v>
      </c>
      <c r="AB401" s="150">
        <v>0.01</v>
      </c>
      <c r="AC401" s="150">
        <v>0.01</v>
      </c>
      <c r="AD401" s="150">
        <v>0.01</v>
      </c>
      <c r="AE401" s="150">
        <v>0.01</v>
      </c>
      <c r="AF401" s="150">
        <v>0.01</v>
      </c>
      <c r="AG401" s="150">
        <v>0.01</v>
      </c>
      <c r="AH401" s="150">
        <v>0.01</v>
      </c>
      <c r="AI401" s="150">
        <v>0.01</v>
      </c>
      <c r="AJ401" s="150">
        <v>0.01</v>
      </c>
      <c r="AK401" s="150">
        <v>0.01</v>
      </c>
      <c r="AL401" s="150">
        <v>0.01</v>
      </c>
      <c r="AM401" s="150">
        <v>0.01</v>
      </c>
      <c r="AN401" s="150">
        <v>0.01</v>
      </c>
    </row>
    <row r="402" spans="2:40">
      <c r="B402" s="151" t="s">
        <v>195</v>
      </c>
      <c r="C402" s="36" t="s">
        <v>88</v>
      </c>
      <c r="G402" s="29">
        <f t="shared" ref="G402:V402" si="178">G394/G$354</f>
        <v>-1.3398154168602279E-2</v>
      </c>
      <c r="H402" s="29">
        <f t="shared" si="178"/>
        <v>-1.3948436387324953E-2</v>
      </c>
      <c r="I402" s="29">
        <f t="shared" si="178"/>
        <v>-1.9373777564971092E-2</v>
      </c>
      <c r="J402" s="29">
        <f t="shared" si="178"/>
        <v>-3.5966555274450113E-2</v>
      </c>
      <c r="K402" s="29">
        <f t="shared" si="178"/>
        <v>-1.8160761456309061E-2</v>
      </c>
      <c r="L402" s="29">
        <f t="shared" si="178"/>
        <v>-1.846591945301777E-2</v>
      </c>
      <c r="M402" s="29">
        <f t="shared" si="178"/>
        <v>-2.7924543486095146E-2</v>
      </c>
      <c r="N402" s="29">
        <f t="shared" si="178"/>
        <v>-1.9393824400206306E-2</v>
      </c>
      <c r="O402" s="29">
        <f t="shared" si="178"/>
        <v>-1.518455228981545E-2</v>
      </c>
      <c r="P402" s="29">
        <f t="shared" si="178"/>
        <v>-1.5729289591692234E-2</v>
      </c>
      <c r="Q402" s="29">
        <f t="shared" si="178"/>
        <v>-1.327348690153568E-2</v>
      </c>
      <c r="R402" s="29">
        <f t="shared" si="178"/>
        <v>-1.3742108954874911E-2</v>
      </c>
      <c r="S402" s="29">
        <f t="shared" si="178"/>
        <v>-1.338270142180095E-2</v>
      </c>
      <c r="T402" s="29">
        <f t="shared" si="178"/>
        <v>-1.4006696428571429E-2</v>
      </c>
      <c r="U402" s="29">
        <f t="shared" si="178"/>
        <v>-1.3602137478746659E-2</v>
      </c>
      <c r="V402" s="29">
        <f t="shared" si="178"/>
        <v>-1.7523114355231142E-2</v>
      </c>
      <c r="W402" s="29">
        <f t="shared" ref="W402:AN402" si="179">W394/W$354</f>
        <v>-1.6972579721420196E-2</v>
      </c>
      <c r="X402" s="29">
        <f t="shared" si="179"/>
        <v>-1.681087537573947E-2</v>
      </c>
      <c r="Y402" s="29">
        <f t="shared" si="179"/>
        <v>-1.6435684228701713E-2</v>
      </c>
      <c r="Z402" s="29">
        <f t="shared" si="179"/>
        <v>-1.6272867976807028E-2</v>
      </c>
      <c r="AA402" s="29">
        <f t="shared" si="179"/>
        <v>-1.5459370945311952E-2</v>
      </c>
      <c r="AB402" s="29">
        <f t="shared" si="179"/>
        <v>-1.5501906953079469E-2</v>
      </c>
      <c r="AC402" s="29">
        <f t="shared" si="179"/>
        <v>-1.472147181859061E-2</v>
      </c>
      <c r="AD402" s="29">
        <f t="shared" si="179"/>
        <v>-1.4768415971795047E-2</v>
      </c>
      <c r="AE402" s="29">
        <f t="shared" si="179"/>
        <v>-1.4018924186146564E-2</v>
      </c>
      <c r="AF402" s="29">
        <f t="shared" si="179"/>
        <v>-1.4090845555636411E-2</v>
      </c>
      <c r="AG402" s="29">
        <f t="shared" si="179"/>
        <v>-1.3371839541587029E-2</v>
      </c>
      <c r="AH402" s="29">
        <f t="shared" si="179"/>
        <v>-1.344872291951113E-2</v>
      </c>
      <c r="AI402" s="29">
        <f t="shared" si="179"/>
        <v>-1.2758419451773246E-2</v>
      </c>
      <c r="AJ402" s="29">
        <f t="shared" si="179"/>
        <v>-1.2840044385337529E-2</v>
      </c>
      <c r="AK402" s="29">
        <f t="shared" si="179"/>
        <v>-1.2253056562514712E-2</v>
      </c>
      <c r="AL402" s="29">
        <f t="shared" si="179"/>
        <v>-1.2339677663113445E-2</v>
      </c>
      <c r="AM402" s="29">
        <f t="shared" si="179"/>
        <v>-1.1769714493332533E-2</v>
      </c>
      <c r="AN402" s="29">
        <f t="shared" si="179"/>
        <v>-1.1861187636146155E-2</v>
      </c>
    </row>
    <row r="403" spans="2:40">
      <c r="B403" s="151" t="s">
        <v>196</v>
      </c>
      <c r="C403" s="36" t="s">
        <v>185</v>
      </c>
      <c r="G403" s="204">
        <f t="shared" ref="G403:AN403" si="180">G393/-G394</f>
        <v>1.733835771220545</v>
      </c>
      <c r="H403" s="204">
        <f t="shared" si="180"/>
        <v>2.833742802598878</v>
      </c>
      <c r="I403" s="204">
        <f t="shared" si="180"/>
        <v>1.4654561029746695</v>
      </c>
      <c r="J403" s="204">
        <f t="shared" si="180"/>
        <v>0.84192066305065527</v>
      </c>
      <c r="K403" s="204">
        <f t="shared" si="180"/>
        <v>0.80538107671266956</v>
      </c>
      <c r="L403" s="204">
        <f t="shared" si="180"/>
        <v>-0.37136076883928931</v>
      </c>
      <c r="M403" s="204">
        <f t="shared" si="180"/>
        <v>1.2643745859166706</v>
      </c>
      <c r="N403" s="204">
        <f t="shared" si="180"/>
        <v>0.45438891961623212</v>
      </c>
      <c r="O403" s="204">
        <f t="shared" si="180"/>
        <v>0.44504463950784007</v>
      </c>
      <c r="P403" s="204">
        <f t="shared" si="180"/>
        <v>0.77230099782429273</v>
      </c>
      <c r="Q403" s="204">
        <f t="shared" si="180"/>
        <v>0.588855806039983</v>
      </c>
      <c r="R403" s="204">
        <f t="shared" si="180"/>
        <v>0.61012335176520627</v>
      </c>
      <c r="S403" s="204">
        <f t="shared" si="180"/>
        <v>0.4678176184152279</v>
      </c>
      <c r="T403" s="204">
        <f t="shared" si="180"/>
        <v>-6.8348826914563982E-2</v>
      </c>
      <c r="U403" s="204">
        <f t="shared" si="180"/>
        <v>1.1339285714285714</v>
      </c>
      <c r="V403" s="204">
        <f t="shared" si="180"/>
        <v>0.59844487642321587</v>
      </c>
      <c r="W403" s="204">
        <f t="shared" si="180"/>
        <v>0.5891856255286595</v>
      </c>
      <c r="X403" s="204">
        <f t="shared" si="180"/>
        <v>0.59485302082671143</v>
      </c>
      <c r="Y403" s="204">
        <f t="shared" si="180"/>
        <v>0.6084322295835396</v>
      </c>
      <c r="Z403" s="204">
        <f t="shared" si="180"/>
        <v>0.61451982614573786</v>
      </c>
      <c r="AA403" s="204">
        <f t="shared" si="180"/>
        <v>0.646856850474404</v>
      </c>
      <c r="AB403" s="204">
        <f t="shared" si="180"/>
        <v>0.64508192638928785</v>
      </c>
      <c r="AC403" s="204">
        <f t="shared" si="180"/>
        <v>0.67927990646776049</v>
      </c>
      <c r="AD403" s="204">
        <f t="shared" si="180"/>
        <v>0.67712068911778744</v>
      </c>
      <c r="AE403" s="204">
        <f t="shared" si="180"/>
        <v>0.71332149794218547</v>
      </c>
      <c r="AF403" s="204">
        <f t="shared" si="180"/>
        <v>0.70968061927269854</v>
      </c>
      <c r="AG403" s="204">
        <f t="shared" si="180"/>
        <v>0.74784026303183992</v>
      </c>
      <c r="AH403" s="204">
        <f t="shared" si="180"/>
        <v>0.74356502545622427</v>
      </c>
      <c r="AI403" s="204">
        <f t="shared" si="180"/>
        <v>0.78379614636436301</v>
      </c>
      <c r="AJ403" s="204">
        <f t="shared" si="180"/>
        <v>0.77881350717286701</v>
      </c>
      <c r="AK403" s="204">
        <f t="shared" si="180"/>
        <v>0.81612289545717132</v>
      </c>
      <c r="AL403" s="204">
        <f t="shared" si="180"/>
        <v>0.81039394002102993</v>
      </c>
      <c r="AM403" s="204">
        <f t="shared" si="180"/>
        <v>0.84963828185169099</v>
      </c>
      <c r="AN403" s="204">
        <f t="shared" si="180"/>
        <v>0.84308589550726665</v>
      </c>
    </row>
    <row r="404" spans="2:40" s="162" customFormat="1" ht="12" customHeight="1" thickBot="1">
      <c r="B404" s="163"/>
      <c r="C404" s="164"/>
      <c r="D404" s="165"/>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c r="AB404" s="166"/>
      <c r="AC404" s="166"/>
      <c r="AD404" s="166"/>
      <c r="AE404" s="166"/>
      <c r="AF404" s="166"/>
      <c r="AG404" s="166"/>
      <c r="AH404" s="166"/>
      <c r="AI404" s="166"/>
      <c r="AJ404" s="166"/>
      <c r="AK404" s="166"/>
      <c r="AL404" s="166"/>
      <c r="AM404" s="166"/>
      <c r="AN404" s="166"/>
    </row>
    <row r="405" spans="2:40" s="251" customFormat="1">
      <c r="B405" s="252"/>
      <c r="C405" s="253"/>
      <c r="D405" s="254"/>
      <c r="E405" s="255"/>
      <c r="F405" s="255"/>
      <c r="G405" s="255"/>
      <c r="H405" s="255"/>
      <c r="I405" s="255"/>
      <c r="J405" s="255"/>
      <c r="K405" s="255"/>
      <c r="L405" s="255"/>
      <c r="M405" s="255"/>
      <c r="N405" s="255"/>
      <c r="O405" s="255"/>
      <c r="P405" s="255"/>
      <c r="Q405" s="256"/>
      <c r="R405" s="256"/>
      <c r="S405" s="256"/>
      <c r="T405" s="256"/>
      <c r="U405" s="256"/>
      <c r="V405" s="256"/>
      <c r="W405" s="256"/>
      <c r="X405" s="256"/>
      <c r="Y405" s="256"/>
      <c r="Z405" s="256"/>
      <c r="AA405" s="256"/>
      <c r="AB405" s="256"/>
      <c r="AC405" s="256"/>
      <c r="AD405" s="256"/>
      <c r="AE405" s="256"/>
      <c r="AF405" s="256"/>
      <c r="AG405" s="256"/>
      <c r="AH405" s="256"/>
      <c r="AI405" s="256"/>
      <c r="AJ405" s="256"/>
      <c r="AK405" s="256"/>
      <c r="AL405" s="256"/>
      <c r="AM405" s="256"/>
      <c r="AN405" s="256"/>
    </row>
    <row r="406" spans="2:40">
      <c r="B406" s="250" t="s">
        <v>197</v>
      </c>
      <c r="D406" s="25"/>
    </row>
    <row r="407" spans="2:40">
      <c r="B407" s="171" t="s">
        <v>198</v>
      </c>
      <c r="D407" s="25"/>
    </row>
    <row r="408" spans="2:40">
      <c r="B408" s="174" t="s">
        <v>199</v>
      </c>
      <c r="C408" s="36" t="s">
        <v>72</v>
      </c>
      <c r="D408" s="25"/>
      <c r="E408" s="173"/>
      <c r="F408" s="173"/>
      <c r="G408" s="173"/>
      <c r="H408" s="173"/>
      <c r="I408" s="173">
        <v>0.47</v>
      </c>
      <c r="J408" s="173">
        <v>0.48499999999999999</v>
      </c>
      <c r="K408" s="173">
        <v>0.504</v>
      </c>
      <c r="L408" s="173">
        <v>3.0139999999999998</v>
      </c>
      <c r="M408" s="173">
        <v>3.3090000000000002</v>
      </c>
      <c r="N408" s="173">
        <v>3.5760000000000001</v>
      </c>
      <c r="O408" s="173">
        <v>3.6469999999999998</v>
      </c>
      <c r="P408" s="173">
        <v>3.0449999999999999</v>
      </c>
      <c r="Q408" s="173">
        <v>2.254</v>
      </c>
      <c r="R408" s="173">
        <v>3.2850000000000001</v>
      </c>
      <c r="S408" s="173">
        <v>7.4710000000000001</v>
      </c>
      <c r="T408" s="173">
        <v>6.8090000000000002</v>
      </c>
      <c r="U408" s="173">
        <v>12.084</v>
      </c>
      <c r="V408" s="173">
        <v>7.9240000000000004</v>
      </c>
      <c r="W408" s="94">
        <f t="shared" ref="W408:AN408" si="181">V408</f>
        <v>7.9240000000000004</v>
      </c>
      <c r="X408" s="94">
        <f t="shared" si="181"/>
        <v>7.9240000000000004</v>
      </c>
      <c r="Y408" s="94">
        <f t="shared" si="181"/>
        <v>7.9240000000000004</v>
      </c>
      <c r="Z408" s="94">
        <f t="shared" si="181"/>
        <v>7.9240000000000004</v>
      </c>
      <c r="AA408" s="94">
        <f t="shared" si="181"/>
        <v>7.9240000000000004</v>
      </c>
      <c r="AB408" s="94">
        <f t="shared" si="181"/>
        <v>7.9240000000000004</v>
      </c>
      <c r="AC408" s="94">
        <f t="shared" si="181"/>
        <v>7.9240000000000004</v>
      </c>
      <c r="AD408" s="94">
        <f t="shared" si="181"/>
        <v>7.9240000000000004</v>
      </c>
      <c r="AE408" s="94">
        <f t="shared" si="181"/>
        <v>7.9240000000000004</v>
      </c>
      <c r="AF408" s="94">
        <f t="shared" si="181"/>
        <v>7.9240000000000004</v>
      </c>
      <c r="AG408" s="94">
        <f t="shared" si="181"/>
        <v>7.9240000000000004</v>
      </c>
      <c r="AH408" s="94">
        <f t="shared" si="181"/>
        <v>7.9240000000000004</v>
      </c>
      <c r="AI408" s="94">
        <f t="shared" si="181"/>
        <v>7.9240000000000004</v>
      </c>
      <c r="AJ408" s="94">
        <f t="shared" si="181"/>
        <v>7.9240000000000004</v>
      </c>
      <c r="AK408" s="94">
        <f t="shared" si="181"/>
        <v>7.9240000000000004</v>
      </c>
      <c r="AL408" s="94">
        <f t="shared" si="181"/>
        <v>7.9240000000000004</v>
      </c>
      <c r="AM408" s="94">
        <f t="shared" si="181"/>
        <v>7.9240000000000004</v>
      </c>
      <c r="AN408" s="94">
        <f t="shared" si="181"/>
        <v>7.9240000000000004</v>
      </c>
    </row>
    <row r="409" spans="2:40">
      <c r="B409" s="174" t="s">
        <v>200</v>
      </c>
      <c r="C409" s="36" t="s">
        <v>72</v>
      </c>
      <c r="D409" s="25"/>
      <c r="E409" s="173"/>
      <c r="F409" s="173"/>
      <c r="G409" s="173"/>
      <c r="H409" s="173"/>
      <c r="I409" s="173">
        <v>51.146999999999998</v>
      </c>
      <c r="J409" s="173">
        <v>52.188000000000002</v>
      </c>
      <c r="K409" s="173">
        <v>53.726999999999997</v>
      </c>
      <c r="L409" s="173">
        <v>115.79300000000001</v>
      </c>
      <c r="M409" s="173">
        <v>114.164</v>
      </c>
      <c r="N409" s="173">
        <f>117.53</f>
        <v>117.53</v>
      </c>
      <c r="O409" s="173">
        <v>114.70099999999999</v>
      </c>
      <c r="P409" s="173">
        <f>116.84</f>
        <v>116.84</v>
      </c>
      <c r="Q409" s="173">
        <v>119.008</v>
      </c>
      <c r="R409" s="173">
        <v>118.14700000000001</v>
      </c>
      <c r="S409" s="173">
        <v>135.541</v>
      </c>
      <c r="T409" s="173">
        <v>130.154</v>
      </c>
      <c r="U409" s="173">
        <v>138.952</v>
      </c>
      <c r="V409" s="173">
        <v>146.304</v>
      </c>
      <c r="W409" s="94">
        <f t="shared" ref="W409:AN409" si="182">V409</f>
        <v>146.304</v>
      </c>
      <c r="X409" s="94">
        <f t="shared" si="182"/>
        <v>146.304</v>
      </c>
      <c r="Y409" s="94">
        <f t="shared" si="182"/>
        <v>146.304</v>
      </c>
      <c r="Z409" s="94">
        <f t="shared" si="182"/>
        <v>146.304</v>
      </c>
      <c r="AA409" s="94">
        <f t="shared" si="182"/>
        <v>146.304</v>
      </c>
      <c r="AB409" s="94">
        <f t="shared" si="182"/>
        <v>146.304</v>
      </c>
      <c r="AC409" s="94">
        <f t="shared" si="182"/>
        <v>146.304</v>
      </c>
      <c r="AD409" s="94">
        <f t="shared" si="182"/>
        <v>146.304</v>
      </c>
      <c r="AE409" s="94">
        <f t="shared" si="182"/>
        <v>146.304</v>
      </c>
      <c r="AF409" s="94">
        <f t="shared" si="182"/>
        <v>146.304</v>
      </c>
      <c r="AG409" s="94">
        <f t="shared" si="182"/>
        <v>146.304</v>
      </c>
      <c r="AH409" s="94">
        <f t="shared" si="182"/>
        <v>146.304</v>
      </c>
      <c r="AI409" s="94">
        <f t="shared" si="182"/>
        <v>146.304</v>
      </c>
      <c r="AJ409" s="94">
        <f t="shared" si="182"/>
        <v>146.304</v>
      </c>
      <c r="AK409" s="94">
        <f t="shared" si="182"/>
        <v>146.304</v>
      </c>
      <c r="AL409" s="94">
        <f t="shared" si="182"/>
        <v>146.304</v>
      </c>
      <c r="AM409" s="94">
        <f t="shared" si="182"/>
        <v>146.304</v>
      </c>
      <c r="AN409" s="94">
        <f t="shared" si="182"/>
        <v>146.304</v>
      </c>
    </row>
    <row r="410" spans="2:40">
      <c r="B410" s="174" t="s">
        <v>201</v>
      </c>
      <c r="C410" s="36" t="s">
        <v>72</v>
      </c>
      <c r="D410" s="25"/>
      <c r="E410" s="173">
        <v>105.678</v>
      </c>
      <c r="F410" s="173">
        <v>0</v>
      </c>
      <c r="G410" s="173">
        <v>0</v>
      </c>
      <c r="H410" s="173">
        <v>49.127000000000002</v>
      </c>
      <c r="I410" s="173">
        <v>54.259</v>
      </c>
      <c r="J410" s="173">
        <v>302.50900000000001</v>
      </c>
      <c r="K410" s="173">
        <v>138.37</v>
      </c>
      <c r="L410" s="173">
        <v>48.030999999999999</v>
      </c>
      <c r="M410" s="173">
        <v>0</v>
      </c>
      <c r="N410" s="173">
        <v>78</v>
      </c>
      <c r="O410" s="173">
        <v>49.713000000000001</v>
      </c>
      <c r="P410" s="173">
        <v>45.814</v>
      </c>
      <c r="Q410" s="173">
        <v>45.814</v>
      </c>
      <c r="R410" s="173">
        <v>241.11600000000001</v>
      </c>
      <c r="S410" s="173">
        <v>0</v>
      </c>
      <c r="T410" s="173">
        <v>0</v>
      </c>
      <c r="U410" s="173">
        <v>0</v>
      </c>
      <c r="V410" s="173">
        <v>175</v>
      </c>
      <c r="W410" s="632">
        <f>V410</f>
        <v>175</v>
      </c>
      <c r="X410" s="632">
        <v>0</v>
      </c>
      <c r="Y410" s="94">
        <f t="shared" ref="Y410:AN410" si="183">X410</f>
        <v>0</v>
      </c>
      <c r="Z410" s="94">
        <f t="shared" si="183"/>
        <v>0</v>
      </c>
      <c r="AA410" s="94">
        <f t="shared" si="183"/>
        <v>0</v>
      </c>
      <c r="AB410" s="94">
        <f t="shared" si="183"/>
        <v>0</v>
      </c>
      <c r="AC410" s="94">
        <f t="shared" si="183"/>
        <v>0</v>
      </c>
      <c r="AD410" s="94">
        <f t="shared" si="183"/>
        <v>0</v>
      </c>
      <c r="AE410" s="94">
        <f t="shared" si="183"/>
        <v>0</v>
      </c>
      <c r="AF410" s="94">
        <f t="shared" si="183"/>
        <v>0</v>
      </c>
      <c r="AG410" s="94">
        <f t="shared" si="183"/>
        <v>0</v>
      </c>
      <c r="AH410" s="94">
        <f t="shared" si="183"/>
        <v>0</v>
      </c>
      <c r="AI410" s="94">
        <f t="shared" si="183"/>
        <v>0</v>
      </c>
      <c r="AJ410" s="94">
        <f t="shared" si="183"/>
        <v>0</v>
      </c>
      <c r="AK410" s="94">
        <f t="shared" si="183"/>
        <v>0</v>
      </c>
      <c r="AL410" s="94">
        <f t="shared" si="183"/>
        <v>0</v>
      </c>
      <c r="AM410" s="94">
        <f t="shared" si="183"/>
        <v>0</v>
      </c>
      <c r="AN410" s="94">
        <f t="shared" si="183"/>
        <v>0</v>
      </c>
    </row>
    <row r="411" spans="2:40">
      <c r="B411" s="174" t="s">
        <v>202</v>
      </c>
      <c r="C411" s="36" t="s">
        <v>72</v>
      </c>
      <c r="D411" s="25"/>
      <c r="E411" s="173">
        <v>403.64299999999997</v>
      </c>
      <c r="F411" s="173">
        <v>508.45299999999997</v>
      </c>
      <c r="G411" s="173">
        <v>643.48199999999997</v>
      </c>
      <c r="H411" s="173">
        <v>495.91300000000001</v>
      </c>
      <c r="I411" s="173">
        <v>536.31700000000001</v>
      </c>
      <c r="J411" s="173">
        <v>282.73099999999999</v>
      </c>
      <c r="K411" s="173">
        <v>441.42700000000002</v>
      </c>
      <c r="L411" s="173">
        <v>440.964</v>
      </c>
      <c r="M411" s="173">
        <v>597.40099999999995</v>
      </c>
      <c r="N411" s="173">
        <v>451.37200000000001</v>
      </c>
      <c r="O411" s="173">
        <v>391.84300000000002</v>
      </c>
      <c r="P411" s="173">
        <v>525.66600000000005</v>
      </c>
      <c r="Q411" s="173">
        <v>521.17200000000003</v>
      </c>
      <c r="R411" s="173">
        <v>368.38099999999997</v>
      </c>
      <c r="S411" s="173">
        <v>678.178</v>
      </c>
      <c r="T411" s="173">
        <v>666.48400000000004</v>
      </c>
      <c r="U411" s="173">
        <v>562.90200000000004</v>
      </c>
      <c r="V411" s="173">
        <v>390.108</v>
      </c>
      <c r="W411" s="632">
        <f>V411-285</f>
        <v>105.108</v>
      </c>
      <c r="X411" s="632">
        <f>W410+W411</f>
        <v>280.108</v>
      </c>
      <c r="Y411" s="94">
        <f t="shared" ref="Y411:AN411" si="184">X411</f>
        <v>280.108</v>
      </c>
      <c r="Z411" s="94">
        <f t="shared" si="184"/>
        <v>280.108</v>
      </c>
      <c r="AA411" s="94">
        <f t="shared" si="184"/>
        <v>280.108</v>
      </c>
      <c r="AB411" s="94">
        <f t="shared" si="184"/>
        <v>280.108</v>
      </c>
      <c r="AC411" s="94">
        <f t="shared" si="184"/>
        <v>280.108</v>
      </c>
      <c r="AD411" s="94">
        <f t="shared" si="184"/>
        <v>280.108</v>
      </c>
      <c r="AE411" s="94">
        <f t="shared" si="184"/>
        <v>280.108</v>
      </c>
      <c r="AF411" s="94">
        <f t="shared" si="184"/>
        <v>280.108</v>
      </c>
      <c r="AG411" s="94">
        <f t="shared" si="184"/>
        <v>280.108</v>
      </c>
      <c r="AH411" s="94">
        <f t="shared" si="184"/>
        <v>280.108</v>
      </c>
      <c r="AI411" s="94">
        <f t="shared" si="184"/>
        <v>280.108</v>
      </c>
      <c r="AJ411" s="94">
        <f t="shared" si="184"/>
        <v>280.108</v>
      </c>
      <c r="AK411" s="94">
        <f t="shared" si="184"/>
        <v>280.108</v>
      </c>
      <c r="AL411" s="94">
        <f t="shared" si="184"/>
        <v>280.108</v>
      </c>
      <c r="AM411" s="94">
        <f t="shared" si="184"/>
        <v>280.108</v>
      </c>
      <c r="AN411" s="94">
        <f t="shared" si="184"/>
        <v>280.108</v>
      </c>
    </row>
    <row r="412" spans="2:40">
      <c r="B412" s="174" t="s">
        <v>177</v>
      </c>
      <c r="D412" s="25"/>
      <c r="E412" s="184" t="s">
        <v>177</v>
      </c>
      <c r="F412" s="184" t="s">
        <v>177</v>
      </c>
      <c r="G412" s="184" t="s">
        <v>177</v>
      </c>
      <c r="H412" s="184" t="s">
        <v>177</v>
      </c>
      <c r="I412" s="184" t="s">
        <v>177</v>
      </c>
      <c r="J412" s="184" t="s">
        <v>177</v>
      </c>
      <c r="K412" s="184" t="s">
        <v>177</v>
      </c>
      <c r="L412" s="184" t="s">
        <v>177</v>
      </c>
      <c r="M412" s="184" t="s">
        <v>177</v>
      </c>
      <c r="N412" s="184" t="s">
        <v>177</v>
      </c>
      <c r="O412" s="184" t="s">
        <v>177</v>
      </c>
      <c r="P412" s="184" t="s">
        <v>177</v>
      </c>
      <c r="Q412" s="184" t="s">
        <v>177</v>
      </c>
      <c r="R412" s="184" t="s">
        <v>177</v>
      </c>
      <c r="S412" s="184" t="s">
        <v>177</v>
      </c>
      <c r="T412" s="184" t="s">
        <v>177</v>
      </c>
      <c r="U412" s="184" t="s">
        <v>177</v>
      </c>
      <c r="V412" s="184" t="s">
        <v>177</v>
      </c>
      <c r="W412" s="184" t="s">
        <v>177</v>
      </c>
      <c r="X412" s="184" t="s">
        <v>177</v>
      </c>
      <c r="Y412" s="184" t="s">
        <v>177</v>
      </c>
      <c r="Z412" s="184" t="s">
        <v>177</v>
      </c>
      <c r="AA412" s="184" t="s">
        <v>177</v>
      </c>
      <c r="AB412" s="184" t="s">
        <v>177</v>
      </c>
      <c r="AC412" s="184" t="s">
        <v>177</v>
      </c>
      <c r="AD412" s="184" t="s">
        <v>177</v>
      </c>
      <c r="AE412" s="184" t="s">
        <v>177</v>
      </c>
      <c r="AF412" s="184" t="s">
        <v>177</v>
      </c>
      <c r="AG412" s="184" t="s">
        <v>177</v>
      </c>
      <c r="AH412" s="184" t="s">
        <v>177</v>
      </c>
      <c r="AI412" s="184" t="s">
        <v>177</v>
      </c>
      <c r="AJ412" s="184" t="s">
        <v>177</v>
      </c>
      <c r="AK412" s="184" t="s">
        <v>177</v>
      </c>
      <c r="AL412" s="184" t="s">
        <v>177</v>
      </c>
      <c r="AM412" s="184" t="s">
        <v>177</v>
      </c>
      <c r="AN412" s="184" t="s">
        <v>177</v>
      </c>
    </row>
    <row r="413" spans="2:40">
      <c r="B413" s="151" t="s">
        <v>203</v>
      </c>
      <c r="C413" s="36" t="s">
        <v>72</v>
      </c>
      <c r="D413" s="25"/>
      <c r="E413" s="177">
        <f t="shared" ref="E413:AN413" si="185">SUM(E408:E411)</f>
        <v>509.32099999999997</v>
      </c>
      <c r="F413" s="177">
        <f t="shared" si="185"/>
        <v>508.45299999999997</v>
      </c>
      <c r="G413" s="177">
        <f t="shared" si="185"/>
        <v>643.48199999999997</v>
      </c>
      <c r="H413" s="177">
        <f t="shared" si="185"/>
        <v>545.04</v>
      </c>
      <c r="I413" s="177">
        <f t="shared" si="185"/>
        <v>642.19299999999998</v>
      </c>
      <c r="J413" s="177">
        <f t="shared" si="185"/>
        <v>637.91300000000001</v>
      </c>
      <c r="K413" s="177">
        <f t="shared" si="185"/>
        <v>634.02800000000002</v>
      </c>
      <c r="L413" s="177">
        <f t="shared" si="185"/>
        <v>607.80200000000002</v>
      </c>
      <c r="M413" s="177">
        <f t="shared" si="185"/>
        <v>714.87399999999991</v>
      </c>
      <c r="N413" s="177">
        <f t="shared" si="185"/>
        <v>650.47800000000007</v>
      </c>
      <c r="O413" s="177">
        <f t="shared" si="185"/>
        <v>559.904</v>
      </c>
      <c r="P413" s="177">
        <f t="shared" si="185"/>
        <v>691.36500000000001</v>
      </c>
      <c r="Q413" s="177">
        <f t="shared" si="185"/>
        <v>688.24800000000005</v>
      </c>
      <c r="R413" s="177">
        <f t="shared" si="185"/>
        <v>730.92899999999997</v>
      </c>
      <c r="S413" s="177">
        <f t="shared" si="185"/>
        <v>821.19</v>
      </c>
      <c r="T413" s="177">
        <f t="shared" si="185"/>
        <v>803.447</v>
      </c>
      <c r="U413" s="177">
        <f t="shared" si="185"/>
        <v>713.9380000000001</v>
      </c>
      <c r="V413" s="177">
        <f t="shared" si="185"/>
        <v>719.33600000000001</v>
      </c>
      <c r="W413" s="177">
        <f t="shared" si="185"/>
        <v>434.33600000000001</v>
      </c>
      <c r="X413" s="177">
        <f t="shared" si="185"/>
        <v>434.33600000000001</v>
      </c>
      <c r="Y413" s="177">
        <f t="shared" si="185"/>
        <v>434.33600000000001</v>
      </c>
      <c r="Z413" s="177">
        <f t="shared" si="185"/>
        <v>434.33600000000001</v>
      </c>
      <c r="AA413" s="177">
        <f t="shared" si="185"/>
        <v>434.33600000000001</v>
      </c>
      <c r="AB413" s="177">
        <f t="shared" si="185"/>
        <v>434.33600000000001</v>
      </c>
      <c r="AC413" s="177">
        <f t="shared" si="185"/>
        <v>434.33600000000001</v>
      </c>
      <c r="AD413" s="177">
        <f t="shared" si="185"/>
        <v>434.33600000000001</v>
      </c>
      <c r="AE413" s="177">
        <f t="shared" si="185"/>
        <v>434.33600000000001</v>
      </c>
      <c r="AF413" s="177">
        <f t="shared" si="185"/>
        <v>434.33600000000001</v>
      </c>
      <c r="AG413" s="177">
        <f t="shared" si="185"/>
        <v>434.33600000000001</v>
      </c>
      <c r="AH413" s="177">
        <f t="shared" si="185"/>
        <v>434.33600000000001</v>
      </c>
      <c r="AI413" s="177">
        <f t="shared" si="185"/>
        <v>434.33600000000001</v>
      </c>
      <c r="AJ413" s="177">
        <f t="shared" si="185"/>
        <v>434.33600000000001</v>
      </c>
      <c r="AK413" s="177">
        <f t="shared" si="185"/>
        <v>434.33600000000001</v>
      </c>
      <c r="AL413" s="177">
        <f t="shared" si="185"/>
        <v>434.33600000000001</v>
      </c>
      <c r="AM413" s="177">
        <f t="shared" si="185"/>
        <v>434.33600000000001</v>
      </c>
      <c r="AN413" s="177">
        <f t="shared" si="185"/>
        <v>434.33600000000001</v>
      </c>
    </row>
    <row r="414" spans="2:40">
      <c r="C414" s="1"/>
    </row>
    <row r="415" spans="2:40">
      <c r="B415" s="171" t="s">
        <v>204</v>
      </c>
      <c r="C415" s="1"/>
    </row>
    <row r="416" spans="2:40">
      <c r="B416" s="174" t="s">
        <v>205</v>
      </c>
      <c r="C416" s="36" t="s">
        <v>72</v>
      </c>
      <c r="F416" s="40">
        <f t="shared" ref="F416:AN416" si="186">E418</f>
        <v>509.32099999999997</v>
      </c>
      <c r="G416" s="40">
        <f t="shared" si="186"/>
        <v>508.45299999999997</v>
      </c>
      <c r="H416" s="40">
        <f t="shared" si="186"/>
        <v>643.48199999999997</v>
      </c>
      <c r="I416" s="40">
        <f t="shared" si="186"/>
        <v>545.04</v>
      </c>
      <c r="J416" s="40">
        <f t="shared" si="186"/>
        <v>642.19299999999998</v>
      </c>
      <c r="K416" s="40">
        <f t="shared" si="186"/>
        <v>637.91300000000001</v>
      </c>
      <c r="L416" s="40">
        <f t="shared" si="186"/>
        <v>634.02800000000002</v>
      </c>
      <c r="M416" s="40">
        <f t="shared" si="186"/>
        <v>607.80200000000002</v>
      </c>
      <c r="N416" s="40">
        <f t="shared" si="186"/>
        <v>714.87399999999991</v>
      </c>
      <c r="O416" s="40">
        <f t="shared" si="186"/>
        <v>650.47800000000007</v>
      </c>
      <c r="P416" s="40">
        <f t="shared" si="186"/>
        <v>559.904</v>
      </c>
      <c r="Q416" s="40">
        <f t="shared" si="186"/>
        <v>691.36500000000001</v>
      </c>
      <c r="R416" s="40">
        <f t="shared" si="186"/>
        <v>688.24800000000005</v>
      </c>
      <c r="S416" s="40">
        <f t="shared" si="186"/>
        <v>730.92899999999997</v>
      </c>
      <c r="T416" s="40">
        <f t="shared" si="186"/>
        <v>821.19</v>
      </c>
      <c r="U416" s="40">
        <f t="shared" si="186"/>
        <v>803.447</v>
      </c>
      <c r="V416" s="40">
        <f t="shared" si="186"/>
        <v>713.9380000000001</v>
      </c>
      <c r="W416" s="40">
        <f t="shared" si="186"/>
        <v>719.33600000000001</v>
      </c>
      <c r="X416" s="40">
        <f t="shared" si="186"/>
        <v>434.33600000000001</v>
      </c>
      <c r="Y416" s="40">
        <f t="shared" si="186"/>
        <v>434.33600000000001</v>
      </c>
      <c r="Z416" s="40">
        <f t="shared" si="186"/>
        <v>434.33600000000001</v>
      </c>
      <c r="AA416" s="40">
        <f t="shared" si="186"/>
        <v>434.33600000000001</v>
      </c>
      <c r="AB416" s="40">
        <f t="shared" si="186"/>
        <v>434.33600000000001</v>
      </c>
      <c r="AC416" s="40">
        <f t="shared" si="186"/>
        <v>434.33600000000001</v>
      </c>
      <c r="AD416" s="40">
        <f t="shared" si="186"/>
        <v>434.33600000000001</v>
      </c>
      <c r="AE416" s="40">
        <f t="shared" si="186"/>
        <v>434.33600000000001</v>
      </c>
      <c r="AF416" s="40">
        <f t="shared" si="186"/>
        <v>434.33600000000001</v>
      </c>
      <c r="AG416" s="40">
        <f t="shared" si="186"/>
        <v>434.33600000000001</v>
      </c>
      <c r="AH416" s="40">
        <f t="shared" si="186"/>
        <v>434.33600000000001</v>
      </c>
      <c r="AI416" s="40">
        <f t="shared" si="186"/>
        <v>434.33600000000001</v>
      </c>
      <c r="AJ416" s="40">
        <f t="shared" si="186"/>
        <v>434.33600000000001</v>
      </c>
      <c r="AK416" s="40">
        <f t="shared" si="186"/>
        <v>434.33600000000001</v>
      </c>
      <c r="AL416" s="40">
        <f t="shared" si="186"/>
        <v>434.33600000000001</v>
      </c>
      <c r="AM416" s="40">
        <f t="shared" si="186"/>
        <v>434.33600000000001</v>
      </c>
      <c r="AN416" s="40">
        <f t="shared" si="186"/>
        <v>434.33600000000001</v>
      </c>
    </row>
    <row r="417" spans="2:40">
      <c r="B417" s="179" t="s">
        <v>206</v>
      </c>
      <c r="C417" s="36" t="s">
        <v>72</v>
      </c>
      <c r="F417" s="40">
        <f t="shared" ref="F417:AN417" si="187">F418-F416</f>
        <v>-0.867999999999995</v>
      </c>
      <c r="G417" s="40">
        <f t="shared" si="187"/>
        <v>135.029</v>
      </c>
      <c r="H417" s="40">
        <f t="shared" si="187"/>
        <v>-98.442000000000007</v>
      </c>
      <c r="I417" s="40">
        <f t="shared" si="187"/>
        <v>97.15300000000002</v>
      </c>
      <c r="J417" s="40">
        <f t="shared" si="187"/>
        <v>-4.2799999999999727</v>
      </c>
      <c r="K417" s="40">
        <f t="shared" si="187"/>
        <v>-3.8849999999999909</v>
      </c>
      <c r="L417" s="40">
        <f t="shared" si="187"/>
        <v>-26.225999999999999</v>
      </c>
      <c r="M417" s="40">
        <f t="shared" si="187"/>
        <v>107.07199999999989</v>
      </c>
      <c r="N417" s="40">
        <f t="shared" si="187"/>
        <v>-64.395999999999844</v>
      </c>
      <c r="O417" s="40">
        <f t="shared" si="187"/>
        <v>-90.574000000000069</v>
      </c>
      <c r="P417" s="40">
        <f t="shared" si="187"/>
        <v>131.46100000000001</v>
      </c>
      <c r="Q417" s="40">
        <f t="shared" si="187"/>
        <v>-3.1169999999999618</v>
      </c>
      <c r="R417" s="40">
        <f t="shared" si="187"/>
        <v>42.680999999999926</v>
      </c>
      <c r="S417" s="40">
        <f t="shared" si="187"/>
        <v>90.261000000000081</v>
      </c>
      <c r="T417" s="40">
        <f t="shared" si="187"/>
        <v>-17.743000000000052</v>
      </c>
      <c r="U417" s="40">
        <f t="shared" si="187"/>
        <v>-89.508999999999901</v>
      </c>
      <c r="V417" s="40">
        <f t="shared" si="187"/>
        <v>5.3979999999999109</v>
      </c>
      <c r="W417" s="40">
        <f t="shared" si="187"/>
        <v>-285</v>
      </c>
      <c r="X417" s="40">
        <f t="shared" si="187"/>
        <v>0</v>
      </c>
      <c r="Y417" s="40">
        <f t="shared" si="187"/>
        <v>0</v>
      </c>
      <c r="Z417" s="40">
        <f t="shared" si="187"/>
        <v>0</v>
      </c>
      <c r="AA417" s="40">
        <f t="shared" si="187"/>
        <v>0</v>
      </c>
      <c r="AB417" s="40">
        <f t="shared" si="187"/>
        <v>0</v>
      </c>
      <c r="AC417" s="40">
        <f t="shared" si="187"/>
        <v>0</v>
      </c>
      <c r="AD417" s="40">
        <f t="shared" si="187"/>
        <v>0</v>
      </c>
      <c r="AE417" s="40">
        <f t="shared" si="187"/>
        <v>0</v>
      </c>
      <c r="AF417" s="40">
        <f t="shared" si="187"/>
        <v>0</v>
      </c>
      <c r="AG417" s="40">
        <f t="shared" si="187"/>
        <v>0</v>
      </c>
      <c r="AH417" s="40">
        <f t="shared" si="187"/>
        <v>0</v>
      </c>
      <c r="AI417" s="40">
        <f t="shared" si="187"/>
        <v>0</v>
      </c>
      <c r="AJ417" s="40">
        <f t="shared" si="187"/>
        <v>0</v>
      </c>
      <c r="AK417" s="40">
        <f t="shared" si="187"/>
        <v>0</v>
      </c>
      <c r="AL417" s="40">
        <f t="shared" si="187"/>
        <v>0</v>
      </c>
      <c r="AM417" s="40">
        <f t="shared" si="187"/>
        <v>0</v>
      </c>
      <c r="AN417" s="40">
        <f t="shared" si="187"/>
        <v>0</v>
      </c>
    </row>
    <row r="418" spans="2:40">
      <c r="B418" s="174" t="s">
        <v>207</v>
      </c>
      <c r="C418" s="36" t="s">
        <v>72</v>
      </c>
      <c r="E418" s="40">
        <f t="shared" ref="E418:AN418" si="188">E413</f>
        <v>509.32099999999997</v>
      </c>
      <c r="F418" s="40">
        <f t="shared" si="188"/>
        <v>508.45299999999997</v>
      </c>
      <c r="G418" s="40">
        <f t="shared" si="188"/>
        <v>643.48199999999997</v>
      </c>
      <c r="H418" s="40">
        <f t="shared" si="188"/>
        <v>545.04</v>
      </c>
      <c r="I418" s="40">
        <f t="shared" si="188"/>
        <v>642.19299999999998</v>
      </c>
      <c r="J418" s="40">
        <f t="shared" si="188"/>
        <v>637.91300000000001</v>
      </c>
      <c r="K418" s="40">
        <f t="shared" si="188"/>
        <v>634.02800000000002</v>
      </c>
      <c r="L418" s="40">
        <f t="shared" si="188"/>
        <v>607.80200000000002</v>
      </c>
      <c r="M418" s="40">
        <f t="shared" si="188"/>
        <v>714.87399999999991</v>
      </c>
      <c r="N418" s="40">
        <f t="shared" si="188"/>
        <v>650.47800000000007</v>
      </c>
      <c r="O418" s="40">
        <f t="shared" si="188"/>
        <v>559.904</v>
      </c>
      <c r="P418" s="40">
        <f t="shared" si="188"/>
        <v>691.36500000000001</v>
      </c>
      <c r="Q418" s="40">
        <f t="shared" si="188"/>
        <v>688.24800000000005</v>
      </c>
      <c r="R418" s="40">
        <f t="shared" si="188"/>
        <v>730.92899999999997</v>
      </c>
      <c r="S418" s="40">
        <f t="shared" si="188"/>
        <v>821.19</v>
      </c>
      <c r="T418" s="40">
        <f t="shared" si="188"/>
        <v>803.447</v>
      </c>
      <c r="U418" s="40">
        <f t="shared" si="188"/>
        <v>713.9380000000001</v>
      </c>
      <c r="V418" s="40">
        <f t="shared" si="188"/>
        <v>719.33600000000001</v>
      </c>
      <c r="W418" s="40">
        <f t="shared" si="188"/>
        <v>434.33600000000001</v>
      </c>
      <c r="X418" s="40">
        <f t="shared" si="188"/>
        <v>434.33600000000001</v>
      </c>
      <c r="Y418" s="40">
        <f t="shared" si="188"/>
        <v>434.33600000000001</v>
      </c>
      <c r="Z418" s="40">
        <f t="shared" si="188"/>
        <v>434.33600000000001</v>
      </c>
      <c r="AA418" s="40">
        <f t="shared" si="188"/>
        <v>434.33600000000001</v>
      </c>
      <c r="AB418" s="40">
        <f t="shared" si="188"/>
        <v>434.33600000000001</v>
      </c>
      <c r="AC418" s="40">
        <f t="shared" si="188"/>
        <v>434.33600000000001</v>
      </c>
      <c r="AD418" s="40">
        <f t="shared" si="188"/>
        <v>434.33600000000001</v>
      </c>
      <c r="AE418" s="40">
        <f t="shared" si="188"/>
        <v>434.33600000000001</v>
      </c>
      <c r="AF418" s="40">
        <f t="shared" si="188"/>
        <v>434.33600000000001</v>
      </c>
      <c r="AG418" s="40">
        <f t="shared" si="188"/>
        <v>434.33600000000001</v>
      </c>
      <c r="AH418" s="40">
        <f t="shared" si="188"/>
        <v>434.33600000000001</v>
      </c>
      <c r="AI418" s="40">
        <f t="shared" si="188"/>
        <v>434.33600000000001</v>
      </c>
      <c r="AJ418" s="40">
        <f t="shared" si="188"/>
        <v>434.33600000000001</v>
      </c>
      <c r="AK418" s="40">
        <f t="shared" si="188"/>
        <v>434.33600000000001</v>
      </c>
      <c r="AL418" s="40">
        <f t="shared" si="188"/>
        <v>434.33600000000001</v>
      </c>
      <c r="AM418" s="40">
        <f t="shared" si="188"/>
        <v>434.33600000000001</v>
      </c>
      <c r="AN418" s="40">
        <f t="shared" si="188"/>
        <v>434.33600000000001</v>
      </c>
    </row>
    <row r="419" spans="2:40">
      <c r="B419" s="151" t="s">
        <v>208</v>
      </c>
      <c r="C419" s="36" t="s">
        <v>72</v>
      </c>
      <c r="F419" s="40">
        <f t="shared" ref="F419:AN419" si="189">AVERAGE(F418,F416)</f>
        <v>508.88699999999994</v>
      </c>
      <c r="G419" s="40">
        <f t="shared" si="189"/>
        <v>575.96749999999997</v>
      </c>
      <c r="H419" s="40">
        <f t="shared" si="189"/>
        <v>594.26099999999997</v>
      </c>
      <c r="I419" s="40">
        <f t="shared" si="189"/>
        <v>593.61649999999997</v>
      </c>
      <c r="J419" s="40">
        <f t="shared" si="189"/>
        <v>640.053</v>
      </c>
      <c r="K419" s="40">
        <f t="shared" si="189"/>
        <v>635.97050000000002</v>
      </c>
      <c r="L419" s="40">
        <f t="shared" si="189"/>
        <v>620.91499999999996</v>
      </c>
      <c r="M419" s="40">
        <f t="shared" si="189"/>
        <v>661.33799999999997</v>
      </c>
      <c r="N419" s="40">
        <f t="shared" si="189"/>
        <v>682.67599999999993</v>
      </c>
      <c r="O419" s="40">
        <f t="shared" si="189"/>
        <v>605.19100000000003</v>
      </c>
      <c r="P419" s="40">
        <f t="shared" si="189"/>
        <v>625.6345</v>
      </c>
      <c r="Q419" s="40">
        <f t="shared" si="189"/>
        <v>689.80650000000003</v>
      </c>
      <c r="R419" s="40">
        <f t="shared" si="189"/>
        <v>709.58850000000007</v>
      </c>
      <c r="S419" s="40">
        <f t="shared" si="189"/>
        <v>776.05950000000007</v>
      </c>
      <c r="T419" s="40">
        <f t="shared" si="189"/>
        <v>812.31850000000009</v>
      </c>
      <c r="U419" s="40">
        <f t="shared" si="189"/>
        <v>758.69250000000011</v>
      </c>
      <c r="V419" s="40">
        <f t="shared" si="189"/>
        <v>716.63700000000006</v>
      </c>
      <c r="W419" s="40">
        <f t="shared" si="189"/>
        <v>576.83600000000001</v>
      </c>
      <c r="X419" s="40">
        <f t="shared" si="189"/>
        <v>434.33600000000001</v>
      </c>
      <c r="Y419" s="40">
        <f t="shared" si="189"/>
        <v>434.33600000000001</v>
      </c>
      <c r="Z419" s="40">
        <f t="shared" si="189"/>
        <v>434.33600000000001</v>
      </c>
      <c r="AA419" s="40">
        <f t="shared" si="189"/>
        <v>434.33600000000001</v>
      </c>
      <c r="AB419" s="40">
        <f t="shared" si="189"/>
        <v>434.33600000000001</v>
      </c>
      <c r="AC419" s="40">
        <f t="shared" si="189"/>
        <v>434.33600000000001</v>
      </c>
      <c r="AD419" s="40">
        <f t="shared" si="189"/>
        <v>434.33600000000001</v>
      </c>
      <c r="AE419" s="40">
        <f t="shared" si="189"/>
        <v>434.33600000000001</v>
      </c>
      <c r="AF419" s="40">
        <f t="shared" si="189"/>
        <v>434.33600000000001</v>
      </c>
      <c r="AG419" s="40">
        <f t="shared" si="189"/>
        <v>434.33600000000001</v>
      </c>
      <c r="AH419" s="40">
        <f t="shared" si="189"/>
        <v>434.33600000000001</v>
      </c>
      <c r="AI419" s="40">
        <f t="shared" si="189"/>
        <v>434.33600000000001</v>
      </c>
      <c r="AJ419" s="40">
        <f t="shared" si="189"/>
        <v>434.33600000000001</v>
      </c>
      <c r="AK419" s="40">
        <f t="shared" si="189"/>
        <v>434.33600000000001</v>
      </c>
      <c r="AL419" s="40">
        <f t="shared" si="189"/>
        <v>434.33600000000001</v>
      </c>
      <c r="AM419" s="40">
        <f t="shared" si="189"/>
        <v>434.33600000000001</v>
      </c>
      <c r="AN419" s="40">
        <f t="shared" si="189"/>
        <v>434.33600000000001</v>
      </c>
    </row>
    <row r="420" spans="2:40">
      <c r="B420" s="49"/>
      <c r="D420" s="25"/>
      <c r="E420" s="173"/>
      <c r="F420" s="173"/>
      <c r="G420" s="173"/>
      <c r="H420" s="173"/>
      <c r="I420" s="173"/>
      <c r="J420" s="173"/>
      <c r="K420" s="173"/>
      <c r="L420" s="173"/>
      <c r="M420" s="173"/>
      <c r="N420" s="173"/>
      <c r="O420" s="173"/>
      <c r="P420" s="173"/>
      <c r="R420" s="173"/>
    </row>
    <row r="421" spans="2:40">
      <c r="B421" s="171" t="s">
        <v>209</v>
      </c>
      <c r="D421" s="25"/>
      <c r="E421" s="173"/>
      <c r="F421" s="173"/>
      <c r="G421" s="173"/>
      <c r="H421" s="173"/>
      <c r="I421" s="173"/>
      <c r="J421" s="173"/>
      <c r="K421" s="173"/>
      <c r="L421" s="173"/>
      <c r="M421" s="173"/>
      <c r="N421" s="173"/>
      <c r="O421" s="173"/>
      <c r="P421" s="173"/>
      <c r="R421" s="173"/>
    </row>
    <row r="422" spans="2:40">
      <c r="B422" s="179" t="s">
        <v>210</v>
      </c>
      <c r="C422" s="36" t="s">
        <v>72</v>
      </c>
      <c r="D422" s="25"/>
      <c r="E422" s="173"/>
      <c r="F422" s="173"/>
      <c r="G422" s="173"/>
      <c r="H422" s="173"/>
      <c r="I422" s="173"/>
      <c r="J422" s="173"/>
      <c r="K422" s="211">
        <v>-1.119</v>
      </c>
      <c r="L422" s="211">
        <f>-2.879-K422</f>
        <v>-1.76</v>
      </c>
      <c r="M422" s="211">
        <v>-2.794</v>
      </c>
      <c r="N422" s="211">
        <f>-6.169-M422</f>
        <v>-3.3749999999999996</v>
      </c>
      <c r="O422" s="173">
        <v>-3.22</v>
      </c>
      <c r="P422" s="173">
        <f>-6.378-O422</f>
        <v>-3.1579999999999999</v>
      </c>
      <c r="Q422" s="173">
        <v>-3.2989999999999999</v>
      </c>
      <c r="R422" s="173">
        <f>-6.523-Q422</f>
        <v>-3.2239999999999998</v>
      </c>
      <c r="S422" s="173">
        <v>-3.6349999999999998</v>
      </c>
      <c r="T422" s="173">
        <f>-7.483-S422</f>
        <v>-3.8479999999999999</v>
      </c>
      <c r="U422" s="173">
        <v>-3.4820000000000002</v>
      </c>
      <c r="V422" s="173">
        <f>-8.212-U422</f>
        <v>-4.7299999999999995</v>
      </c>
      <c r="W422" s="40">
        <f t="shared" ref="W422:AN422" si="190">(W408+W409+V408+V409)/2*-W425*(W$13/365)</f>
        <v>-4.4704992876712337</v>
      </c>
      <c r="X422" s="40">
        <f t="shared" si="190"/>
        <v>-4.3976107123287678</v>
      </c>
      <c r="Y422" s="40">
        <f t="shared" si="190"/>
        <v>-4.4704992876712337</v>
      </c>
      <c r="Z422" s="40">
        <f t="shared" si="190"/>
        <v>-4.4219069041095898</v>
      </c>
      <c r="AA422" s="40">
        <f t="shared" si="190"/>
        <v>-4.4704992876712337</v>
      </c>
      <c r="AB422" s="40">
        <f t="shared" si="190"/>
        <v>-4.3976107123287678</v>
      </c>
      <c r="AC422" s="40">
        <f t="shared" si="190"/>
        <v>-4.4704992876712337</v>
      </c>
      <c r="AD422" s="40">
        <f t="shared" si="190"/>
        <v>-4.3976107123287678</v>
      </c>
      <c r="AE422" s="40">
        <f t="shared" si="190"/>
        <v>-4.4704992876712337</v>
      </c>
      <c r="AF422" s="40">
        <f t="shared" si="190"/>
        <v>-4.3976107123287678</v>
      </c>
      <c r="AG422" s="40">
        <f t="shared" si="190"/>
        <v>-4.4704992876712337</v>
      </c>
      <c r="AH422" s="40">
        <f t="shared" si="190"/>
        <v>-4.4219069041095898</v>
      </c>
      <c r="AI422" s="40">
        <f t="shared" si="190"/>
        <v>-4.4704992876712337</v>
      </c>
      <c r="AJ422" s="40">
        <f t="shared" si="190"/>
        <v>-4.3976107123287678</v>
      </c>
      <c r="AK422" s="40">
        <f t="shared" si="190"/>
        <v>-4.4704992876712337</v>
      </c>
      <c r="AL422" s="40">
        <f t="shared" si="190"/>
        <v>-4.3976107123287678</v>
      </c>
      <c r="AM422" s="40">
        <f t="shared" si="190"/>
        <v>-4.4704992876712337</v>
      </c>
      <c r="AN422" s="40">
        <f t="shared" si="190"/>
        <v>-4.3976107123287678</v>
      </c>
    </row>
    <row r="423" spans="2:40">
      <c r="B423" s="179" t="s">
        <v>209</v>
      </c>
      <c r="C423" s="36" t="s">
        <v>72</v>
      </c>
      <c r="D423" s="25"/>
      <c r="E423" s="173">
        <v>-15.083</v>
      </c>
      <c r="F423" s="173">
        <f>-35.449-E423</f>
        <v>-20.366</v>
      </c>
      <c r="G423" s="173">
        <v>-19.405000000000001</v>
      </c>
      <c r="H423" s="173">
        <f>-37.787-G423</f>
        <v>-18.381999999999998</v>
      </c>
      <c r="I423" s="173">
        <v>-21.484999999999999</v>
      </c>
      <c r="J423" s="173">
        <f>-41.444-I423</f>
        <v>-19.959000000000003</v>
      </c>
      <c r="K423" s="211">
        <v>-20.692</v>
      </c>
      <c r="L423" s="211">
        <f>-35.857-K423</f>
        <v>-15.164999999999999</v>
      </c>
      <c r="M423" s="211">
        <v>-15.43</v>
      </c>
      <c r="N423" s="211">
        <f>-25.735-M423</f>
        <v>-10.305</v>
      </c>
      <c r="O423" s="211">
        <v>-18</v>
      </c>
      <c r="P423" s="173">
        <f>-36.881-O423</f>
        <v>-18.881</v>
      </c>
      <c r="Q423" s="211">
        <v>-20</v>
      </c>
      <c r="R423" s="173">
        <f>-47.739-Q423</f>
        <v>-27.738999999999997</v>
      </c>
      <c r="S423" s="211">
        <v>-26</v>
      </c>
      <c r="T423" s="173">
        <f>-52.926-S423</f>
        <v>-26.926000000000002</v>
      </c>
      <c r="U423" s="173">
        <v>-18.23</v>
      </c>
      <c r="V423" s="173">
        <f>-47.251-U423</f>
        <v>-29.020999999999997</v>
      </c>
      <c r="W423" s="40">
        <f t="shared" ref="W423:AN423" si="191">(W410+W411+V410+V411)/2*-W425*(W$13/365)</f>
        <v>-12.249842849315071</v>
      </c>
      <c r="X423" s="40">
        <f t="shared" si="191"/>
        <v>-7.9869150958904118</v>
      </c>
      <c r="Y423" s="40">
        <f t="shared" si="191"/>
        <v>-8.1192949041095908</v>
      </c>
      <c r="Z423" s="40">
        <f t="shared" si="191"/>
        <v>-8.0310416986301369</v>
      </c>
      <c r="AA423" s="40">
        <f t="shared" si="191"/>
        <v>-8.1192949041095908</v>
      </c>
      <c r="AB423" s="40">
        <f t="shared" si="191"/>
        <v>-7.9869150958904118</v>
      </c>
      <c r="AC423" s="40">
        <f t="shared" si="191"/>
        <v>-8.1192949041095908</v>
      </c>
      <c r="AD423" s="40">
        <f t="shared" si="191"/>
        <v>-7.9869150958904118</v>
      </c>
      <c r="AE423" s="40">
        <f t="shared" si="191"/>
        <v>-8.1192949041095908</v>
      </c>
      <c r="AF423" s="40">
        <f t="shared" si="191"/>
        <v>-7.9869150958904118</v>
      </c>
      <c r="AG423" s="40">
        <f t="shared" si="191"/>
        <v>-8.1192949041095908</v>
      </c>
      <c r="AH423" s="40">
        <f t="shared" si="191"/>
        <v>-8.0310416986301369</v>
      </c>
      <c r="AI423" s="40">
        <f t="shared" si="191"/>
        <v>-8.1192949041095908</v>
      </c>
      <c r="AJ423" s="40">
        <f t="shared" si="191"/>
        <v>-7.9869150958904118</v>
      </c>
      <c r="AK423" s="40">
        <f t="shared" si="191"/>
        <v>-8.1192949041095908</v>
      </c>
      <c r="AL423" s="40">
        <f t="shared" si="191"/>
        <v>-7.9869150958904118</v>
      </c>
      <c r="AM423" s="40">
        <f t="shared" si="191"/>
        <v>-8.1192949041095908</v>
      </c>
      <c r="AN423" s="40">
        <f t="shared" si="191"/>
        <v>-7.9869150958904118</v>
      </c>
    </row>
    <row r="424" spans="2:40">
      <c r="B424" s="174" t="s">
        <v>211</v>
      </c>
      <c r="C424" s="36" t="s">
        <v>72</v>
      </c>
      <c r="D424" s="25"/>
      <c r="E424" s="40">
        <f t="shared" ref="E424:AN424" si="192">SUM(E422:E423)</f>
        <v>-15.083</v>
      </c>
      <c r="F424" s="40">
        <f t="shared" si="192"/>
        <v>-20.366</v>
      </c>
      <c r="G424" s="40">
        <f t="shared" si="192"/>
        <v>-19.405000000000001</v>
      </c>
      <c r="H424" s="40">
        <f t="shared" si="192"/>
        <v>-18.381999999999998</v>
      </c>
      <c r="I424" s="40">
        <f t="shared" si="192"/>
        <v>-21.484999999999999</v>
      </c>
      <c r="J424" s="40">
        <f t="shared" si="192"/>
        <v>-19.959000000000003</v>
      </c>
      <c r="K424" s="40">
        <f t="shared" si="192"/>
        <v>-21.811</v>
      </c>
      <c r="L424" s="40">
        <f t="shared" si="192"/>
        <v>-16.925000000000001</v>
      </c>
      <c r="M424" s="40">
        <f t="shared" si="192"/>
        <v>-18.224</v>
      </c>
      <c r="N424" s="40">
        <f t="shared" si="192"/>
        <v>-13.68</v>
      </c>
      <c r="O424" s="40">
        <f t="shared" si="192"/>
        <v>-21.22</v>
      </c>
      <c r="P424" s="40">
        <f t="shared" si="192"/>
        <v>-22.039000000000001</v>
      </c>
      <c r="Q424" s="40">
        <f t="shared" si="192"/>
        <v>-23.298999999999999</v>
      </c>
      <c r="R424" s="40">
        <f t="shared" si="192"/>
        <v>-30.962999999999997</v>
      </c>
      <c r="S424" s="40">
        <f t="shared" si="192"/>
        <v>-29.634999999999998</v>
      </c>
      <c r="T424" s="40">
        <f t="shared" si="192"/>
        <v>-30.774000000000001</v>
      </c>
      <c r="U424" s="40">
        <f t="shared" si="192"/>
        <v>-21.712</v>
      </c>
      <c r="V424" s="40">
        <f t="shared" si="192"/>
        <v>-33.750999999999998</v>
      </c>
      <c r="W424" s="40">
        <f t="shared" si="192"/>
        <v>-16.720342136986304</v>
      </c>
      <c r="X424" s="40">
        <f t="shared" si="192"/>
        <v>-12.38452580821918</v>
      </c>
      <c r="Y424" s="40">
        <f t="shared" si="192"/>
        <v>-12.589794191780825</v>
      </c>
      <c r="Z424" s="40">
        <f t="shared" si="192"/>
        <v>-12.452948602739728</v>
      </c>
      <c r="AA424" s="40">
        <f t="shared" si="192"/>
        <v>-12.589794191780825</v>
      </c>
      <c r="AB424" s="40">
        <f t="shared" si="192"/>
        <v>-12.38452580821918</v>
      </c>
      <c r="AC424" s="40">
        <f t="shared" si="192"/>
        <v>-12.589794191780825</v>
      </c>
      <c r="AD424" s="40">
        <f t="shared" si="192"/>
        <v>-12.38452580821918</v>
      </c>
      <c r="AE424" s="40">
        <f t="shared" si="192"/>
        <v>-12.589794191780825</v>
      </c>
      <c r="AF424" s="40">
        <f t="shared" si="192"/>
        <v>-12.38452580821918</v>
      </c>
      <c r="AG424" s="40">
        <f t="shared" si="192"/>
        <v>-12.589794191780825</v>
      </c>
      <c r="AH424" s="40">
        <f t="shared" si="192"/>
        <v>-12.452948602739728</v>
      </c>
      <c r="AI424" s="40">
        <f t="shared" si="192"/>
        <v>-12.589794191780825</v>
      </c>
      <c r="AJ424" s="40">
        <f t="shared" si="192"/>
        <v>-12.38452580821918</v>
      </c>
      <c r="AK424" s="40">
        <f t="shared" si="192"/>
        <v>-12.589794191780825</v>
      </c>
      <c r="AL424" s="40">
        <f t="shared" si="192"/>
        <v>-12.38452580821918</v>
      </c>
      <c r="AM424" s="40">
        <f t="shared" si="192"/>
        <v>-12.589794191780825</v>
      </c>
      <c r="AN424" s="40">
        <f t="shared" si="192"/>
        <v>-12.38452580821918</v>
      </c>
    </row>
    <row r="425" spans="2:40">
      <c r="B425" s="151" t="s">
        <v>212</v>
      </c>
      <c r="C425" s="36" t="s">
        <v>88</v>
      </c>
      <c r="D425" s="25"/>
      <c r="E425" s="173"/>
      <c r="F425" s="178">
        <f t="shared" ref="F425:V425" si="193">-F424/F419*(365/F$13)</f>
        <v>8.0704671196257183E-2</v>
      </c>
      <c r="G425" s="178">
        <f t="shared" si="193"/>
        <v>6.6832962155737585E-2</v>
      </c>
      <c r="H425" s="178">
        <f t="shared" si="193"/>
        <v>6.2377766727328851E-2</v>
      </c>
      <c r="I425" s="178">
        <f t="shared" si="193"/>
        <v>7.1796692118491517E-2</v>
      </c>
      <c r="J425" s="178">
        <f t="shared" si="193"/>
        <v>6.253804737289699E-2</v>
      </c>
      <c r="K425" s="178">
        <f t="shared" si="193"/>
        <v>6.8032064175249027E-2</v>
      </c>
      <c r="L425" s="178">
        <f t="shared" si="193"/>
        <v>5.4968111354820645E-2</v>
      </c>
      <c r="M425" s="178">
        <f t="shared" si="193"/>
        <v>5.4663227525436904E-2</v>
      </c>
      <c r="N425" s="178">
        <f t="shared" si="193"/>
        <v>4.040971168093168E-2</v>
      </c>
      <c r="O425" s="178">
        <f t="shared" si="193"/>
        <v>6.9554936770590492E-2</v>
      </c>
      <c r="P425" s="178">
        <f t="shared" si="193"/>
        <v>7.1037142761177147E-2</v>
      </c>
      <c r="Q425" s="178">
        <f t="shared" si="193"/>
        <v>6.7001579428433919E-2</v>
      </c>
      <c r="R425" s="178">
        <f t="shared" si="193"/>
        <v>8.7510051774551526E-2</v>
      </c>
      <c r="S425" s="178">
        <f t="shared" si="193"/>
        <v>7.5750403998886565E-2</v>
      </c>
      <c r="T425" s="178">
        <f t="shared" si="193"/>
        <v>7.6396224262210627E-2</v>
      </c>
      <c r="U425" s="178">
        <f t="shared" si="193"/>
        <v>5.6768717233925459E-2</v>
      </c>
      <c r="V425" s="178">
        <f t="shared" si="193"/>
        <v>9.4973339137916404E-2</v>
      </c>
      <c r="W425" s="92">
        <v>5.7500000000000002E-2</v>
      </c>
      <c r="X425" s="92">
        <v>5.7500000000000002E-2</v>
      </c>
      <c r="Y425" s="92">
        <v>5.7500000000000002E-2</v>
      </c>
      <c r="Z425" s="92">
        <v>5.7500000000000002E-2</v>
      </c>
      <c r="AA425" s="92">
        <v>5.7500000000000002E-2</v>
      </c>
      <c r="AB425" s="92">
        <v>5.7500000000000002E-2</v>
      </c>
      <c r="AC425" s="92">
        <v>5.7500000000000002E-2</v>
      </c>
      <c r="AD425" s="92">
        <v>5.7500000000000002E-2</v>
      </c>
      <c r="AE425" s="92">
        <v>5.7500000000000002E-2</v>
      </c>
      <c r="AF425" s="92">
        <v>5.7500000000000002E-2</v>
      </c>
      <c r="AG425" s="92">
        <v>5.7500000000000002E-2</v>
      </c>
      <c r="AH425" s="92">
        <v>5.7500000000000002E-2</v>
      </c>
      <c r="AI425" s="92">
        <v>5.7500000000000002E-2</v>
      </c>
      <c r="AJ425" s="92">
        <v>5.7500000000000002E-2</v>
      </c>
      <c r="AK425" s="92">
        <v>5.7500000000000002E-2</v>
      </c>
      <c r="AL425" s="92">
        <v>5.7500000000000002E-2</v>
      </c>
      <c r="AM425" s="92">
        <v>5.7500000000000002E-2</v>
      </c>
      <c r="AN425" s="92">
        <v>5.7500000000000002E-2</v>
      </c>
    </row>
    <row r="426" spans="2:40">
      <c r="D426" s="25"/>
      <c r="E426" s="173"/>
      <c r="F426" s="173"/>
      <c r="G426" s="173"/>
      <c r="H426" s="173"/>
      <c r="I426" s="173"/>
      <c r="J426" s="173"/>
      <c r="K426" s="173"/>
      <c r="L426" s="173"/>
      <c r="M426" s="173"/>
      <c r="N426" s="173"/>
      <c r="O426" s="173"/>
      <c r="P426" s="173"/>
      <c r="R426" s="173"/>
    </row>
    <row r="427" spans="2:40">
      <c r="B427" s="171" t="s">
        <v>213</v>
      </c>
      <c r="C427" s="1"/>
    </row>
    <row r="428" spans="2:40">
      <c r="B428" s="174" t="s">
        <v>205</v>
      </c>
      <c r="C428" s="36" t="s">
        <v>72</v>
      </c>
      <c r="E428" s="177"/>
      <c r="F428" s="177"/>
      <c r="G428" s="177">
        <f t="shared" ref="G428:AN428" si="194">G569</f>
        <v>75.954999999999998</v>
      </c>
      <c r="H428" s="177">
        <f t="shared" si="194"/>
        <v>59.94</v>
      </c>
      <c r="I428" s="177">
        <f t="shared" si="194"/>
        <v>41.573999999999998</v>
      </c>
      <c r="J428" s="177">
        <f t="shared" si="194"/>
        <v>52.835000000000001</v>
      </c>
      <c r="K428" s="177">
        <f t="shared" si="194"/>
        <v>54.223999999999997</v>
      </c>
      <c r="L428" s="177">
        <f t="shared" si="194"/>
        <v>58.076999999999998</v>
      </c>
      <c r="M428" s="177">
        <f t="shared" si="194"/>
        <v>49.94</v>
      </c>
      <c r="N428" s="177">
        <f t="shared" si="194"/>
        <v>74.867000000000004</v>
      </c>
      <c r="O428" s="177">
        <f t="shared" si="194"/>
        <v>48.698</v>
      </c>
      <c r="P428" s="177">
        <f t="shared" si="194"/>
        <v>136.524</v>
      </c>
      <c r="Q428" s="177">
        <f t="shared" si="194"/>
        <v>245.01300000000001</v>
      </c>
      <c r="R428" s="177">
        <f t="shared" si="194"/>
        <v>188.21600000000001</v>
      </c>
      <c r="S428" s="177">
        <f t="shared" si="194"/>
        <v>60.536000000000001</v>
      </c>
      <c r="T428" s="177">
        <f t="shared" si="194"/>
        <v>88.649000000000015</v>
      </c>
      <c r="U428" s="177">
        <f t="shared" si="194"/>
        <v>51.499000000000002</v>
      </c>
      <c r="V428" s="177">
        <f t="shared" si="194"/>
        <v>72.533000000000001</v>
      </c>
      <c r="W428" s="177">
        <f t="shared" si="194"/>
        <v>84.415000000000006</v>
      </c>
      <c r="X428" s="177">
        <f t="shared" si="194"/>
        <v>74.218116468655822</v>
      </c>
      <c r="Y428" s="177">
        <f t="shared" si="194"/>
        <v>93.144162447576775</v>
      </c>
      <c r="Z428" s="177">
        <f t="shared" si="194"/>
        <v>113.57182374343211</v>
      </c>
      <c r="AA428" s="177">
        <f t="shared" si="194"/>
        <v>156.07660339506049</v>
      </c>
      <c r="AB428" s="177">
        <f t="shared" si="194"/>
        <v>199.1708457295075</v>
      </c>
      <c r="AC428" s="177">
        <f t="shared" si="194"/>
        <v>248.56367121330823</v>
      </c>
      <c r="AD428" s="177">
        <f t="shared" si="194"/>
        <v>303.0122668765087</v>
      </c>
      <c r="AE428" s="177">
        <f t="shared" si="194"/>
        <v>354.96929937594575</v>
      </c>
      <c r="AF428" s="177">
        <f t="shared" si="194"/>
        <v>378.22268453480046</v>
      </c>
      <c r="AG428" s="177">
        <f t="shared" si="194"/>
        <v>395.36479726168852</v>
      </c>
      <c r="AH428" s="177">
        <f t="shared" si="194"/>
        <v>417.41718706526871</v>
      </c>
      <c r="AI428" s="177">
        <f t="shared" si="194"/>
        <v>432.5484531118891</v>
      </c>
      <c r="AJ428" s="177">
        <f t="shared" si="194"/>
        <v>454.49931471753291</v>
      </c>
      <c r="AK428" s="177">
        <f t="shared" si="194"/>
        <v>469.15869326862799</v>
      </c>
      <c r="AL428" s="177">
        <f t="shared" si="194"/>
        <v>487.97412698080001</v>
      </c>
      <c r="AM428" s="177">
        <f t="shared" si="194"/>
        <v>501.36315085215699</v>
      </c>
      <c r="AN428" s="177">
        <f t="shared" si="194"/>
        <v>519.31530018710475</v>
      </c>
    </row>
    <row r="429" spans="2:40">
      <c r="B429" s="174" t="s">
        <v>207</v>
      </c>
      <c r="C429" s="36" t="s">
        <v>72</v>
      </c>
      <c r="E429" s="177"/>
      <c r="F429" s="177"/>
      <c r="G429" s="177">
        <f t="shared" ref="G429:AN429" si="195">G573</f>
        <v>59.94</v>
      </c>
      <c r="H429" s="177">
        <f t="shared" si="195"/>
        <v>41.573999999999998</v>
      </c>
      <c r="I429" s="177">
        <f t="shared" si="195"/>
        <v>52.835000000000001</v>
      </c>
      <c r="J429" s="177">
        <f t="shared" si="195"/>
        <v>54.223999999999997</v>
      </c>
      <c r="K429" s="177">
        <f t="shared" si="195"/>
        <v>58.076999999999998</v>
      </c>
      <c r="L429" s="177">
        <f t="shared" si="195"/>
        <v>49.94</v>
      </c>
      <c r="M429" s="177">
        <f t="shared" si="195"/>
        <v>74.867000000000004</v>
      </c>
      <c r="N429" s="177">
        <f t="shared" si="195"/>
        <v>48.698</v>
      </c>
      <c r="O429" s="177">
        <f t="shared" si="195"/>
        <v>136.524</v>
      </c>
      <c r="P429" s="177">
        <f t="shared" si="195"/>
        <v>245.01300000000001</v>
      </c>
      <c r="Q429" s="177">
        <f t="shared" si="195"/>
        <v>188.21600000000001</v>
      </c>
      <c r="R429" s="177">
        <f t="shared" si="195"/>
        <v>60.536000000000001</v>
      </c>
      <c r="S429" s="177">
        <f t="shared" si="195"/>
        <v>88.649000000000015</v>
      </c>
      <c r="T429" s="177">
        <f t="shared" si="195"/>
        <v>51.499000000000002</v>
      </c>
      <c r="U429" s="177">
        <f t="shared" si="195"/>
        <v>72.533000000000001</v>
      </c>
      <c r="V429" s="177">
        <f t="shared" si="195"/>
        <v>84.415000000000006</v>
      </c>
      <c r="W429" s="177">
        <f t="shared" si="195"/>
        <v>74.218116468655822</v>
      </c>
      <c r="X429" s="177">
        <f t="shared" si="195"/>
        <v>93.144162447576775</v>
      </c>
      <c r="Y429" s="177">
        <f t="shared" si="195"/>
        <v>113.57182374343211</v>
      </c>
      <c r="Z429" s="177">
        <f t="shared" si="195"/>
        <v>156.07660339506049</v>
      </c>
      <c r="AA429" s="177">
        <f t="shared" si="195"/>
        <v>199.1708457295075</v>
      </c>
      <c r="AB429" s="177">
        <f t="shared" si="195"/>
        <v>248.56367121330823</v>
      </c>
      <c r="AC429" s="177">
        <f t="shared" si="195"/>
        <v>303.0122668765087</v>
      </c>
      <c r="AD429" s="177">
        <f t="shared" si="195"/>
        <v>354.96929937594575</v>
      </c>
      <c r="AE429" s="177">
        <f t="shared" si="195"/>
        <v>378.22268453480046</v>
      </c>
      <c r="AF429" s="177">
        <f t="shared" si="195"/>
        <v>395.36479726168852</v>
      </c>
      <c r="AG429" s="177">
        <f t="shared" si="195"/>
        <v>417.41718706526871</v>
      </c>
      <c r="AH429" s="177">
        <f t="shared" si="195"/>
        <v>432.5484531118891</v>
      </c>
      <c r="AI429" s="177">
        <f t="shared" si="195"/>
        <v>454.49931471753291</v>
      </c>
      <c r="AJ429" s="177">
        <f t="shared" si="195"/>
        <v>469.15869326862799</v>
      </c>
      <c r="AK429" s="177">
        <f t="shared" si="195"/>
        <v>487.97412698080001</v>
      </c>
      <c r="AL429" s="177">
        <f t="shared" si="195"/>
        <v>501.36315085215699</v>
      </c>
      <c r="AM429" s="177">
        <f t="shared" si="195"/>
        <v>519.31530018710475</v>
      </c>
      <c r="AN429" s="177">
        <f t="shared" si="195"/>
        <v>531.47705479238664</v>
      </c>
    </row>
    <row r="430" spans="2:40">
      <c r="B430" s="151" t="s">
        <v>208</v>
      </c>
      <c r="C430" s="36" t="s">
        <v>72</v>
      </c>
      <c r="E430" s="177"/>
      <c r="F430" s="177"/>
      <c r="G430" s="177">
        <f t="shared" ref="G430:AN430" si="196">AVERAGE(G429,G428)</f>
        <v>67.947499999999991</v>
      </c>
      <c r="H430" s="177">
        <f t="shared" si="196"/>
        <v>50.756999999999998</v>
      </c>
      <c r="I430" s="177">
        <f t="shared" si="196"/>
        <v>47.204499999999996</v>
      </c>
      <c r="J430" s="177">
        <f t="shared" si="196"/>
        <v>53.529499999999999</v>
      </c>
      <c r="K430" s="177">
        <f t="shared" si="196"/>
        <v>56.150499999999994</v>
      </c>
      <c r="L430" s="177">
        <f t="shared" si="196"/>
        <v>54.008499999999998</v>
      </c>
      <c r="M430" s="177">
        <f t="shared" si="196"/>
        <v>62.403500000000001</v>
      </c>
      <c r="N430" s="177">
        <f t="shared" si="196"/>
        <v>61.782499999999999</v>
      </c>
      <c r="O430" s="177">
        <f t="shared" si="196"/>
        <v>92.611000000000004</v>
      </c>
      <c r="P430" s="177">
        <f t="shared" si="196"/>
        <v>190.76850000000002</v>
      </c>
      <c r="Q430" s="177">
        <f t="shared" si="196"/>
        <v>216.61450000000002</v>
      </c>
      <c r="R430" s="177">
        <f t="shared" si="196"/>
        <v>124.376</v>
      </c>
      <c r="S430" s="177">
        <f t="shared" si="196"/>
        <v>74.592500000000001</v>
      </c>
      <c r="T430" s="177">
        <f t="shared" si="196"/>
        <v>70.074000000000012</v>
      </c>
      <c r="U430" s="177">
        <f t="shared" si="196"/>
        <v>62.016000000000005</v>
      </c>
      <c r="V430" s="177">
        <f t="shared" si="196"/>
        <v>78.474000000000004</v>
      </c>
      <c r="W430" s="177">
        <f t="shared" si="196"/>
        <v>79.316558234327914</v>
      </c>
      <c r="X430" s="177">
        <f t="shared" si="196"/>
        <v>83.681139458116292</v>
      </c>
      <c r="Y430" s="177">
        <f t="shared" si="196"/>
        <v>103.35799309550444</v>
      </c>
      <c r="Z430" s="177">
        <f t="shared" si="196"/>
        <v>134.8242135692463</v>
      </c>
      <c r="AA430" s="177">
        <f t="shared" si="196"/>
        <v>177.623724562284</v>
      </c>
      <c r="AB430" s="177">
        <f t="shared" si="196"/>
        <v>223.86725847140787</v>
      </c>
      <c r="AC430" s="177">
        <f t="shared" si="196"/>
        <v>275.78796904490844</v>
      </c>
      <c r="AD430" s="177">
        <f t="shared" si="196"/>
        <v>328.99078312622726</v>
      </c>
      <c r="AE430" s="177">
        <f t="shared" si="196"/>
        <v>366.59599195537311</v>
      </c>
      <c r="AF430" s="177">
        <f t="shared" si="196"/>
        <v>386.79374089824449</v>
      </c>
      <c r="AG430" s="177">
        <f t="shared" si="196"/>
        <v>406.39099216347859</v>
      </c>
      <c r="AH430" s="177">
        <f t="shared" si="196"/>
        <v>424.98282008857893</v>
      </c>
      <c r="AI430" s="177">
        <f t="shared" si="196"/>
        <v>443.52388391471101</v>
      </c>
      <c r="AJ430" s="177">
        <f t="shared" si="196"/>
        <v>461.82900399308045</v>
      </c>
      <c r="AK430" s="177">
        <f t="shared" si="196"/>
        <v>478.56641012471403</v>
      </c>
      <c r="AL430" s="177">
        <f t="shared" si="196"/>
        <v>494.66863891647847</v>
      </c>
      <c r="AM430" s="177">
        <f t="shared" si="196"/>
        <v>510.33922551963087</v>
      </c>
      <c r="AN430" s="177">
        <f t="shared" si="196"/>
        <v>525.3961774897457</v>
      </c>
    </row>
    <row r="431" spans="2:40">
      <c r="B431" s="49"/>
      <c r="D431" s="25"/>
      <c r="E431" s="173"/>
      <c r="F431" s="173"/>
      <c r="G431" s="173"/>
      <c r="H431" s="173"/>
      <c r="I431" s="173"/>
      <c r="J431" s="173"/>
      <c r="K431" s="173"/>
      <c r="L431" s="173"/>
      <c r="M431" s="173"/>
      <c r="N431" s="173"/>
      <c r="O431" s="173"/>
      <c r="P431" s="173"/>
      <c r="R431" s="173"/>
    </row>
    <row r="432" spans="2:40">
      <c r="B432" s="171" t="s">
        <v>214</v>
      </c>
      <c r="D432" s="25"/>
      <c r="E432" s="173"/>
      <c r="F432" s="173"/>
      <c r="G432" s="173"/>
      <c r="H432" s="173"/>
      <c r="I432" s="173"/>
      <c r="J432" s="173"/>
      <c r="K432" s="173"/>
      <c r="L432" s="173"/>
      <c r="M432" s="173"/>
      <c r="N432" s="173"/>
      <c r="O432" s="173"/>
      <c r="P432" s="173"/>
      <c r="R432" s="173"/>
    </row>
    <row r="433" spans="1:40">
      <c r="B433" s="174" t="s">
        <v>214</v>
      </c>
      <c r="C433" s="36" t="s">
        <v>72</v>
      </c>
      <c r="D433" s="25"/>
      <c r="E433" s="173"/>
      <c r="F433" s="173"/>
      <c r="G433" s="211">
        <v>0.245</v>
      </c>
      <c r="H433" s="211">
        <f>0.723-G433</f>
        <v>0.47799999999999998</v>
      </c>
      <c r="I433" s="211">
        <v>0.63700000000000001</v>
      </c>
      <c r="J433" s="211">
        <f>1.06-I433</f>
        <v>0.42300000000000004</v>
      </c>
      <c r="K433" s="211">
        <v>0.54300000000000004</v>
      </c>
      <c r="L433" s="211">
        <f>1.086-K433</f>
        <v>0.54300000000000004</v>
      </c>
      <c r="M433" s="211">
        <f>1.901/2</f>
        <v>0.95050000000000001</v>
      </c>
      <c r="N433" s="211">
        <f>1.901/2</f>
        <v>0.95050000000000001</v>
      </c>
      <c r="O433" s="541">
        <f>P433</f>
        <v>3.0825</v>
      </c>
      <c r="P433" s="173">
        <f>6.165/2</f>
        <v>3.0825</v>
      </c>
      <c r="Q433" s="541">
        <f>R433</f>
        <v>3.1255000000000002</v>
      </c>
      <c r="R433" s="173">
        <f>6.251/2</f>
        <v>3.1255000000000002</v>
      </c>
      <c r="S433" s="541">
        <f>T433</f>
        <v>0.44750000000000001</v>
      </c>
      <c r="T433" s="173">
        <f>0.895/2</f>
        <v>0.44750000000000001</v>
      </c>
      <c r="U433" s="541">
        <v>1</v>
      </c>
      <c r="V433" s="173">
        <f>2.351/2</f>
        <v>1.1755</v>
      </c>
      <c r="W433" s="177">
        <f t="shared" ref="W433:AN433" si="197">V429*W434*(W$13/365)</f>
        <v>1.2766323287671235</v>
      </c>
      <c r="X433" s="177">
        <f t="shared" si="197"/>
        <v>1.1041215682871264</v>
      </c>
      <c r="Y433" s="177">
        <f t="shared" si="197"/>
        <v>1.40864596359075</v>
      </c>
      <c r="Z433" s="177">
        <f t="shared" si="197"/>
        <v>1.6989100209291488</v>
      </c>
      <c r="AA433" s="177">
        <f t="shared" si="197"/>
        <v>2.3603913718924217</v>
      </c>
      <c r="AB433" s="177">
        <f t="shared" si="197"/>
        <v>2.9630073761951392</v>
      </c>
      <c r="AC433" s="177">
        <f t="shared" si="197"/>
        <v>3.7590999043766065</v>
      </c>
      <c r="AD433" s="177">
        <f t="shared" si="197"/>
        <v>4.5078263264094307</v>
      </c>
      <c r="AE433" s="177">
        <f t="shared" si="197"/>
        <v>5.368302828918412</v>
      </c>
      <c r="AF433" s="177">
        <f t="shared" si="197"/>
        <v>5.6267100740382645</v>
      </c>
      <c r="AG433" s="177">
        <f t="shared" si="197"/>
        <v>5.9792155640671796</v>
      </c>
      <c r="AH433" s="177">
        <f t="shared" si="197"/>
        <v>6.2441036750037462</v>
      </c>
      <c r="AI433" s="177">
        <f t="shared" si="197"/>
        <v>6.541554688157885</v>
      </c>
      <c r="AJ433" s="177">
        <f t="shared" si="197"/>
        <v>6.7614555586745304</v>
      </c>
      <c r="AK433" s="177">
        <f t="shared" si="197"/>
        <v>7.0952218817611694</v>
      </c>
      <c r="AL433" s="177">
        <f t="shared" si="197"/>
        <v>7.2594507109746411</v>
      </c>
      <c r="AM433" s="177">
        <f t="shared" si="197"/>
        <v>7.5822591580928957</v>
      </c>
      <c r="AN433" s="177">
        <f t="shared" si="197"/>
        <v>7.7257043288109006</v>
      </c>
    </row>
    <row r="434" spans="1:40">
      <c r="B434" s="151" t="s">
        <v>212</v>
      </c>
      <c r="C434" s="36" t="s">
        <v>88</v>
      </c>
      <c r="D434" s="25"/>
      <c r="E434" s="173"/>
      <c r="F434" s="205"/>
      <c r="G434" s="178">
        <f t="shared" ref="G434:V434" si="198">G433/G430*(365/G$13)</f>
        <v>7.1526610218567094E-3</v>
      </c>
      <c r="H434" s="178">
        <f t="shared" si="198"/>
        <v>1.8990930353127679E-2</v>
      </c>
      <c r="I434" s="178">
        <f t="shared" si="198"/>
        <v>2.6768933691380753E-2</v>
      </c>
      <c r="J434" s="178">
        <f t="shared" si="198"/>
        <v>1.584778815091073E-2</v>
      </c>
      <c r="K434" s="178">
        <f t="shared" si="198"/>
        <v>1.9183208326380621E-2</v>
      </c>
      <c r="L434" s="178">
        <f t="shared" si="198"/>
        <v>2.027458640769509E-2</v>
      </c>
      <c r="M434" s="178">
        <f t="shared" si="198"/>
        <v>3.0214694967290366E-2</v>
      </c>
      <c r="N434" s="178">
        <f t="shared" si="198"/>
        <v>3.1024224394390142E-2</v>
      </c>
      <c r="O434" s="178">
        <f t="shared" si="198"/>
        <v>6.6026085970630782E-2</v>
      </c>
      <c r="P434" s="178">
        <f t="shared" si="198"/>
        <v>3.2584473643295378E-2</v>
      </c>
      <c r="Q434" s="178">
        <f t="shared" si="198"/>
        <v>2.8622464151151307E-2</v>
      </c>
      <c r="R434" s="178">
        <f t="shared" si="198"/>
        <v>5.0396966271009494E-2</v>
      </c>
      <c r="S434" s="178">
        <f t="shared" si="198"/>
        <v>1.1900711255794163E-2</v>
      </c>
      <c r="T434" s="178">
        <f t="shared" si="198"/>
        <v>1.2878059295485104E-2</v>
      </c>
      <c r="U434" s="178">
        <f t="shared" si="198"/>
        <v>3.1986836496612374E-2</v>
      </c>
      <c r="V434" s="178">
        <f t="shared" si="198"/>
        <v>3.0207246035812683E-2</v>
      </c>
      <c r="W434" s="150">
        <v>0.03</v>
      </c>
      <c r="X434" s="150">
        <v>0.03</v>
      </c>
      <c r="Y434" s="150">
        <v>0.03</v>
      </c>
      <c r="Z434" s="150">
        <v>0.03</v>
      </c>
      <c r="AA434" s="150">
        <v>0.03</v>
      </c>
      <c r="AB434" s="150">
        <v>0.03</v>
      </c>
      <c r="AC434" s="150">
        <v>0.03</v>
      </c>
      <c r="AD434" s="150">
        <v>0.03</v>
      </c>
      <c r="AE434" s="150">
        <v>0.03</v>
      </c>
      <c r="AF434" s="150">
        <v>0.03</v>
      </c>
      <c r="AG434" s="150">
        <v>0.03</v>
      </c>
      <c r="AH434" s="150">
        <v>0.03</v>
      </c>
      <c r="AI434" s="150">
        <v>0.03</v>
      </c>
      <c r="AJ434" s="150">
        <v>0.03</v>
      </c>
      <c r="AK434" s="150">
        <v>0.03</v>
      </c>
      <c r="AL434" s="150">
        <v>0.03</v>
      </c>
      <c r="AM434" s="150">
        <v>0.03</v>
      </c>
      <c r="AN434" s="150">
        <v>0.03</v>
      </c>
    </row>
    <row r="435" spans="1:40">
      <c r="D435" s="25"/>
      <c r="E435" s="173"/>
      <c r="F435" s="173"/>
      <c r="G435" s="173"/>
      <c r="H435" s="173"/>
      <c r="I435" s="173"/>
      <c r="J435" s="173"/>
      <c r="K435" s="173"/>
      <c r="L435" s="173"/>
      <c r="M435" s="173"/>
      <c r="N435" s="173"/>
      <c r="O435" s="173"/>
      <c r="P435" s="173"/>
      <c r="R435" s="173"/>
      <c r="S435" s="173"/>
    </row>
    <row r="436" spans="1:40">
      <c r="B436" s="171" t="s">
        <v>215</v>
      </c>
      <c r="D436" s="25"/>
      <c r="E436" s="40"/>
      <c r="F436" s="40"/>
      <c r="G436" s="40"/>
      <c r="H436" s="40"/>
      <c r="I436" s="40"/>
      <c r="J436" s="40"/>
      <c r="K436" s="40"/>
      <c r="L436" s="40"/>
      <c r="M436" s="40"/>
      <c r="N436" s="40"/>
      <c r="O436" s="40"/>
      <c r="P436" s="40"/>
      <c r="R436" s="40"/>
    </row>
    <row r="437" spans="1:40">
      <c r="B437" s="174" t="s">
        <v>209</v>
      </c>
      <c r="C437" s="36" t="s">
        <v>72</v>
      </c>
      <c r="D437" s="25"/>
      <c r="E437" s="177"/>
      <c r="F437" s="177"/>
      <c r="G437" s="177">
        <f t="shared" ref="G437:AN437" si="199">G424</f>
        <v>-19.405000000000001</v>
      </c>
      <c r="H437" s="177">
        <f t="shared" si="199"/>
        <v>-18.381999999999998</v>
      </c>
      <c r="I437" s="177">
        <f t="shared" si="199"/>
        <v>-21.484999999999999</v>
      </c>
      <c r="J437" s="177">
        <f t="shared" si="199"/>
        <v>-19.959000000000003</v>
      </c>
      <c r="K437" s="177">
        <f t="shared" si="199"/>
        <v>-21.811</v>
      </c>
      <c r="L437" s="177">
        <f t="shared" si="199"/>
        <v>-16.925000000000001</v>
      </c>
      <c r="M437" s="177">
        <f t="shared" si="199"/>
        <v>-18.224</v>
      </c>
      <c r="N437" s="177">
        <f t="shared" si="199"/>
        <v>-13.68</v>
      </c>
      <c r="O437" s="177">
        <f t="shared" si="199"/>
        <v>-21.22</v>
      </c>
      <c r="P437" s="177">
        <f t="shared" si="199"/>
        <v>-22.039000000000001</v>
      </c>
      <c r="Q437" s="177">
        <f t="shared" si="199"/>
        <v>-23.298999999999999</v>
      </c>
      <c r="R437" s="177">
        <f t="shared" si="199"/>
        <v>-30.962999999999997</v>
      </c>
      <c r="S437" s="177">
        <f t="shared" si="199"/>
        <v>-29.634999999999998</v>
      </c>
      <c r="T437" s="177">
        <f t="shared" si="199"/>
        <v>-30.774000000000001</v>
      </c>
      <c r="U437" s="177">
        <f t="shared" si="199"/>
        <v>-21.712</v>
      </c>
      <c r="V437" s="177">
        <f t="shared" si="199"/>
        <v>-33.750999999999998</v>
      </c>
      <c r="W437" s="177">
        <f t="shared" si="199"/>
        <v>-16.720342136986304</v>
      </c>
      <c r="X437" s="177">
        <f t="shared" si="199"/>
        <v>-12.38452580821918</v>
      </c>
      <c r="Y437" s="177">
        <f t="shared" si="199"/>
        <v>-12.589794191780825</v>
      </c>
      <c r="Z437" s="177">
        <f t="shared" si="199"/>
        <v>-12.452948602739728</v>
      </c>
      <c r="AA437" s="177">
        <f t="shared" si="199"/>
        <v>-12.589794191780825</v>
      </c>
      <c r="AB437" s="177">
        <f t="shared" si="199"/>
        <v>-12.38452580821918</v>
      </c>
      <c r="AC437" s="177">
        <f t="shared" si="199"/>
        <v>-12.589794191780825</v>
      </c>
      <c r="AD437" s="177">
        <f t="shared" si="199"/>
        <v>-12.38452580821918</v>
      </c>
      <c r="AE437" s="177">
        <f t="shared" si="199"/>
        <v>-12.589794191780825</v>
      </c>
      <c r="AF437" s="177">
        <f t="shared" si="199"/>
        <v>-12.38452580821918</v>
      </c>
      <c r="AG437" s="177">
        <f t="shared" si="199"/>
        <v>-12.589794191780825</v>
      </c>
      <c r="AH437" s="177">
        <f t="shared" si="199"/>
        <v>-12.452948602739728</v>
      </c>
      <c r="AI437" s="177">
        <f t="shared" si="199"/>
        <v>-12.589794191780825</v>
      </c>
      <c r="AJ437" s="177">
        <f t="shared" si="199"/>
        <v>-12.38452580821918</v>
      </c>
      <c r="AK437" s="177">
        <f t="shared" si="199"/>
        <v>-12.589794191780825</v>
      </c>
      <c r="AL437" s="177">
        <f t="shared" si="199"/>
        <v>-12.38452580821918</v>
      </c>
      <c r="AM437" s="177">
        <f t="shared" si="199"/>
        <v>-12.589794191780825</v>
      </c>
      <c r="AN437" s="177">
        <f t="shared" si="199"/>
        <v>-12.38452580821918</v>
      </c>
    </row>
    <row r="438" spans="1:40">
      <c r="B438" s="174" t="s">
        <v>214</v>
      </c>
      <c r="C438" s="36" t="s">
        <v>72</v>
      </c>
      <c r="D438" s="25"/>
      <c r="E438" s="177"/>
      <c r="F438" s="177"/>
      <c r="G438" s="177">
        <f t="shared" ref="G438:AN438" si="200">G433</f>
        <v>0.245</v>
      </c>
      <c r="H438" s="177">
        <f t="shared" si="200"/>
        <v>0.47799999999999998</v>
      </c>
      <c r="I438" s="177">
        <f t="shared" si="200"/>
        <v>0.63700000000000001</v>
      </c>
      <c r="J438" s="177">
        <f t="shared" si="200"/>
        <v>0.42300000000000004</v>
      </c>
      <c r="K438" s="177">
        <f t="shared" si="200"/>
        <v>0.54300000000000004</v>
      </c>
      <c r="L438" s="177">
        <f t="shared" si="200"/>
        <v>0.54300000000000004</v>
      </c>
      <c r="M438" s="177">
        <f t="shared" si="200"/>
        <v>0.95050000000000001</v>
      </c>
      <c r="N438" s="177">
        <f t="shared" si="200"/>
        <v>0.95050000000000001</v>
      </c>
      <c r="O438" s="177">
        <f t="shared" si="200"/>
        <v>3.0825</v>
      </c>
      <c r="P438" s="177">
        <f t="shared" si="200"/>
        <v>3.0825</v>
      </c>
      <c r="Q438" s="177">
        <f t="shared" si="200"/>
        <v>3.1255000000000002</v>
      </c>
      <c r="R438" s="177">
        <f t="shared" si="200"/>
        <v>3.1255000000000002</v>
      </c>
      <c r="S438" s="177">
        <f t="shared" si="200"/>
        <v>0.44750000000000001</v>
      </c>
      <c r="T438" s="177">
        <f t="shared" si="200"/>
        <v>0.44750000000000001</v>
      </c>
      <c r="U438" s="177">
        <f t="shared" si="200"/>
        <v>1</v>
      </c>
      <c r="V438" s="177">
        <f t="shared" si="200"/>
        <v>1.1755</v>
      </c>
      <c r="W438" s="177">
        <f t="shared" si="200"/>
        <v>1.2766323287671235</v>
      </c>
      <c r="X438" s="177">
        <f t="shared" si="200"/>
        <v>1.1041215682871264</v>
      </c>
      <c r="Y438" s="177">
        <f t="shared" si="200"/>
        <v>1.40864596359075</v>
      </c>
      <c r="Z438" s="177">
        <f t="shared" si="200"/>
        <v>1.6989100209291488</v>
      </c>
      <c r="AA438" s="177">
        <f t="shared" si="200"/>
        <v>2.3603913718924217</v>
      </c>
      <c r="AB438" s="177">
        <f t="shared" si="200"/>
        <v>2.9630073761951392</v>
      </c>
      <c r="AC438" s="177">
        <f t="shared" si="200"/>
        <v>3.7590999043766065</v>
      </c>
      <c r="AD438" s="177">
        <f t="shared" si="200"/>
        <v>4.5078263264094307</v>
      </c>
      <c r="AE438" s="177">
        <f t="shared" si="200"/>
        <v>5.368302828918412</v>
      </c>
      <c r="AF438" s="177">
        <f t="shared" si="200"/>
        <v>5.6267100740382645</v>
      </c>
      <c r="AG438" s="177">
        <f t="shared" si="200"/>
        <v>5.9792155640671796</v>
      </c>
      <c r="AH438" s="177">
        <f t="shared" si="200"/>
        <v>6.2441036750037462</v>
      </c>
      <c r="AI438" s="177">
        <f t="shared" si="200"/>
        <v>6.541554688157885</v>
      </c>
      <c r="AJ438" s="177">
        <f t="shared" si="200"/>
        <v>6.7614555586745304</v>
      </c>
      <c r="AK438" s="177">
        <f t="shared" si="200"/>
        <v>7.0952218817611694</v>
      </c>
      <c r="AL438" s="177">
        <f t="shared" si="200"/>
        <v>7.2594507109746411</v>
      </c>
      <c r="AM438" s="177">
        <f t="shared" si="200"/>
        <v>7.5822591580928957</v>
      </c>
      <c r="AN438" s="177">
        <f t="shared" si="200"/>
        <v>7.7257043288109006</v>
      </c>
    </row>
    <row r="439" spans="1:40">
      <c r="B439" s="174" t="s">
        <v>216</v>
      </c>
      <c r="C439" s="36" t="s">
        <v>72</v>
      </c>
      <c r="D439" s="25"/>
      <c r="E439" s="177"/>
      <c r="F439" s="177"/>
      <c r="G439" s="177">
        <f t="shared" ref="G439:V439" si="201">G440-SUM(G437:G438)</f>
        <v>13.16</v>
      </c>
      <c r="H439" s="177">
        <f t="shared" si="201"/>
        <v>13.703999999999997</v>
      </c>
      <c r="I439" s="177">
        <f t="shared" si="201"/>
        <v>14.447999999999999</v>
      </c>
      <c r="J439" s="177">
        <f t="shared" si="201"/>
        <v>-2.6640000000000015</v>
      </c>
      <c r="K439" s="177">
        <f t="shared" si="201"/>
        <v>7.2680000000000007</v>
      </c>
      <c r="L439" s="177">
        <f t="shared" si="201"/>
        <v>-2.1179999999999986</v>
      </c>
      <c r="M439" s="177">
        <f t="shared" si="201"/>
        <v>7.3499999999999233E-2</v>
      </c>
      <c r="N439" s="177">
        <f t="shared" si="201"/>
        <v>-5.0705000000000009</v>
      </c>
      <c r="O439" s="177">
        <f t="shared" si="201"/>
        <v>2.2894999999999985</v>
      </c>
      <c r="P439" s="177">
        <f t="shared" si="201"/>
        <v>6.6785000000000014</v>
      </c>
      <c r="Q439" s="177">
        <f t="shared" si="201"/>
        <v>11.458500000000001</v>
      </c>
      <c r="R439" s="177">
        <f t="shared" si="201"/>
        <v>20.552499999999998</v>
      </c>
      <c r="S439" s="177">
        <f t="shared" si="201"/>
        <v>16.887499999999996</v>
      </c>
      <c r="T439" s="177">
        <f t="shared" si="201"/>
        <v>16.226500000000001</v>
      </c>
      <c r="U439" s="177">
        <f t="shared" si="201"/>
        <v>14.411999999999999</v>
      </c>
      <c r="V439" s="177">
        <f t="shared" si="201"/>
        <v>12.275499999999997</v>
      </c>
      <c r="W439" s="94">
        <v>0</v>
      </c>
      <c r="X439" s="94">
        <v>0</v>
      </c>
      <c r="Y439" s="94">
        <v>0</v>
      </c>
      <c r="Z439" s="94">
        <v>0</v>
      </c>
      <c r="AA439" s="94">
        <v>0</v>
      </c>
      <c r="AB439" s="94">
        <v>0</v>
      </c>
      <c r="AC439" s="94">
        <v>0</v>
      </c>
      <c r="AD439" s="94">
        <v>0</v>
      </c>
      <c r="AE439" s="94">
        <v>0</v>
      </c>
      <c r="AF439" s="94">
        <v>0</v>
      </c>
      <c r="AG439" s="94">
        <v>0</v>
      </c>
      <c r="AH439" s="94">
        <v>0</v>
      </c>
      <c r="AI439" s="94">
        <v>0</v>
      </c>
      <c r="AJ439" s="94">
        <v>0</v>
      </c>
      <c r="AK439" s="94">
        <v>0</v>
      </c>
      <c r="AL439" s="94">
        <v>0</v>
      </c>
      <c r="AM439" s="94">
        <v>0</v>
      </c>
      <c r="AN439" s="94">
        <v>0</v>
      </c>
    </row>
    <row r="440" spans="1:40">
      <c r="B440" s="197" t="s">
        <v>217</v>
      </c>
      <c r="C440" s="36" t="s">
        <v>72</v>
      </c>
      <c r="D440" s="25"/>
      <c r="E440" s="177"/>
      <c r="F440" s="177"/>
      <c r="G440" s="177">
        <f t="shared" ref="G440:V440" si="202">G340</f>
        <v>-6</v>
      </c>
      <c r="H440" s="177">
        <f t="shared" si="202"/>
        <v>-4.1999999999999993</v>
      </c>
      <c r="I440" s="177">
        <f t="shared" si="202"/>
        <v>-6.4</v>
      </c>
      <c r="J440" s="177">
        <f t="shared" si="202"/>
        <v>-22.200000000000003</v>
      </c>
      <c r="K440" s="177">
        <f t="shared" si="202"/>
        <v>-14</v>
      </c>
      <c r="L440" s="177">
        <f t="shared" si="202"/>
        <v>-18.5</v>
      </c>
      <c r="M440" s="177">
        <f t="shared" si="202"/>
        <v>-17.2</v>
      </c>
      <c r="N440" s="177">
        <f t="shared" si="202"/>
        <v>-17.8</v>
      </c>
      <c r="O440" s="177">
        <f t="shared" si="202"/>
        <v>-15.848000000000001</v>
      </c>
      <c r="P440" s="177">
        <f t="shared" si="202"/>
        <v>-12.278</v>
      </c>
      <c r="Q440" s="177">
        <f t="shared" si="202"/>
        <v>-8.7149999999999999</v>
      </c>
      <c r="R440" s="177">
        <f t="shared" si="202"/>
        <v>-7.2850000000000001</v>
      </c>
      <c r="S440" s="177">
        <f t="shared" si="202"/>
        <v>-12.3</v>
      </c>
      <c r="T440" s="177">
        <f t="shared" si="202"/>
        <v>-14.099999999999998</v>
      </c>
      <c r="U440" s="177">
        <f t="shared" si="202"/>
        <v>-6.3</v>
      </c>
      <c r="V440" s="177">
        <f t="shared" si="202"/>
        <v>-20.3</v>
      </c>
      <c r="W440" s="220">
        <f t="shared" ref="W440:AN440" si="203">SUM(W437:W439)</f>
        <v>-15.443709808219181</v>
      </c>
      <c r="X440" s="220">
        <f t="shared" si="203"/>
        <v>-11.280404239932054</v>
      </c>
      <c r="Y440" s="220">
        <f t="shared" si="203"/>
        <v>-11.181148228190075</v>
      </c>
      <c r="Z440" s="220">
        <f t="shared" si="203"/>
        <v>-10.75403858181058</v>
      </c>
      <c r="AA440" s="220">
        <f t="shared" si="203"/>
        <v>-10.229402819888403</v>
      </c>
      <c r="AB440" s="220">
        <f t="shared" si="203"/>
        <v>-9.4215184320240404</v>
      </c>
      <c r="AC440" s="220">
        <f t="shared" si="203"/>
        <v>-8.8306942874042189</v>
      </c>
      <c r="AD440" s="220">
        <f t="shared" si="203"/>
        <v>-7.8766994818097498</v>
      </c>
      <c r="AE440" s="220">
        <f t="shared" si="203"/>
        <v>-7.2214913628624133</v>
      </c>
      <c r="AF440" s="220">
        <f t="shared" si="203"/>
        <v>-6.757815734180916</v>
      </c>
      <c r="AG440" s="220">
        <f t="shared" si="203"/>
        <v>-6.6105786277136458</v>
      </c>
      <c r="AH440" s="220">
        <f t="shared" si="203"/>
        <v>-6.2088449277359814</v>
      </c>
      <c r="AI440" s="220">
        <f t="shared" si="203"/>
        <v>-6.0482395036229404</v>
      </c>
      <c r="AJ440" s="220">
        <f t="shared" si="203"/>
        <v>-5.6230702495446501</v>
      </c>
      <c r="AK440" s="220">
        <f t="shared" si="203"/>
        <v>-5.494572310019656</v>
      </c>
      <c r="AL440" s="220">
        <f t="shared" si="203"/>
        <v>-5.1250750972445394</v>
      </c>
      <c r="AM440" s="220">
        <f t="shared" si="203"/>
        <v>-5.0075350336879296</v>
      </c>
      <c r="AN440" s="220">
        <f t="shared" si="203"/>
        <v>-4.6588214794082798</v>
      </c>
    </row>
    <row r="441" spans="1:40">
      <c r="B441" s="49"/>
      <c r="D441" s="25"/>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spans="1:40" s="118" customFormat="1">
      <c r="A442" s="118" t="s">
        <v>7</v>
      </c>
      <c r="B442" s="181" t="s">
        <v>218</v>
      </c>
      <c r="C442" s="182"/>
      <c r="E442" s="183"/>
      <c r="F442" s="183"/>
      <c r="G442" s="183"/>
      <c r="H442" s="183"/>
      <c r="I442" s="183"/>
      <c r="J442" s="183"/>
      <c r="K442" s="183"/>
      <c r="L442" s="183"/>
      <c r="M442" s="183"/>
      <c r="N442" s="183"/>
      <c r="O442" s="183"/>
      <c r="P442" s="183"/>
      <c r="Q442" s="183"/>
      <c r="R442" s="183"/>
      <c r="S442" s="183"/>
      <c r="T442" s="183"/>
      <c r="U442" s="183"/>
      <c r="V442" s="183"/>
      <c r="W442" s="183"/>
      <c r="X442" s="183"/>
      <c r="Y442" s="183"/>
      <c r="Z442" s="183"/>
      <c r="AA442" s="183"/>
      <c r="AB442" s="183"/>
      <c r="AC442" s="183"/>
      <c r="AD442" s="183"/>
      <c r="AE442" s="183"/>
      <c r="AF442" s="183"/>
      <c r="AG442" s="183"/>
      <c r="AH442" s="183"/>
      <c r="AI442" s="183"/>
      <c r="AJ442" s="183"/>
      <c r="AK442" s="183"/>
      <c r="AL442" s="183"/>
      <c r="AM442" s="183"/>
      <c r="AN442" s="183"/>
    </row>
    <row r="444" spans="1:40">
      <c r="B444" s="129" t="s">
        <v>219</v>
      </c>
      <c r="P444" s="40"/>
    </row>
    <row r="446" spans="1:40">
      <c r="B446" s="171" t="s">
        <v>220</v>
      </c>
    </row>
    <row r="447" spans="1:40">
      <c r="B447" s="151" t="s">
        <v>221</v>
      </c>
      <c r="C447" s="36" t="s">
        <v>72</v>
      </c>
      <c r="E447" s="40"/>
      <c r="F447" s="40"/>
      <c r="G447" s="40">
        <f t="shared" ref="G447:AN447" si="204">G311</f>
        <v>487.12454063071789</v>
      </c>
      <c r="H447" s="40">
        <f t="shared" si="204"/>
        <v>450.66217843296693</v>
      </c>
      <c r="I447" s="40">
        <f t="shared" si="204"/>
        <v>444.64136511800183</v>
      </c>
      <c r="J447" s="40">
        <f t="shared" si="204"/>
        <v>260.59257063955874</v>
      </c>
      <c r="K447" s="40">
        <f t="shared" si="204"/>
        <v>345.19929140775662</v>
      </c>
      <c r="L447" s="40">
        <f t="shared" si="204"/>
        <v>386.43718944039011</v>
      </c>
      <c r="M447" s="40">
        <f t="shared" si="204"/>
        <v>239.30042519685037</v>
      </c>
      <c r="N447" s="40">
        <f t="shared" si="204"/>
        <v>336.11961910308673</v>
      </c>
      <c r="O447" s="40">
        <f t="shared" si="204"/>
        <v>438.9</v>
      </c>
      <c r="P447" s="40">
        <f t="shared" si="204"/>
        <v>423.70000000000005</v>
      </c>
      <c r="Q447" s="40">
        <f t="shared" si="204"/>
        <v>442.8</v>
      </c>
      <c r="R447" s="40">
        <f t="shared" si="204"/>
        <v>427.7</v>
      </c>
      <c r="S447" s="40">
        <f t="shared" si="204"/>
        <v>422</v>
      </c>
      <c r="T447" s="40">
        <f t="shared" si="204"/>
        <v>403.20000000000005</v>
      </c>
      <c r="U447" s="40">
        <f t="shared" si="204"/>
        <v>411.7</v>
      </c>
      <c r="V447" s="40">
        <f t="shared" si="204"/>
        <v>411.00000000000006</v>
      </c>
      <c r="W447" s="40">
        <f t="shared" si="204"/>
        <v>419.565</v>
      </c>
      <c r="X447" s="40">
        <f t="shared" si="204"/>
        <v>421.36900000000003</v>
      </c>
      <c r="Y447" s="40">
        <f t="shared" si="204"/>
        <v>428.74853999999999</v>
      </c>
      <c r="Z447" s="40">
        <f t="shared" si="204"/>
        <v>430.86368999999991</v>
      </c>
      <c r="AA447" s="40">
        <f t="shared" si="204"/>
        <v>451.29426060000003</v>
      </c>
      <c r="AB447" s="40">
        <f t="shared" si="204"/>
        <v>448.01762690000004</v>
      </c>
      <c r="AC447" s="40">
        <f t="shared" si="204"/>
        <v>469.62116627799992</v>
      </c>
      <c r="AD447" s="40">
        <f t="shared" si="204"/>
        <v>466.20287816899997</v>
      </c>
      <c r="AE447" s="40">
        <f t="shared" si="204"/>
        <v>489.09370750493997</v>
      </c>
      <c r="AF447" s="40">
        <f t="shared" si="204"/>
        <v>484.80827684069004</v>
      </c>
      <c r="AG447" s="40">
        <f t="shared" si="204"/>
        <v>508.97433973507424</v>
      </c>
      <c r="AH447" s="40">
        <f t="shared" si="204"/>
        <v>504.42806914139692</v>
      </c>
      <c r="AI447" s="40">
        <f t="shared" si="204"/>
        <v>529.97181292632229</v>
      </c>
      <c r="AJ447" s="40">
        <f t="shared" si="204"/>
        <v>525.14258779050385</v>
      </c>
      <c r="AK447" s="40">
        <f t="shared" si="204"/>
        <v>548.73872938751424</v>
      </c>
      <c r="AL447" s="40">
        <f t="shared" si="204"/>
        <v>543.60177953852178</v>
      </c>
      <c r="AM447" s="40">
        <f t="shared" si="204"/>
        <v>568.5404968330937</v>
      </c>
      <c r="AN447" s="40">
        <f t="shared" si="204"/>
        <v>563.06802340059448</v>
      </c>
    </row>
    <row r="448" spans="1:40">
      <c r="B448" s="151" t="s">
        <v>222</v>
      </c>
      <c r="C448" s="36" t="s">
        <v>72</v>
      </c>
      <c r="E448" s="173">
        <v>21.279</v>
      </c>
      <c r="F448" s="173">
        <v>23.379000000000001</v>
      </c>
      <c r="G448" s="173">
        <v>30.597000000000001</v>
      </c>
      <c r="H448" s="173">
        <v>49.292999999999999</v>
      </c>
      <c r="I448" s="173">
        <v>49.36</v>
      </c>
      <c r="J448" s="173">
        <v>42.252000000000002</v>
      </c>
      <c r="K448" s="173">
        <v>46.527000000000001</v>
      </c>
      <c r="L448" s="173">
        <v>33.405000000000001</v>
      </c>
      <c r="M448" s="173">
        <v>31.803999999999998</v>
      </c>
      <c r="N448" s="173">
        <v>25.826000000000001</v>
      </c>
      <c r="O448" s="173">
        <v>30.358000000000001</v>
      </c>
      <c r="P448" s="173">
        <v>50.832999999999998</v>
      </c>
      <c r="Q448" s="173">
        <v>32.188000000000002</v>
      </c>
      <c r="R448" s="173">
        <v>86.878</v>
      </c>
      <c r="S448" s="173">
        <v>24.39</v>
      </c>
      <c r="T448" s="173">
        <v>23.98</v>
      </c>
      <c r="U448" s="173">
        <v>30.812000000000001</v>
      </c>
      <c r="V448" s="173">
        <v>29.821000000000002</v>
      </c>
      <c r="W448" s="177">
        <f t="shared" ref="W448:AN448" si="205">W449*W447/W$13</f>
        <v>29.946107896501111</v>
      </c>
      <c r="X448" s="177">
        <f t="shared" si="205"/>
        <v>30.573345374695865</v>
      </c>
      <c r="Y448" s="177">
        <f t="shared" si="205"/>
        <v>30.601575534916694</v>
      </c>
      <c r="Z448" s="177">
        <f t="shared" si="205"/>
        <v>31.090482660994219</v>
      </c>
      <c r="AA448" s="177">
        <f t="shared" si="205"/>
        <v>32.210757858732954</v>
      </c>
      <c r="AB448" s="177">
        <f t="shared" si="205"/>
        <v>32.506894529890275</v>
      </c>
      <c r="AC448" s="177">
        <f t="shared" si="205"/>
        <v>33.518825726268098</v>
      </c>
      <c r="AD448" s="177">
        <f t="shared" si="205"/>
        <v>33.826365036198901</v>
      </c>
      <c r="AE448" s="177">
        <f t="shared" si="205"/>
        <v>34.908662391864638</v>
      </c>
      <c r="AF448" s="177">
        <f t="shared" si="205"/>
        <v>35.176320252229239</v>
      </c>
      <c r="AG448" s="177">
        <f t="shared" si="205"/>
        <v>36.327626218242578</v>
      </c>
      <c r="AH448" s="177">
        <f t="shared" si="205"/>
        <v>36.398778781659225</v>
      </c>
      <c r="AI448" s="177">
        <f t="shared" si="205"/>
        <v>37.826303652582908</v>
      </c>
      <c r="AJ448" s="177">
        <f t="shared" si="205"/>
        <v>38.102864015816579</v>
      </c>
      <c r="AK448" s="177">
        <f t="shared" si="205"/>
        <v>39.165776929027508</v>
      </c>
      <c r="AL448" s="177">
        <f t="shared" si="205"/>
        <v>39.442210870117421</v>
      </c>
      <c r="AM448" s="177">
        <f t="shared" si="205"/>
        <v>40.579111846064791</v>
      </c>
      <c r="AN448" s="177">
        <f t="shared" si="205"/>
        <v>40.854626583525864</v>
      </c>
    </row>
    <row r="449" spans="2:40">
      <c r="B449" s="174" t="s">
        <v>223</v>
      </c>
      <c r="C449" s="36" t="s">
        <v>224</v>
      </c>
      <c r="E449" s="40"/>
      <c r="F449" s="40"/>
      <c r="G449" s="204">
        <f t="shared" ref="G449:V449" si="206">G448/G447*G$13</f>
        <v>11.55730728061986</v>
      </c>
      <c r="H449" s="204">
        <f t="shared" si="206"/>
        <v>19.797607669282357</v>
      </c>
      <c r="I449" s="204">
        <f t="shared" si="206"/>
        <v>20.425989825732241</v>
      </c>
      <c r="J449" s="204">
        <f t="shared" si="206"/>
        <v>29.509145180644133</v>
      </c>
      <c r="K449" s="204">
        <f t="shared" si="206"/>
        <v>24.800074082097712</v>
      </c>
      <c r="L449" s="204">
        <f t="shared" si="206"/>
        <v>15.646281375650759</v>
      </c>
      <c r="M449" s="204">
        <f t="shared" si="206"/>
        <v>24.454348525232046</v>
      </c>
      <c r="N449" s="204">
        <f t="shared" si="206"/>
        <v>13.907269121848985</v>
      </c>
      <c r="O449" s="204">
        <f t="shared" si="206"/>
        <v>12.726981089086353</v>
      </c>
      <c r="P449" s="204">
        <f t="shared" si="206"/>
        <v>21.715300920462589</v>
      </c>
      <c r="Q449" s="204">
        <f t="shared" si="206"/>
        <v>13.375320686540199</v>
      </c>
      <c r="R449" s="204">
        <f t="shared" si="206"/>
        <v>36.969361702127657</v>
      </c>
      <c r="S449" s="204">
        <f t="shared" si="206"/>
        <v>10.634502369668246</v>
      </c>
      <c r="T449" s="204">
        <f t="shared" si="206"/>
        <v>10.764831349206348</v>
      </c>
      <c r="U449" s="204">
        <f t="shared" si="206"/>
        <v>13.770726256983242</v>
      </c>
      <c r="V449" s="204">
        <f t="shared" si="206"/>
        <v>13.132849148418492</v>
      </c>
      <c r="W449" s="631">
        <f t="shared" ref="W449:AN449" si="207">V449</f>
        <v>13.132849148418492</v>
      </c>
      <c r="X449" s="631">
        <f t="shared" si="207"/>
        <v>13.132849148418492</v>
      </c>
      <c r="Y449" s="631">
        <f t="shared" si="207"/>
        <v>13.132849148418492</v>
      </c>
      <c r="Z449" s="631">
        <f t="shared" si="207"/>
        <v>13.132849148418492</v>
      </c>
      <c r="AA449" s="631">
        <f t="shared" si="207"/>
        <v>13.132849148418492</v>
      </c>
      <c r="AB449" s="631">
        <f t="shared" si="207"/>
        <v>13.132849148418492</v>
      </c>
      <c r="AC449" s="631">
        <f t="shared" si="207"/>
        <v>13.132849148418492</v>
      </c>
      <c r="AD449" s="631">
        <f t="shared" si="207"/>
        <v>13.132849148418492</v>
      </c>
      <c r="AE449" s="631">
        <f t="shared" si="207"/>
        <v>13.132849148418492</v>
      </c>
      <c r="AF449" s="631">
        <f t="shared" si="207"/>
        <v>13.132849148418492</v>
      </c>
      <c r="AG449" s="631">
        <f t="shared" si="207"/>
        <v>13.132849148418492</v>
      </c>
      <c r="AH449" s="631">
        <f t="shared" si="207"/>
        <v>13.132849148418492</v>
      </c>
      <c r="AI449" s="631">
        <f t="shared" si="207"/>
        <v>13.132849148418492</v>
      </c>
      <c r="AJ449" s="631">
        <f t="shared" si="207"/>
        <v>13.132849148418492</v>
      </c>
      <c r="AK449" s="631">
        <f t="shared" si="207"/>
        <v>13.132849148418492</v>
      </c>
      <c r="AL449" s="631">
        <f t="shared" si="207"/>
        <v>13.132849148418492</v>
      </c>
      <c r="AM449" s="631">
        <f t="shared" si="207"/>
        <v>13.132849148418492</v>
      </c>
      <c r="AN449" s="631">
        <f t="shared" si="207"/>
        <v>13.132849148418492</v>
      </c>
    </row>
    <row r="450" spans="2:40">
      <c r="B450" s="174"/>
    </row>
    <row r="451" spans="2:40">
      <c r="B451" s="171" t="s">
        <v>225</v>
      </c>
    </row>
    <row r="452" spans="2:40">
      <c r="B452" s="151" t="s">
        <v>226</v>
      </c>
      <c r="C452" s="36" t="s">
        <v>72</v>
      </c>
      <c r="E452" s="40"/>
      <c r="F452" s="40"/>
      <c r="G452" s="40">
        <f t="shared" ref="G452:AN452" si="208">-(G325-G311)</f>
        <v>315.4245406307179</v>
      </c>
      <c r="H452" s="40">
        <f t="shared" si="208"/>
        <v>300.16217843296693</v>
      </c>
      <c r="I452" s="40">
        <f t="shared" si="208"/>
        <v>291.34136511800182</v>
      </c>
      <c r="J452" s="40">
        <f t="shared" si="208"/>
        <v>213.19257063955877</v>
      </c>
      <c r="K452" s="40">
        <f t="shared" si="208"/>
        <v>227.39929140775661</v>
      </c>
      <c r="L452" s="40">
        <f t="shared" si="208"/>
        <v>255.6371894403901</v>
      </c>
      <c r="M452" s="40">
        <f t="shared" si="208"/>
        <v>203.10042519685038</v>
      </c>
      <c r="N452" s="40">
        <f t="shared" si="208"/>
        <v>234.41961910308675</v>
      </c>
      <c r="O452" s="40">
        <f t="shared" si="208"/>
        <v>277.09999999999997</v>
      </c>
      <c r="P452" s="40">
        <f t="shared" si="208"/>
        <v>283.70000000000005</v>
      </c>
      <c r="Q452" s="40">
        <f t="shared" si="208"/>
        <v>298.5</v>
      </c>
      <c r="R452" s="40">
        <f t="shared" si="208"/>
        <v>294.2</v>
      </c>
      <c r="S452" s="40">
        <f t="shared" si="208"/>
        <v>302.5</v>
      </c>
      <c r="T452" s="40">
        <f t="shared" si="208"/>
        <v>289.00000000000006</v>
      </c>
      <c r="U452" s="40">
        <f t="shared" si="208"/>
        <v>326.2</v>
      </c>
      <c r="V452" s="40">
        <f t="shared" si="208"/>
        <v>314.90000000000009</v>
      </c>
      <c r="W452" s="40">
        <f t="shared" si="208"/>
        <v>330.42936800000001</v>
      </c>
      <c r="X452" s="40">
        <f t="shared" si="208"/>
        <v>327.31849680000005</v>
      </c>
      <c r="Y452" s="40">
        <f t="shared" si="208"/>
        <v>329.30683108799997</v>
      </c>
      <c r="Z452" s="40">
        <f t="shared" si="208"/>
        <v>325.47325256799996</v>
      </c>
      <c r="AA452" s="40">
        <f t="shared" si="208"/>
        <v>337.01786910032001</v>
      </c>
      <c r="AB452" s="40">
        <f t="shared" si="208"/>
        <v>332.94952184567995</v>
      </c>
      <c r="AC452" s="40">
        <f t="shared" si="208"/>
        <v>350.71441908832156</v>
      </c>
      <c r="AD452" s="40">
        <f t="shared" si="208"/>
        <v>346.41118913981677</v>
      </c>
      <c r="AE452" s="40">
        <f t="shared" si="208"/>
        <v>365.17029308123313</v>
      </c>
      <c r="AF452" s="40">
        <f t="shared" si="208"/>
        <v>360.1873663341301</v>
      </c>
      <c r="AG452" s="40">
        <f t="shared" si="208"/>
        <v>379.94355332322436</v>
      </c>
      <c r="AH452" s="40">
        <f t="shared" si="208"/>
        <v>374.63463766841244</v>
      </c>
      <c r="AI452" s="40">
        <f t="shared" si="208"/>
        <v>395.45993353605377</v>
      </c>
      <c r="AJ452" s="40">
        <f t="shared" si="208"/>
        <v>389.80110365065974</v>
      </c>
      <c r="AK452" s="40">
        <f t="shared" si="208"/>
        <v>411.13864658457135</v>
      </c>
      <c r="AL452" s="40">
        <f t="shared" si="208"/>
        <v>405.10376891608121</v>
      </c>
      <c r="AM452" s="40">
        <f t="shared" si="208"/>
        <v>427.62646193306858</v>
      </c>
      <c r="AN452" s="40">
        <f t="shared" si="208"/>
        <v>421.18693708500911</v>
      </c>
    </row>
    <row r="453" spans="2:40">
      <c r="B453" s="151" t="s">
        <v>225</v>
      </c>
      <c r="C453" s="36" t="s">
        <v>72</v>
      </c>
      <c r="E453" s="173">
        <v>8.5839999999999996</v>
      </c>
      <c r="F453" s="173">
        <v>7.57</v>
      </c>
      <c r="G453" s="173">
        <v>7.6950000000000003</v>
      </c>
      <c r="H453" s="173">
        <v>6.4589999999999996</v>
      </c>
      <c r="I453" s="173">
        <v>7.95</v>
      </c>
      <c r="J453" s="173">
        <v>6.6280000000000001</v>
      </c>
      <c r="K453" s="173">
        <v>7.9829999999999997</v>
      </c>
      <c r="L453" s="173">
        <v>7.1870000000000003</v>
      </c>
      <c r="M453" s="173">
        <v>7.7149999999999999</v>
      </c>
      <c r="N453" s="173">
        <v>7.5279999999999996</v>
      </c>
      <c r="O453" s="173">
        <v>8.2829999999999995</v>
      </c>
      <c r="P453" s="173">
        <v>8.5820000000000007</v>
      </c>
      <c r="Q453" s="173">
        <v>8.6560000000000006</v>
      </c>
      <c r="R453" s="173">
        <v>8.375</v>
      </c>
      <c r="S453" s="173">
        <v>8.8089999999999993</v>
      </c>
      <c r="T453" s="173">
        <v>8.1110000000000007</v>
      </c>
      <c r="U453" s="173">
        <v>8.7050000000000001</v>
      </c>
      <c r="V453" s="173">
        <v>8.1940000000000008</v>
      </c>
      <c r="W453" s="177">
        <f t="shared" ref="W453:AN453" si="209">W454*W452/W$13</f>
        <v>8.457902814074032</v>
      </c>
      <c r="X453" s="177">
        <f t="shared" si="209"/>
        <v>8.5171411965042871</v>
      </c>
      <c r="Y453" s="177">
        <f t="shared" si="209"/>
        <v>8.4291695687079393</v>
      </c>
      <c r="Z453" s="177">
        <f t="shared" si="209"/>
        <v>8.4225925116491993</v>
      </c>
      <c r="AA453" s="177">
        <f t="shared" si="209"/>
        <v>8.6265467283066393</v>
      </c>
      <c r="AB453" s="177">
        <f t="shared" si="209"/>
        <v>8.6636658685408108</v>
      </c>
      <c r="AC453" s="177">
        <f t="shared" si="209"/>
        <v>8.9771332678379068</v>
      </c>
      <c r="AD453" s="177">
        <f t="shared" si="209"/>
        <v>9.0139513617391493</v>
      </c>
      <c r="AE453" s="177">
        <f t="shared" si="209"/>
        <v>9.3471559993662563</v>
      </c>
      <c r="AF453" s="177">
        <f t="shared" si="209"/>
        <v>9.3724207041659628</v>
      </c>
      <c r="AG453" s="177">
        <f t="shared" si="209"/>
        <v>9.7253027728509487</v>
      </c>
      <c r="AH453" s="177">
        <f t="shared" si="209"/>
        <v>9.6947901830155363</v>
      </c>
      <c r="AI453" s="177">
        <f t="shared" si="209"/>
        <v>10.12247096846464</v>
      </c>
      <c r="AJ453" s="177">
        <f t="shared" si="209"/>
        <v>10.142998549741204</v>
      </c>
      <c r="AK453" s="177">
        <f t="shared" si="209"/>
        <v>10.523794349666387</v>
      </c>
      <c r="AL453" s="177">
        <f t="shared" si="209"/>
        <v>10.54118857573315</v>
      </c>
      <c r="AM453" s="177">
        <f t="shared" si="209"/>
        <v>10.945828083163065</v>
      </c>
      <c r="AN453" s="177">
        <f t="shared" si="209"/>
        <v>10.959688035803634</v>
      </c>
    </row>
    <row r="454" spans="2:40">
      <c r="B454" s="174" t="s">
        <v>223</v>
      </c>
      <c r="C454" s="36" t="s">
        <v>224</v>
      </c>
      <c r="G454" s="204">
        <f t="shared" ref="G454:V454" si="210">G453/G452*G$13</f>
        <v>4.4888073615604824</v>
      </c>
      <c r="H454" s="204">
        <f t="shared" si="210"/>
        <v>3.8948244782314636</v>
      </c>
      <c r="I454" s="204">
        <f t="shared" si="210"/>
        <v>5.0209142097193205</v>
      </c>
      <c r="J454" s="204">
        <f t="shared" si="210"/>
        <v>5.6582459528548261</v>
      </c>
      <c r="K454" s="204">
        <f t="shared" si="210"/>
        <v>6.4594396530731517</v>
      </c>
      <c r="L454" s="204">
        <f t="shared" si="210"/>
        <v>5.0886453682566932</v>
      </c>
      <c r="M454" s="204">
        <f t="shared" si="210"/>
        <v>6.9894486859105509</v>
      </c>
      <c r="N454" s="204">
        <f t="shared" si="210"/>
        <v>5.8125169096909355</v>
      </c>
      <c r="O454" s="204">
        <f t="shared" si="210"/>
        <v>5.5000793937206787</v>
      </c>
      <c r="P454" s="204">
        <f t="shared" si="210"/>
        <v>5.4752978498413816</v>
      </c>
      <c r="Q454" s="204">
        <f t="shared" si="210"/>
        <v>5.3356917922948073</v>
      </c>
      <c r="R454" s="204">
        <f t="shared" si="210"/>
        <v>5.180999320190347</v>
      </c>
      <c r="S454" s="204">
        <f t="shared" si="210"/>
        <v>5.3582016528925616</v>
      </c>
      <c r="T454" s="204">
        <f t="shared" si="210"/>
        <v>5.079899653979238</v>
      </c>
      <c r="U454" s="204">
        <f t="shared" si="210"/>
        <v>4.9102391171060695</v>
      </c>
      <c r="V454" s="204">
        <f t="shared" si="210"/>
        <v>4.7097935852651629</v>
      </c>
      <c r="W454" s="631">
        <f t="shared" ref="W454:AN454" si="211">V454</f>
        <v>4.7097935852651629</v>
      </c>
      <c r="X454" s="631">
        <f t="shared" si="211"/>
        <v>4.7097935852651629</v>
      </c>
      <c r="Y454" s="631">
        <f t="shared" si="211"/>
        <v>4.7097935852651629</v>
      </c>
      <c r="Z454" s="631">
        <f t="shared" si="211"/>
        <v>4.7097935852651629</v>
      </c>
      <c r="AA454" s="631">
        <f t="shared" si="211"/>
        <v>4.7097935852651629</v>
      </c>
      <c r="AB454" s="631">
        <f t="shared" si="211"/>
        <v>4.7097935852651629</v>
      </c>
      <c r="AC454" s="631">
        <f t="shared" si="211"/>
        <v>4.7097935852651629</v>
      </c>
      <c r="AD454" s="631">
        <f t="shared" si="211"/>
        <v>4.7097935852651629</v>
      </c>
      <c r="AE454" s="631">
        <f t="shared" si="211"/>
        <v>4.7097935852651629</v>
      </c>
      <c r="AF454" s="631">
        <f t="shared" si="211"/>
        <v>4.7097935852651629</v>
      </c>
      <c r="AG454" s="631">
        <f t="shared" si="211"/>
        <v>4.7097935852651629</v>
      </c>
      <c r="AH454" s="631">
        <f t="shared" si="211"/>
        <v>4.7097935852651629</v>
      </c>
      <c r="AI454" s="631">
        <f t="shared" si="211"/>
        <v>4.7097935852651629</v>
      </c>
      <c r="AJ454" s="631">
        <f t="shared" si="211"/>
        <v>4.7097935852651629</v>
      </c>
      <c r="AK454" s="631">
        <f t="shared" si="211"/>
        <v>4.7097935852651629</v>
      </c>
      <c r="AL454" s="631">
        <f t="shared" si="211"/>
        <v>4.7097935852651629</v>
      </c>
      <c r="AM454" s="631">
        <f t="shared" si="211"/>
        <v>4.7097935852651629</v>
      </c>
      <c r="AN454" s="631">
        <f t="shared" si="211"/>
        <v>4.7097935852651629</v>
      </c>
    </row>
    <row r="455" spans="2:40">
      <c r="B455" s="174" t="s">
        <v>227</v>
      </c>
      <c r="C455" s="36" t="s">
        <v>228</v>
      </c>
    </row>
    <row r="456" spans="2:40">
      <c r="B456" s="179"/>
    </row>
    <row r="457" spans="2:40">
      <c r="B457" s="171" t="s">
        <v>229</v>
      </c>
    </row>
    <row r="458" spans="2:40">
      <c r="B458" s="151" t="s">
        <v>230</v>
      </c>
      <c r="C458" s="36" t="s">
        <v>72</v>
      </c>
      <c r="G458" s="40">
        <f t="shared" ref="G458:AN458" si="212">G452</f>
        <v>315.4245406307179</v>
      </c>
      <c r="H458" s="40">
        <f t="shared" si="212"/>
        <v>300.16217843296693</v>
      </c>
      <c r="I458" s="40">
        <f t="shared" si="212"/>
        <v>291.34136511800182</v>
      </c>
      <c r="J458" s="40">
        <f t="shared" si="212"/>
        <v>213.19257063955877</v>
      </c>
      <c r="K458" s="40">
        <f t="shared" si="212"/>
        <v>227.39929140775661</v>
      </c>
      <c r="L458" s="40">
        <f t="shared" si="212"/>
        <v>255.6371894403901</v>
      </c>
      <c r="M458" s="40">
        <f t="shared" si="212"/>
        <v>203.10042519685038</v>
      </c>
      <c r="N458" s="40">
        <f t="shared" si="212"/>
        <v>234.41961910308675</v>
      </c>
      <c r="O458" s="40">
        <f t="shared" si="212"/>
        <v>277.09999999999997</v>
      </c>
      <c r="P458" s="40">
        <f t="shared" si="212"/>
        <v>283.70000000000005</v>
      </c>
      <c r="Q458" s="40">
        <f t="shared" si="212"/>
        <v>298.5</v>
      </c>
      <c r="R458" s="40">
        <f t="shared" si="212"/>
        <v>294.2</v>
      </c>
      <c r="S458" s="40">
        <f t="shared" si="212"/>
        <v>302.5</v>
      </c>
      <c r="T458" s="40">
        <f t="shared" si="212"/>
        <v>289.00000000000006</v>
      </c>
      <c r="U458" s="40">
        <f t="shared" si="212"/>
        <v>326.2</v>
      </c>
      <c r="V458" s="40">
        <f t="shared" si="212"/>
        <v>314.90000000000009</v>
      </c>
      <c r="W458" s="40">
        <f t="shared" si="212"/>
        <v>330.42936800000001</v>
      </c>
      <c r="X458" s="40">
        <f t="shared" si="212"/>
        <v>327.31849680000005</v>
      </c>
      <c r="Y458" s="40">
        <f t="shared" si="212"/>
        <v>329.30683108799997</v>
      </c>
      <c r="Z458" s="40">
        <f t="shared" si="212"/>
        <v>325.47325256799996</v>
      </c>
      <c r="AA458" s="40">
        <f t="shared" si="212"/>
        <v>337.01786910032001</v>
      </c>
      <c r="AB458" s="40">
        <f t="shared" si="212"/>
        <v>332.94952184567995</v>
      </c>
      <c r="AC458" s="40">
        <f t="shared" si="212"/>
        <v>350.71441908832156</v>
      </c>
      <c r="AD458" s="40">
        <f t="shared" si="212"/>
        <v>346.41118913981677</v>
      </c>
      <c r="AE458" s="40">
        <f t="shared" si="212"/>
        <v>365.17029308123313</v>
      </c>
      <c r="AF458" s="40">
        <f t="shared" si="212"/>
        <v>360.1873663341301</v>
      </c>
      <c r="AG458" s="40">
        <f t="shared" si="212"/>
        <v>379.94355332322436</v>
      </c>
      <c r="AH458" s="40">
        <f t="shared" si="212"/>
        <v>374.63463766841244</v>
      </c>
      <c r="AI458" s="40">
        <f t="shared" si="212"/>
        <v>395.45993353605377</v>
      </c>
      <c r="AJ458" s="40">
        <f t="shared" si="212"/>
        <v>389.80110365065974</v>
      </c>
      <c r="AK458" s="40">
        <f t="shared" si="212"/>
        <v>411.13864658457135</v>
      </c>
      <c r="AL458" s="40">
        <f t="shared" si="212"/>
        <v>405.10376891608121</v>
      </c>
      <c r="AM458" s="40">
        <f t="shared" si="212"/>
        <v>427.62646193306858</v>
      </c>
      <c r="AN458" s="40">
        <f t="shared" si="212"/>
        <v>421.18693708500911</v>
      </c>
    </row>
    <row r="459" spans="2:40">
      <c r="B459" s="151" t="s">
        <v>229</v>
      </c>
      <c r="C459" s="36" t="s">
        <v>72</v>
      </c>
      <c r="E459" s="173">
        <v>180.571</v>
      </c>
      <c r="F459" s="173">
        <v>193.72499999999999</v>
      </c>
      <c r="G459" s="173">
        <v>171.95599999999999</v>
      </c>
      <c r="H459" s="173">
        <v>228.11199999999999</v>
      </c>
      <c r="I459" s="173">
        <v>211.71600000000001</v>
      </c>
      <c r="J459" s="173">
        <v>221.84200000000001</v>
      </c>
      <c r="K459" s="173">
        <v>178.72499999999999</v>
      </c>
      <c r="L459" s="173">
        <v>200.16499999999999</v>
      </c>
      <c r="M459" s="173">
        <v>175.291</v>
      </c>
      <c r="N459" s="173">
        <v>187.19900000000001</v>
      </c>
      <c r="O459" s="173">
        <v>204.57599999999999</v>
      </c>
      <c r="P459" s="173">
        <v>215.99700000000001</v>
      </c>
      <c r="Q459" s="173">
        <v>237.035</v>
      </c>
      <c r="R459" s="173">
        <v>226.79599999999999</v>
      </c>
      <c r="S459" s="173">
        <v>196.47200000000001</v>
      </c>
      <c r="T459" s="173">
        <v>143.82400000000001</v>
      </c>
      <c r="U459" s="173">
        <v>134.30699999999999</v>
      </c>
      <c r="V459" s="173">
        <v>150.96700000000001</v>
      </c>
      <c r="W459" s="177">
        <f t="shared" ref="W459:AN459" si="213">W460*W458/W$13</f>
        <v>152.64400152173911</v>
      </c>
      <c r="X459" s="177">
        <f t="shared" si="213"/>
        <v>153.71310623204423</v>
      </c>
      <c r="Y459" s="177">
        <f t="shared" si="213"/>
        <v>152.1254382743478</v>
      </c>
      <c r="Z459" s="177">
        <f t="shared" si="213"/>
        <v>152.00673883670328</v>
      </c>
      <c r="AA459" s="177">
        <f t="shared" si="213"/>
        <v>155.68760257351741</v>
      </c>
      <c r="AB459" s="177">
        <f t="shared" si="213"/>
        <v>156.35751025902096</v>
      </c>
      <c r="AC459" s="177">
        <f t="shared" si="213"/>
        <v>162.01481316580072</v>
      </c>
      <c r="AD459" s="177">
        <f t="shared" si="213"/>
        <v>162.67928771759352</v>
      </c>
      <c r="AE459" s="177">
        <f t="shared" si="213"/>
        <v>168.69279843426531</v>
      </c>
      <c r="AF459" s="177">
        <f t="shared" si="213"/>
        <v>169.14876319558596</v>
      </c>
      <c r="AG459" s="177">
        <f t="shared" si="213"/>
        <v>175.51740235040256</v>
      </c>
      <c r="AH459" s="177">
        <f t="shared" si="213"/>
        <v>174.96672638359922</v>
      </c>
      <c r="AI459" s="177">
        <f t="shared" si="213"/>
        <v>182.6852953835031</v>
      </c>
      <c r="AJ459" s="177">
        <f t="shared" si="213"/>
        <v>183.05576690776837</v>
      </c>
      <c r="AK459" s="177">
        <f t="shared" si="213"/>
        <v>189.92817912874219</v>
      </c>
      <c r="AL459" s="177">
        <f t="shared" si="213"/>
        <v>190.24210142467905</v>
      </c>
      <c r="AM459" s="177">
        <f t="shared" si="213"/>
        <v>197.544832958211</v>
      </c>
      <c r="AN459" s="177">
        <f t="shared" si="213"/>
        <v>197.79497045428602</v>
      </c>
    </row>
    <row r="460" spans="2:40">
      <c r="B460" s="174" t="s">
        <v>231</v>
      </c>
      <c r="C460" s="36" t="s">
        <v>224</v>
      </c>
      <c r="G460" s="204">
        <f t="shared" ref="G460:V460" si="214">G459/G458*G$13</f>
        <v>100.3089484944112</v>
      </c>
      <c r="H460" s="204">
        <f t="shared" si="214"/>
        <v>137.55321278500321</v>
      </c>
      <c r="I460" s="204">
        <f t="shared" si="214"/>
        <v>133.71168211634412</v>
      </c>
      <c r="J460" s="204">
        <f t="shared" si="214"/>
        <v>189.38391651678037</v>
      </c>
      <c r="K460" s="204">
        <f t="shared" si="214"/>
        <v>144.6152263554427</v>
      </c>
      <c r="L460" s="204">
        <f t="shared" si="214"/>
        <v>141.72376515056368</v>
      </c>
      <c r="M460" s="204">
        <f t="shared" si="214"/>
        <v>158.80589106959772</v>
      </c>
      <c r="N460" s="204">
        <f t="shared" si="214"/>
        <v>144.54003094809158</v>
      </c>
      <c r="O460" s="204">
        <f t="shared" si="214"/>
        <v>135.84259833994949</v>
      </c>
      <c r="P460" s="204">
        <f t="shared" si="214"/>
        <v>137.80562918575959</v>
      </c>
      <c r="Q460" s="204">
        <f t="shared" si="214"/>
        <v>146.11202680067001</v>
      </c>
      <c r="R460" s="204">
        <f t="shared" si="214"/>
        <v>140.30208021753907</v>
      </c>
      <c r="S460" s="204">
        <f t="shared" si="214"/>
        <v>119.50693553719009</v>
      </c>
      <c r="T460" s="204">
        <f t="shared" si="214"/>
        <v>90.076622837370238</v>
      </c>
      <c r="U460" s="204">
        <f t="shared" si="214"/>
        <v>75.758700183936227</v>
      </c>
      <c r="V460" s="204">
        <f t="shared" si="214"/>
        <v>86.773664655446154</v>
      </c>
      <c r="W460" s="631">
        <v>85</v>
      </c>
      <c r="X460" s="631">
        <v>85</v>
      </c>
      <c r="Y460" s="631">
        <v>85</v>
      </c>
      <c r="Z460" s="631">
        <v>85</v>
      </c>
      <c r="AA460" s="631">
        <v>85</v>
      </c>
      <c r="AB460" s="631">
        <v>85</v>
      </c>
      <c r="AC460" s="631">
        <v>85</v>
      </c>
      <c r="AD460" s="631">
        <v>85</v>
      </c>
      <c r="AE460" s="631">
        <v>85</v>
      </c>
      <c r="AF460" s="631">
        <v>85</v>
      </c>
      <c r="AG460" s="631">
        <v>85</v>
      </c>
      <c r="AH460" s="631">
        <v>85</v>
      </c>
      <c r="AI460" s="631">
        <v>85</v>
      </c>
      <c r="AJ460" s="631">
        <v>85</v>
      </c>
      <c r="AK460" s="631">
        <v>85</v>
      </c>
      <c r="AL460" s="631">
        <v>85</v>
      </c>
      <c r="AM460" s="631">
        <v>85</v>
      </c>
      <c r="AN460" s="631">
        <v>85</v>
      </c>
    </row>
    <row r="461" spans="2:40">
      <c r="B461" s="171"/>
    </row>
    <row r="462" spans="2:40">
      <c r="B462" s="145" t="s">
        <v>232</v>
      </c>
      <c r="C462" s="36" t="s">
        <v>224</v>
      </c>
      <c r="G462" s="40">
        <f t="shared" ref="G462:AN462" si="215">G454+G449-G460</f>
        <v>-84.262833852230855</v>
      </c>
      <c r="H462" s="40">
        <f t="shared" si="215"/>
        <v>-113.8607806374894</v>
      </c>
      <c r="I462" s="40">
        <f t="shared" si="215"/>
        <v>-108.26477808089257</v>
      </c>
      <c r="J462" s="40">
        <f t="shared" si="215"/>
        <v>-154.21652538328141</v>
      </c>
      <c r="K462" s="40">
        <f t="shared" si="215"/>
        <v>-113.35571262027185</v>
      </c>
      <c r="L462" s="40">
        <f t="shared" si="215"/>
        <v>-120.98883840665623</v>
      </c>
      <c r="M462" s="40">
        <f t="shared" si="215"/>
        <v>-127.36209385845513</v>
      </c>
      <c r="N462" s="40">
        <f t="shared" si="215"/>
        <v>-124.82024491655166</v>
      </c>
      <c r="O462" s="40">
        <f t="shared" si="215"/>
        <v>-117.61553785714246</v>
      </c>
      <c r="P462" s="40">
        <f t="shared" si="215"/>
        <v>-110.61503041545561</v>
      </c>
      <c r="Q462" s="40">
        <f t="shared" si="215"/>
        <v>-127.40101432183501</v>
      </c>
      <c r="R462" s="40">
        <f t="shared" si="215"/>
        <v>-98.151719195221062</v>
      </c>
      <c r="S462" s="40">
        <f t="shared" si="215"/>
        <v>-103.51423151462927</v>
      </c>
      <c r="T462" s="40">
        <f t="shared" si="215"/>
        <v>-74.231891834184651</v>
      </c>
      <c r="U462" s="40">
        <f t="shared" si="215"/>
        <v>-57.077734809846916</v>
      </c>
      <c r="V462" s="40">
        <f t="shared" si="215"/>
        <v>-68.931021921762493</v>
      </c>
      <c r="W462" s="40">
        <f t="shared" si="215"/>
        <v>-67.157357266316353</v>
      </c>
      <c r="X462" s="40">
        <f t="shared" si="215"/>
        <v>-67.157357266316353</v>
      </c>
      <c r="Y462" s="40">
        <f t="shared" si="215"/>
        <v>-67.157357266316353</v>
      </c>
      <c r="Z462" s="40">
        <f t="shared" si="215"/>
        <v>-67.157357266316353</v>
      </c>
      <c r="AA462" s="40">
        <f t="shared" si="215"/>
        <v>-67.157357266316353</v>
      </c>
      <c r="AB462" s="40">
        <f t="shared" si="215"/>
        <v>-67.157357266316353</v>
      </c>
      <c r="AC462" s="40">
        <f t="shared" si="215"/>
        <v>-67.157357266316353</v>
      </c>
      <c r="AD462" s="40">
        <f t="shared" si="215"/>
        <v>-67.157357266316353</v>
      </c>
      <c r="AE462" s="40">
        <f t="shared" si="215"/>
        <v>-67.157357266316353</v>
      </c>
      <c r="AF462" s="40">
        <f t="shared" si="215"/>
        <v>-67.157357266316353</v>
      </c>
      <c r="AG462" s="40">
        <f t="shared" si="215"/>
        <v>-67.157357266316353</v>
      </c>
      <c r="AH462" s="40">
        <f t="shared" si="215"/>
        <v>-67.157357266316353</v>
      </c>
      <c r="AI462" s="40">
        <f t="shared" si="215"/>
        <v>-67.157357266316353</v>
      </c>
      <c r="AJ462" s="40">
        <f t="shared" si="215"/>
        <v>-67.157357266316353</v>
      </c>
      <c r="AK462" s="40">
        <f t="shared" si="215"/>
        <v>-67.157357266316353</v>
      </c>
      <c r="AL462" s="40">
        <f t="shared" si="215"/>
        <v>-67.157357266316353</v>
      </c>
      <c r="AM462" s="40">
        <f t="shared" si="215"/>
        <v>-67.157357266316353</v>
      </c>
      <c r="AN462" s="40">
        <f t="shared" si="215"/>
        <v>-67.157357266316353</v>
      </c>
    </row>
    <row r="463" spans="2:40">
      <c r="B463" s="171"/>
    </row>
    <row r="464" spans="2:40">
      <c r="B464" s="171" t="s">
        <v>233</v>
      </c>
    </row>
    <row r="465" spans="1:40">
      <c r="B465" s="151" t="s">
        <v>234</v>
      </c>
      <c r="C465" s="36" t="s">
        <v>72</v>
      </c>
      <c r="E465" s="40">
        <f t="shared" ref="E465:AN465" si="216">E448+E453-E459</f>
        <v>-150.708</v>
      </c>
      <c r="F465" s="40">
        <f t="shared" si="216"/>
        <v>-162.77599999999998</v>
      </c>
      <c r="G465" s="40">
        <f t="shared" si="216"/>
        <v>-133.66399999999999</v>
      </c>
      <c r="H465" s="40">
        <f t="shared" si="216"/>
        <v>-172.36</v>
      </c>
      <c r="I465" s="40">
        <f t="shared" si="216"/>
        <v>-154.40600000000001</v>
      </c>
      <c r="J465" s="40">
        <f t="shared" si="216"/>
        <v>-172.96200000000002</v>
      </c>
      <c r="K465" s="40">
        <f t="shared" si="216"/>
        <v>-124.215</v>
      </c>
      <c r="L465" s="40">
        <f t="shared" si="216"/>
        <v>-159.57299999999998</v>
      </c>
      <c r="M465" s="40">
        <f t="shared" si="216"/>
        <v>-135.77199999999999</v>
      </c>
      <c r="N465" s="40">
        <f t="shared" si="216"/>
        <v>-153.84500000000003</v>
      </c>
      <c r="O465" s="40">
        <f t="shared" si="216"/>
        <v>-165.935</v>
      </c>
      <c r="P465" s="40">
        <f t="shared" si="216"/>
        <v>-156.58200000000002</v>
      </c>
      <c r="Q465" s="40">
        <f t="shared" si="216"/>
        <v>-196.191</v>
      </c>
      <c r="R465" s="40">
        <f t="shared" si="216"/>
        <v>-131.54300000000001</v>
      </c>
      <c r="S465" s="40">
        <f t="shared" si="216"/>
        <v>-163.27300000000002</v>
      </c>
      <c r="T465" s="40">
        <f t="shared" si="216"/>
        <v>-111.733</v>
      </c>
      <c r="U465" s="40">
        <f t="shared" si="216"/>
        <v>-94.789999999999992</v>
      </c>
      <c r="V465" s="40">
        <f t="shared" si="216"/>
        <v>-112.95200000000001</v>
      </c>
      <c r="W465" s="40">
        <f t="shared" si="216"/>
        <v>-114.23999081116398</v>
      </c>
      <c r="X465" s="40">
        <f t="shared" si="216"/>
        <v>-114.62261966084407</v>
      </c>
      <c r="Y465" s="40">
        <f t="shared" si="216"/>
        <v>-113.09469317072316</v>
      </c>
      <c r="Z465" s="40">
        <f t="shared" si="216"/>
        <v>-112.49366366405985</v>
      </c>
      <c r="AA465" s="40">
        <f t="shared" si="216"/>
        <v>-114.85029798647781</v>
      </c>
      <c r="AB465" s="40">
        <f t="shared" si="216"/>
        <v>-115.18694986058986</v>
      </c>
      <c r="AC465" s="40">
        <f t="shared" si="216"/>
        <v>-119.51885417169471</v>
      </c>
      <c r="AD465" s="40">
        <f t="shared" si="216"/>
        <v>-119.83897131965547</v>
      </c>
      <c r="AE465" s="40">
        <f t="shared" si="216"/>
        <v>-124.43698004303442</v>
      </c>
      <c r="AF465" s="40">
        <f t="shared" si="216"/>
        <v>-124.60002223919076</v>
      </c>
      <c r="AG465" s="40">
        <f t="shared" si="216"/>
        <v>-129.46447335930904</v>
      </c>
      <c r="AH465" s="40">
        <f t="shared" si="216"/>
        <v>-128.87315741892445</v>
      </c>
      <c r="AI465" s="40">
        <f t="shared" si="216"/>
        <v>-134.73652076245554</v>
      </c>
      <c r="AJ465" s="40">
        <f t="shared" si="216"/>
        <v>-134.80990434221059</v>
      </c>
      <c r="AK465" s="40">
        <f t="shared" si="216"/>
        <v>-140.23860785004828</v>
      </c>
      <c r="AL465" s="40">
        <f t="shared" si="216"/>
        <v>-140.25870197882847</v>
      </c>
      <c r="AM465" s="40">
        <f t="shared" si="216"/>
        <v>-146.01989302898315</v>
      </c>
      <c r="AN465" s="40">
        <f t="shared" si="216"/>
        <v>-145.98065583495651</v>
      </c>
    </row>
    <row r="466" spans="1:40">
      <c r="B466" s="151" t="s">
        <v>235</v>
      </c>
      <c r="C466" s="36" t="s">
        <v>72</v>
      </c>
      <c r="F466" s="40">
        <f t="shared" ref="F466:AN466" si="217">E465-F465</f>
        <v>12.067999999999984</v>
      </c>
      <c r="G466" s="40">
        <f t="shared" si="217"/>
        <v>-29.111999999999995</v>
      </c>
      <c r="H466" s="40">
        <f t="shared" si="217"/>
        <v>38.696000000000026</v>
      </c>
      <c r="I466" s="40">
        <f t="shared" si="217"/>
        <v>-17.954000000000008</v>
      </c>
      <c r="J466" s="40">
        <f t="shared" si="217"/>
        <v>18.556000000000012</v>
      </c>
      <c r="K466" s="40">
        <f t="shared" si="217"/>
        <v>-48.747000000000014</v>
      </c>
      <c r="L466" s="40">
        <f t="shared" si="217"/>
        <v>35.357999999999976</v>
      </c>
      <c r="M466" s="40">
        <f t="shared" si="217"/>
        <v>-23.800999999999988</v>
      </c>
      <c r="N466" s="40">
        <f t="shared" si="217"/>
        <v>18.073000000000036</v>
      </c>
      <c r="O466" s="40">
        <f t="shared" si="217"/>
        <v>12.089999999999975</v>
      </c>
      <c r="P466" s="40">
        <f t="shared" si="217"/>
        <v>-9.3529999999999802</v>
      </c>
      <c r="Q466" s="40">
        <f t="shared" si="217"/>
        <v>39.60899999999998</v>
      </c>
      <c r="R466" s="40">
        <f t="shared" si="217"/>
        <v>-64.647999999999996</v>
      </c>
      <c r="S466" s="40">
        <f t="shared" si="217"/>
        <v>31.730000000000018</v>
      </c>
      <c r="T466" s="40">
        <f t="shared" si="217"/>
        <v>-51.54000000000002</v>
      </c>
      <c r="U466" s="40">
        <f t="shared" si="217"/>
        <v>-16.943000000000012</v>
      </c>
      <c r="V466" s="40">
        <f t="shared" si="217"/>
        <v>18.16200000000002</v>
      </c>
      <c r="W466" s="40">
        <f t="shared" si="217"/>
        <v>1.2879908111639651</v>
      </c>
      <c r="X466" s="40">
        <f t="shared" si="217"/>
        <v>0.38262884968008848</v>
      </c>
      <c r="Y466" s="40">
        <f t="shared" si="217"/>
        <v>-1.5279264901209046</v>
      </c>
      <c r="Z466" s="40">
        <f t="shared" si="217"/>
        <v>-0.60102950666330912</v>
      </c>
      <c r="AA466" s="40">
        <f t="shared" si="217"/>
        <v>2.3566343224179604</v>
      </c>
      <c r="AB466" s="40">
        <f t="shared" si="217"/>
        <v>0.33665187411205011</v>
      </c>
      <c r="AC466" s="40">
        <f t="shared" si="217"/>
        <v>4.3319043111048501</v>
      </c>
      <c r="AD466" s="40">
        <f t="shared" si="217"/>
        <v>0.32011714796075807</v>
      </c>
      <c r="AE466" s="40">
        <f t="shared" si="217"/>
        <v>4.5980087233789533</v>
      </c>
      <c r="AF466" s="40">
        <f t="shared" si="217"/>
        <v>0.16304219615633997</v>
      </c>
      <c r="AG466" s="40">
        <f t="shared" si="217"/>
        <v>4.8644511201182752</v>
      </c>
      <c r="AH466" s="40">
        <f t="shared" si="217"/>
        <v>-0.59131594038458957</v>
      </c>
      <c r="AI466" s="40">
        <f t="shared" si="217"/>
        <v>5.8633633435310912</v>
      </c>
      <c r="AJ466" s="40">
        <f t="shared" si="217"/>
        <v>7.3383579755045503E-2</v>
      </c>
      <c r="AK466" s="40">
        <f t="shared" si="217"/>
        <v>5.428703507837696</v>
      </c>
      <c r="AL466" s="40">
        <f t="shared" si="217"/>
        <v>2.0094128780186793E-2</v>
      </c>
      <c r="AM466" s="40">
        <f t="shared" si="217"/>
        <v>5.7611910501546788</v>
      </c>
      <c r="AN466" s="40">
        <f t="shared" si="217"/>
        <v>-3.9237194026640054E-2</v>
      </c>
    </row>
    <row r="467" spans="1:40">
      <c r="D467" s="25"/>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spans="1:40" s="118" customFormat="1">
      <c r="A468" s="118" t="s">
        <v>7</v>
      </c>
      <c r="B468" s="181" t="s">
        <v>236</v>
      </c>
      <c r="C468" s="182"/>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c r="AB468" s="183"/>
      <c r="AC468" s="183"/>
      <c r="AD468" s="183"/>
      <c r="AE468" s="183"/>
      <c r="AF468" s="183"/>
      <c r="AG468" s="183"/>
      <c r="AH468" s="183"/>
      <c r="AI468" s="183"/>
      <c r="AJ468" s="183"/>
      <c r="AK468" s="183"/>
      <c r="AL468" s="183"/>
      <c r="AM468" s="183"/>
      <c r="AN468" s="183"/>
    </row>
    <row r="469" spans="1:40">
      <c r="B469" s="170"/>
      <c r="C469" s="110"/>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row>
    <row r="470" spans="1:40">
      <c r="B470" s="129" t="s">
        <v>237</v>
      </c>
      <c r="D470" s="25"/>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spans="1:40">
      <c r="B471" s="171" t="s">
        <v>238</v>
      </c>
      <c r="D471" s="25"/>
      <c r="E471" s="2"/>
      <c r="F471" s="2"/>
      <c r="G471" s="2"/>
      <c r="H471" s="2"/>
      <c r="I471" s="2"/>
      <c r="J471" s="2"/>
      <c r="K471" s="2"/>
      <c r="L471" s="2"/>
      <c r="M471" s="2"/>
      <c r="N471" s="2"/>
      <c r="O471" s="2"/>
      <c r="P471" s="2"/>
    </row>
    <row r="472" spans="1:40">
      <c r="B472" s="174" t="s">
        <v>238</v>
      </c>
      <c r="C472" s="36" t="s">
        <v>72</v>
      </c>
      <c r="D472" s="173"/>
      <c r="E472" s="173">
        <v>0</v>
      </c>
      <c r="F472" s="173">
        <v>0</v>
      </c>
      <c r="G472" s="173">
        <v>0</v>
      </c>
      <c r="H472" s="173">
        <v>0</v>
      </c>
      <c r="I472" s="173">
        <v>0</v>
      </c>
      <c r="J472" s="173">
        <v>177.59700000000001</v>
      </c>
      <c r="K472" s="173">
        <v>48.737000000000002</v>
      </c>
      <c r="L472" s="173">
        <v>0</v>
      </c>
      <c r="M472" s="173">
        <v>0</v>
      </c>
      <c r="N472" s="173">
        <v>0</v>
      </c>
      <c r="O472" s="173">
        <v>0</v>
      </c>
      <c r="P472" s="173">
        <v>0</v>
      </c>
      <c r="Q472" s="173">
        <v>0</v>
      </c>
      <c r="R472" s="173">
        <v>0</v>
      </c>
      <c r="S472" s="173">
        <v>0</v>
      </c>
      <c r="T472" s="173">
        <v>0</v>
      </c>
      <c r="U472" s="173">
        <v>229.02699999999999</v>
      </c>
      <c r="V472" s="94">
        <v>0</v>
      </c>
      <c r="W472" s="94">
        <v>0</v>
      </c>
      <c r="X472" s="94">
        <v>0</v>
      </c>
      <c r="Y472" s="94">
        <v>0</v>
      </c>
      <c r="Z472" s="94">
        <v>0</v>
      </c>
      <c r="AA472" s="94">
        <v>0</v>
      </c>
      <c r="AB472" s="94">
        <v>0</v>
      </c>
      <c r="AC472" s="94">
        <v>0</v>
      </c>
      <c r="AD472" s="94">
        <v>0</v>
      </c>
      <c r="AE472" s="94">
        <v>0</v>
      </c>
      <c r="AF472" s="94">
        <v>0</v>
      </c>
      <c r="AG472" s="94">
        <v>0</v>
      </c>
      <c r="AH472" s="94">
        <v>0</v>
      </c>
      <c r="AI472" s="94">
        <v>0</v>
      </c>
      <c r="AJ472" s="94">
        <v>0</v>
      </c>
      <c r="AK472" s="94">
        <v>0</v>
      </c>
      <c r="AL472" s="94">
        <v>0</v>
      </c>
      <c r="AM472" s="94">
        <v>0</v>
      </c>
      <c r="AN472" s="94">
        <v>0</v>
      </c>
    </row>
    <row r="473" spans="1:40">
      <c r="B473" s="174" t="s">
        <v>239</v>
      </c>
      <c r="C473" s="36" t="s">
        <v>85</v>
      </c>
      <c r="D473" s="25"/>
      <c r="E473" s="2"/>
      <c r="F473" s="2"/>
      <c r="G473" s="2"/>
      <c r="H473" s="2"/>
      <c r="I473" s="2"/>
      <c r="J473" s="2">
        <f>J472/J474</f>
        <v>2.4666250000000001</v>
      </c>
      <c r="K473" s="2">
        <f>K472/K474</f>
        <v>2.3198812399019575</v>
      </c>
      <c r="L473" s="2"/>
      <c r="M473" s="2"/>
      <c r="N473" s="2"/>
      <c r="O473" s="564">
        <v>1.8</v>
      </c>
      <c r="P473" s="564">
        <v>1.82</v>
      </c>
      <c r="Q473" s="564">
        <f>O473*(1+$D$640*20%)</f>
        <v>1.8471600000000001</v>
      </c>
      <c r="R473" s="206">
        <v>1.4</v>
      </c>
      <c r="S473" s="206">
        <v>1.2</v>
      </c>
      <c r="T473" s="206">
        <v>1</v>
      </c>
      <c r="U473" s="207">
        <f>U472/U474</f>
        <v>0.66800964916891692</v>
      </c>
      <c r="V473" s="206">
        <v>0.7</v>
      </c>
      <c r="W473" s="206">
        <f t="shared" ref="W473:AN473" si="218">U473*(1+$D$640*20%)</f>
        <v>0.6855115019771425</v>
      </c>
      <c r="X473" s="206">
        <f t="shared" si="218"/>
        <v>0.71833999999999998</v>
      </c>
      <c r="Y473" s="206">
        <f t="shared" si="218"/>
        <v>0.7034719033289436</v>
      </c>
      <c r="Z473" s="206">
        <f t="shared" si="218"/>
        <v>0.73716050799999999</v>
      </c>
      <c r="AA473" s="206">
        <f t="shared" si="218"/>
        <v>0.72190286719616192</v>
      </c>
      <c r="AB473" s="206">
        <f t="shared" si="218"/>
        <v>0.75647411330960002</v>
      </c>
      <c r="AC473" s="206">
        <f t="shared" si="218"/>
        <v>0.74081672231670137</v>
      </c>
      <c r="AD473" s="206">
        <f t="shared" si="218"/>
        <v>0.77629373507831156</v>
      </c>
      <c r="AE473" s="206">
        <f t="shared" si="218"/>
        <v>0.76022612044139892</v>
      </c>
      <c r="AF473" s="206">
        <f t="shared" si="218"/>
        <v>0.79663263093736336</v>
      </c>
      <c r="AG473" s="206">
        <f t="shared" si="218"/>
        <v>0.78014404479696353</v>
      </c>
      <c r="AH473" s="206">
        <f t="shared" si="218"/>
        <v>0.81750440586792228</v>
      </c>
      <c r="AI473" s="206">
        <f t="shared" si="218"/>
        <v>0.800583818770644</v>
      </c>
      <c r="AJ473" s="206">
        <f t="shared" si="218"/>
        <v>0.83892302130166185</v>
      </c>
      <c r="AK473" s="206">
        <f t="shared" si="218"/>
        <v>0.82155911482243482</v>
      </c>
      <c r="AL473" s="206">
        <f t="shared" si="218"/>
        <v>0.86090280445976541</v>
      </c>
      <c r="AM473" s="206">
        <f t="shared" si="218"/>
        <v>0.84308396363078264</v>
      </c>
      <c r="AN473" s="206">
        <f t="shared" si="218"/>
        <v>0.88345845793661126</v>
      </c>
    </row>
    <row r="474" spans="1:40">
      <c r="B474" s="151" t="s">
        <v>240</v>
      </c>
      <c r="C474" s="36" t="s">
        <v>241</v>
      </c>
      <c r="D474" s="25"/>
      <c r="E474" s="7"/>
      <c r="F474" s="7"/>
      <c r="G474" s="7"/>
      <c r="H474" s="7"/>
      <c r="I474" s="2"/>
      <c r="J474" s="7">
        <f>J483</f>
        <v>72</v>
      </c>
      <c r="K474" s="7">
        <f>K483</f>
        <v>21.008403000000001</v>
      </c>
      <c r="L474" s="2"/>
      <c r="M474" s="2"/>
      <c r="N474" s="2"/>
      <c r="O474" s="2"/>
      <c r="P474" s="2"/>
      <c r="Q474" s="7">
        <f>Q472/Q473</f>
        <v>0</v>
      </c>
      <c r="R474" s="7">
        <f>R472/R473</f>
        <v>0</v>
      </c>
      <c r="S474" s="7">
        <f>S472/S473</f>
        <v>0</v>
      </c>
      <c r="T474" s="7">
        <f>T472/T473</f>
        <v>0</v>
      </c>
      <c r="U474" s="212">
        <v>342.84983799999998</v>
      </c>
      <c r="V474" s="7">
        <f t="shared" ref="V474:AN474" si="219">V472/V473</f>
        <v>0</v>
      </c>
      <c r="W474" s="7">
        <f t="shared" si="219"/>
        <v>0</v>
      </c>
      <c r="X474" s="7">
        <f t="shared" si="219"/>
        <v>0</v>
      </c>
      <c r="Y474" s="7">
        <f t="shared" si="219"/>
        <v>0</v>
      </c>
      <c r="Z474" s="7">
        <f t="shared" si="219"/>
        <v>0</v>
      </c>
      <c r="AA474" s="7">
        <f t="shared" si="219"/>
        <v>0</v>
      </c>
      <c r="AB474" s="7">
        <f t="shared" si="219"/>
        <v>0</v>
      </c>
      <c r="AC474" s="7">
        <f t="shared" si="219"/>
        <v>0</v>
      </c>
      <c r="AD474" s="7">
        <f t="shared" si="219"/>
        <v>0</v>
      </c>
      <c r="AE474" s="7">
        <f t="shared" si="219"/>
        <v>0</v>
      </c>
      <c r="AF474" s="7">
        <f t="shared" si="219"/>
        <v>0</v>
      </c>
      <c r="AG474" s="7">
        <f t="shared" si="219"/>
        <v>0</v>
      </c>
      <c r="AH474" s="7">
        <f t="shared" si="219"/>
        <v>0</v>
      </c>
      <c r="AI474" s="7">
        <f t="shared" si="219"/>
        <v>0</v>
      </c>
      <c r="AJ474" s="7">
        <f t="shared" si="219"/>
        <v>0</v>
      </c>
      <c r="AK474" s="7">
        <f t="shared" si="219"/>
        <v>0</v>
      </c>
      <c r="AL474" s="7">
        <f t="shared" si="219"/>
        <v>0</v>
      </c>
      <c r="AM474" s="7">
        <f t="shared" si="219"/>
        <v>0</v>
      </c>
      <c r="AN474" s="7">
        <f t="shared" si="219"/>
        <v>0</v>
      </c>
    </row>
    <row r="475" spans="1:40">
      <c r="B475" s="151"/>
      <c r="D475" s="25"/>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spans="1:40">
      <c r="B476" s="171" t="s">
        <v>242</v>
      </c>
      <c r="D476" s="25"/>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spans="1:40">
      <c r="B477" s="174" t="s">
        <v>243</v>
      </c>
      <c r="C477" s="36" t="s">
        <v>72</v>
      </c>
      <c r="D477" s="25"/>
      <c r="E477" s="173">
        <v>0</v>
      </c>
      <c r="F477" s="173">
        <v>0</v>
      </c>
      <c r="G477" s="173">
        <v>0</v>
      </c>
      <c r="H477" s="173">
        <v>0</v>
      </c>
      <c r="I477" s="173">
        <v>-19.992999999999999</v>
      </c>
      <c r="J477" s="173">
        <v>0</v>
      </c>
      <c r="K477" s="173">
        <v>0</v>
      </c>
      <c r="L477" s="173">
        <v>0</v>
      </c>
      <c r="M477" s="173">
        <v>0</v>
      </c>
      <c r="N477" s="173">
        <v>0</v>
      </c>
      <c r="O477" s="173">
        <v>0</v>
      </c>
      <c r="P477" s="173">
        <v>0</v>
      </c>
      <c r="Q477" s="173">
        <v>0</v>
      </c>
      <c r="R477" s="94">
        <v>0</v>
      </c>
      <c r="S477" s="94">
        <v>0</v>
      </c>
      <c r="T477" s="94">
        <v>0</v>
      </c>
      <c r="U477" s="94">
        <v>0</v>
      </c>
      <c r="V477" s="94">
        <v>0</v>
      </c>
      <c r="W477" s="94">
        <v>0</v>
      </c>
      <c r="X477" s="94">
        <v>0</v>
      </c>
      <c r="Y477" s="94">
        <v>0</v>
      </c>
      <c r="Z477" s="94">
        <v>0</v>
      </c>
      <c r="AA477" s="94">
        <v>0</v>
      </c>
      <c r="AB477" s="94">
        <v>0</v>
      </c>
      <c r="AC477" s="94">
        <v>0</v>
      </c>
      <c r="AD477" s="94">
        <v>0</v>
      </c>
      <c r="AE477" s="94">
        <v>0</v>
      </c>
      <c r="AF477" s="94">
        <v>0</v>
      </c>
      <c r="AG477" s="94">
        <v>0</v>
      </c>
      <c r="AH477" s="94">
        <v>0</v>
      </c>
      <c r="AI477" s="94">
        <v>0</v>
      </c>
      <c r="AJ477" s="94">
        <v>0</v>
      </c>
      <c r="AK477" s="94">
        <v>0</v>
      </c>
      <c r="AL477" s="94">
        <v>0</v>
      </c>
      <c r="AM477" s="94">
        <v>0</v>
      </c>
      <c r="AN477" s="94">
        <v>0</v>
      </c>
    </row>
    <row r="478" spans="1:40">
      <c r="B478" s="174" t="s">
        <v>244</v>
      </c>
      <c r="C478" s="36" t="s">
        <v>85</v>
      </c>
      <c r="D478" s="25"/>
      <c r="E478" s="2"/>
      <c r="F478" s="2"/>
      <c r="G478" s="2"/>
      <c r="H478" s="2">
        <f>H477/H479</f>
        <v>0</v>
      </c>
      <c r="I478" s="2">
        <f>I477/I479</f>
        <v>3.8788520786285785</v>
      </c>
      <c r="J478" s="2"/>
      <c r="K478" s="2"/>
      <c r="L478" s="2"/>
      <c r="M478" s="2"/>
      <c r="N478" s="2"/>
      <c r="O478" s="2"/>
      <c r="P478" s="2"/>
      <c r="Q478" s="207">
        <f t="shared" ref="Q478:AN478" si="220">Q473</f>
        <v>1.8471600000000001</v>
      </c>
      <c r="R478" s="207">
        <f t="shared" si="220"/>
        <v>1.4</v>
      </c>
      <c r="S478" s="207">
        <f t="shared" si="220"/>
        <v>1.2</v>
      </c>
      <c r="T478" s="207">
        <f t="shared" si="220"/>
        <v>1</v>
      </c>
      <c r="U478" s="207">
        <f t="shared" si="220"/>
        <v>0.66800964916891692</v>
      </c>
      <c r="V478" s="207">
        <f t="shared" si="220"/>
        <v>0.7</v>
      </c>
      <c r="W478" s="207">
        <f t="shared" si="220"/>
        <v>0.6855115019771425</v>
      </c>
      <c r="X478" s="207">
        <f t="shared" si="220"/>
        <v>0.71833999999999998</v>
      </c>
      <c r="Y478" s="207">
        <f t="shared" si="220"/>
        <v>0.7034719033289436</v>
      </c>
      <c r="Z478" s="207">
        <f t="shared" si="220"/>
        <v>0.73716050799999999</v>
      </c>
      <c r="AA478" s="207">
        <f t="shared" si="220"/>
        <v>0.72190286719616192</v>
      </c>
      <c r="AB478" s="207">
        <f t="shared" si="220"/>
        <v>0.75647411330960002</v>
      </c>
      <c r="AC478" s="207">
        <f t="shared" si="220"/>
        <v>0.74081672231670137</v>
      </c>
      <c r="AD478" s="207">
        <f t="shared" si="220"/>
        <v>0.77629373507831156</v>
      </c>
      <c r="AE478" s="207">
        <f t="shared" si="220"/>
        <v>0.76022612044139892</v>
      </c>
      <c r="AF478" s="207">
        <f t="shared" si="220"/>
        <v>0.79663263093736336</v>
      </c>
      <c r="AG478" s="207">
        <f t="shared" si="220"/>
        <v>0.78014404479696353</v>
      </c>
      <c r="AH478" s="207">
        <f t="shared" si="220"/>
        <v>0.81750440586792228</v>
      </c>
      <c r="AI478" s="207">
        <f t="shared" si="220"/>
        <v>0.800583818770644</v>
      </c>
      <c r="AJ478" s="207">
        <f t="shared" si="220"/>
        <v>0.83892302130166185</v>
      </c>
      <c r="AK478" s="207">
        <f t="shared" si="220"/>
        <v>0.82155911482243482</v>
      </c>
      <c r="AL478" s="207">
        <f t="shared" si="220"/>
        <v>0.86090280445976541</v>
      </c>
      <c r="AM478" s="207">
        <f t="shared" si="220"/>
        <v>0.84308396363078264</v>
      </c>
      <c r="AN478" s="207">
        <f t="shared" si="220"/>
        <v>0.88345845793661126</v>
      </c>
    </row>
    <row r="479" spans="1:40">
      <c r="B479" s="151" t="s">
        <v>245</v>
      </c>
      <c r="C479" s="36" t="s">
        <v>241</v>
      </c>
      <c r="D479" s="25"/>
      <c r="E479" s="2"/>
      <c r="F479" s="7"/>
      <c r="G479" s="7"/>
      <c r="H479" s="7">
        <f>H484</f>
        <v>-10.095373</v>
      </c>
      <c r="I479" s="7">
        <f>I484</f>
        <v>-5.1543599999999996</v>
      </c>
      <c r="J479" s="7"/>
      <c r="K479" s="7"/>
      <c r="L479" s="7"/>
      <c r="M479" s="7"/>
      <c r="N479" s="7"/>
      <c r="O479" s="7"/>
      <c r="P479" s="7"/>
      <c r="Q479" s="7">
        <f t="shared" ref="Q479:AN479" si="221">Q477/Q478</f>
        <v>0</v>
      </c>
      <c r="R479" s="7">
        <f t="shared" si="221"/>
        <v>0</v>
      </c>
      <c r="S479" s="7">
        <f t="shared" si="221"/>
        <v>0</v>
      </c>
      <c r="T479" s="7">
        <f t="shared" si="221"/>
        <v>0</v>
      </c>
      <c r="U479" s="7">
        <f t="shared" si="221"/>
        <v>0</v>
      </c>
      <c r="V479" s="7">
        <f t="shared" si="221"/>
        <v>0</v>
      </c>
      <c r="W479" s="7">
        <f t="shared" si="221"/>
        <v>0</v>
      </c>
      <c r="X479" s="7">
        <f t="shared" si="221"/>
        <v>0</v>
      </c>
      <c r="Y479" s="7">
        <f t="shared" si="221"/>
        <v>0</v>
      </c>
      <c r="Z479" s="7">
        <f t="shared" si="221"/>
        <v>0</v>
      </c>
      <c r="AA479" s="7">
        <f t="shared" si="221"/>
        <v>0</v>
      </c>
      <c r="AB479" s="7">
        <f t="shared" si="221"/>
        <v>0</v>
      </c>
      <c r="AC479" s="7">
        <f t="shared" si="221"/>
        <v>0</v>
      </c>
      <c r="AD479" s="7">
        <f t="shared" si="221"/>
        <v>0</v>
      </c>
      <c r="AE479" s="7">
        <f t="shared" si="221"/>
        <v>0</v>
      </c>
      <c r="AF479" s="7">
        <f t="shared" si="221"/>
        <v>0</v>
      </c>
      <c r="AG479" s="7">
        <f t="shared" si="221"/>
        <v>0</v>
      </c>
      <c r="AH479" s="7">
        <f t="shared" si="221"/>
        <v>0</v>
      </c>
      <c r="AI479" s="7">
        <f t="shared" si="221"/>
        <v>0</v>
      </c>
      <c r="AJ479" s="7">
        <f t="shared" si="221"/>
        <v>0</v>
      </c>
      <c r="AK479" s="7">
        <f t="shared" si="221"/>
        <v>0</v>
      </c>
      <c r="AL479" s="7">
        <f t="shared" si="221"/>
        <v>0</v>
      </c>
      <c r="AM479" s="7">
        <f t="shared" si="221"/>
        <v>0</v>
      </c>
      <c r="AN479" s="7">
        <f t="shared" si="221"/>
        <v>0</v>
      </c>
    </row>
    <row r="480" spans="1:40">
      <c r="B480" s="151"/>
      <c r="D480" s="25"/>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spans="2:40">
      <c r="B481" s="171" t="s">
        <v>246</v>
      </c>
      <c r="D481" s="25"/>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spans="2:40">
      <c r="B482" s="174" t="s">
        <v>247</v>
      </c>
      <c r="C482" s="36" t="s">
        <v>241</v>
      </c>
      <c r="D482" s="173"/>
      <c r="E482" s="173">
        <v>667.37652300000002</v>
      </c>
      <c r="F482" s="173">
        <v>674.33561499999996</v>
      </c>
      <c r="G482" s="173">
        <v>680.34210800000005</v>
      </c>
      <c r="H482" s="173">
        <v>682.44653900000003</v>
      </c>
      <c r="I482" s="173">
        <v>672.35116600000003</v>
      </c>
      <c r="J482" s="173">
        <v>667.19680600000004</v>
      </c>
      <c r="K482" s="173">
        <v>739.19680600000004</v>
      </c>
      <c r="L482" s="173">
        <v>760.20520899999997</v>
      </c>
      <c r="M482" s="544">
        <v>760.20520899999997</v>
      </c>
      <c r="N482" s="173">
        <v>760.20520899999997</v>
      </c>
      <c r="O482" s="544">
        <v>760.20520899999997</v>
      </c>
      <c r="P482" s="173">
        <v>760.20520899999997</v>
      </c>
      <c r="Q482" s="544">
        <v>760.20520899999997</v>
      </c>
      <c r="R482" s="173">
        <v>760.20520899999997</v>
      </c>
      <c r="S482" s="544">
        <v>760.20520899999997</v>
      </c>
      <c r="T482" s="7">
        <f t="shared" ref="T482:AN482" si="222">S485</f>
        <v>760.20520899999997</v>
      </c>
      <c r="U482" s="7">
        <f t="shared" si="222"/>
        <v>760.20520899999997</v>
      </c>
      <c r="V482" s="7">
        <f t="shared" si="222"/>
        <v>1103.0550470000001</v>
      </c>
      <c r="W482" s="7">
        <f t="shared" si="222"/>
        <v>1103.0550470000001</v>
      </c>
      <c r="X482" s="7">
        <f t="shared" si="222"/>
        <v>1103.0550470000001</v>
      </c>
      <c r="Y482" s="7">
        <f t="shared" si="222"/>
        <v>1103.0550470000001</v>
      </c>
      <c r="Z482" s="7">
        <f t="shared" si="222"/>
        <v>1103.0550470000001</v>
      </c>
      <c r="AA482" s="7">
        <f t="shared" si="222"/>
        <v>1103.0550470000001</v>
      </c>
      <c r="AB482" s="7">
        <f t="shared" si="222"/>
        <v>1103.0550470000001</v>
      </c>
      <c r="AC482" s="7">
        <f t="shared" si="222"/>
        <v>1103.0550470000001</v>
      </c>
      <c r="AD482" s="7">
        <f t="shared" si="222"/>
        <v>1103.0550470000001</v>
      </c>
      <c r="AE482" s="7">
        <f t="shared" si="222"/>
        <v>1103.0550470000001</v>
      </c>
      <c r="AF482" s="7">
        <f t="shared" si="222"/>
        <v>1103.0550470000001</v>
      </c>
      <c r="AG482" s="7">
        <f t="shared" si="222"/>
        <v>1103.0550470000001</v>
      </c>
      <c r="AH482" s="7">
        <f t="shared" si="222"/>
        <v>1103.0550470000001</v>
      </c>
      <c r="AI482" s="7">
        <f t="shared" si="222"/>
        <v>1103.0550470000001</v>
      </c>
      <c r="AJ482" s="7">
        <f t="shared" si="222"/>
        <v>1103.0550470000001</v>
      </c>
      <c r="AK482" s="7">
        <f t="shared" si="222"/>
        <v>1103.0550470000001</v>
      </c>
      <c r="AL482" s="7">
        <f t="shared" si="222"/>
        <v>1103.0550470000001</v>
      </c>
      <c r="AM482" s="7">
        <f t="shared" si="222"/>
        <v>1103.0550470000001</v>
      </c>
      <c r="AN482" s="7">
        <f t="shared" si="222"/>
        <v>1103.0550470000001</v>
      </c>
    </row>
    <row r="483" spans="2:40">
      <c r="B483" s="179" t="s">
        <v>248</v>
      </c>
      <c r="C483" s="36" t="s">
        <v>241</v>
      </c>
      <c r="D483" s="173"/>
      <c r="E483" s="173">
        <v>6.9590920000000001</v>
      </c>
      <c r="F483" s="173">
        <f>12.965585-E483</f>
        <v>6.0064930000000007</v>
      </c>
      <c r="G483" s="173">
        <v>2.1044309999999999</v>
      </c>
      <c r="H483" s="173"/>
      <c r="I483" s="173"/>
      <c r="J483" s="173">
        <v>72</v>
      </c>
      <c r="K483" s="173">
        <v>21.008403000000001</v>
      </c>
      <c r="L483" s="173"/>
      <c r="M483" s="173"/>
      <c r="N483" s="173"/>
      <c r="O483" s="173"/>
      <c r="P483" s="173"/>
      <c r="Q483" s="7">
        <f t="shared" ref="Q483:AN483" si="223">Q474</f>
        <v>0</v>
      </c>
      <c r="R483" s="7">
        <f t="shared" si="223"/>
        <v>0</v>
      </c>
      <c r="S483" s="7">
        <f t="shared" si="223"/>
        <v>0</v>
      </c>
      <c r="T483" s="7">
        <f t="shared" si="223"/>
        <v>0</v>
      </c>
      <c r="U483" s="7">
        <f t="shared" si="223"/>
        <v>342.84983799999998</v>
      </c>
      <c r="V483" s="7">
        <f t="shared" si="223"/>
        <v>0</v>
      </c>
      <c r="W483" s="7">
        <f t="shared" si="223"/>
        <v>0</v>
      </c>
      <c r="X483" s="7">
        <f t="shared" si="223"/>
        <v>0</v>
      </c>
      <c r="Y483" s="7">
        <f t="shared" si="223"/>
        <v>0</v>
      </c>
      <c r="Z483" s="7">
        <f t="shared" si="223"/>
        <v>0</v>
      </c>
      <c r="AA483" s="7">
        <f t="shared" si="223"/>
        <v>0</v>
      </c>
      <c r="AB483" s="7">
        <f t="shared" si="223"/>
        <v>0</v>
      </c>
      <c r="AC483" s="7">
        <f t="shared" si="223"/>
        <v>0</v>
      </c>
      <c r="AD483" s="7">
        <f t="shared" si="223"/>
        <v>0</v>
      </c>
      <c r="AE483" s="7">
        <f t="shared" si="223"/>
        <v>0</v>
      </c>
      <c r="AF483" s="7">
        <f t="shared" si="223"/>
        <v>0</v>
      </c>
      <c r="AG483" s="7">
        <f t="shared" si="223"/>
        <v>0</v>
      </c>
      <c r="AH483" s="7">
        <f t="shared" si="223"/>
        <v>0</v>
      </c>
      <c r="AI483" s="7">
        <f t="shared" si="223"/>
        <v>0</v>
      </c>
      <c r="AJ483" s="7">
        <f t="shared" si="223"/>
        <v>0</v>
      </c>
      <c r="AK483" s="7">
        <f t="shared" si="223"/>
        <v>0</v>
      </c>
      <c r="AL483" s="7">
        <f t="shared" si="223"/>
        <v>0</v>
      </c>
      <c r="AM483" s="7">
        <f t="shared" si="223"/>
        <v>0</v>
      </c>
      <c r="AN483" s="7">
        <f t="shared" si="223"/>
        <v>0</v>
      </c>
    </row>
    <row r="484" spans="2:40">
      <c r="B484" s="179" t="s">
        <v>249</v>
      </c>
      <c r="C484" s="36" t="s">
        <v>241</v>
      </c>
      <c r="D484" s="173"/>
      <c r="E484" s="173"/>
      <c r="F484" s="173"/>
      <c r="G484" s="173"/>
      <c r="H484" s="173">
        <v>-10.095373</v>
      </c>
      <c r="I484" s="173">
        <v>-5.1543599999999996</v>
      </c>
      <c r="J484" s="173"/>
      <c r="K484" s="173"/>
      <c r="L484" s="173"/>
      <c r="M484" s="173"/>
      <c r="N484" s="173"/>
      <c r="O484" s="173"/>
      <c r="P484" s="173"/>
      <c r="Q484" s="7">
        <f t="shared" ref="Q484:AN484" si="224">Q479</f>
        <v>0</v>
      </c>
      <c r="R484" s="7">
        <f t="shared" si="224"/>
        <v>0</v>
      </c>
      <c r="S484" s="7">
        <f t="shared" si="224"/>
        <v>0</v>
      </c>
      <c r="T484" s="7">
        <f t="shared" si="224"/>
        <v>0</v>
      </c>
      <c r="U484" s="7">
        <f t="shared" si="224"/>
        <v>0</v>
      </c>
      <c r="V484" s="7">
        <f t="shared" si="224"/>
        <v>0</v>
      </c>
      <c r="W484" s="7">
        <f t="shared" si="224"/>
        <v>0</v>
      </c>
      <c r="X484" s="7">
        <f t="shared" si="224"/>
        <v>0</v>
      </c>
      <c r="Y484" s="7">
        <f t="shared" si="224"/>
        <v>0</v>
      </c>
      <c r="Z484" s="7">
        <f t="shared" si="224"/>
        <v>0</v>
      </c>
      <c r="AA484" s="7">
        <f t="shared" si="224"/>
        <v>0</v>
      </c>
      <c r="AB484" s="7">
        <f t="shared" si="224"/>
        <v>0</v>
      </c>
      <c r="AC484" s="7">
        <f t="shared" si="224"/>
        <v>0</v>
      </c>
      <c r="AD484" s="7">
        <f t="shared" si="224"/>
        <v>0</v>
      </c>
      <c r="AE484" s="7">
        <f t="shared" si="224"/>
        <v>0</v>
      </c>
      <c r="AF484" s="7">
        <f t="shared" si="224"/>
        <v>0</v>
      </c>
      <c r="AG484" s="7">
        <f t="shared" si="224"/>
        <v>0</v>
      </c>
      <c r="AH484" s="7">
        <f t="shared" si="224"/>
        <v>0</v>
      </c>
      <c r="AI484" s="7">
        <f t="shared" si="224"/>
        <v>0</v>
      </c>
      <c r="AJ484" s="7">
        <f t="shared" si="224"/>
        <v>0</v>
      </c>
      <c r="AK484" s="7">
        <f t="shared" si="224"/>
        <v>0</v>
      </c>
      <c r="AL484" s="7">
        <f t="shared" si="224"/>
        <v>0</v>
      </c>
      <c r="AM484" s="7">
        <f t="shared" si="224"/>
        <v>0</v>
      </c>
      <c r="AN484" s="7">
        <f t="shared" si="224"/>
        <v>0</v>
      </c>
    </row>
    <row r="485" spans="2:40" s="3" customFormat="1">
      <c r="B485" s="231" t="s">
        <v>250</v>
      </c>
      <c r="C485" s="104" t="s">
        <v>241</v>
      </c>
      <c r="D485" s="26"/>
      <c r="E485" s="210">
        <f t="shared" ref="E485:T485" si="225">SUM(E482:E484)</f>
        <v>674.33561500000008</v>
      </c>
      <c r="F485" s="210">
        <f t="shared" si="225"/>
        <v>680.34210799999994</v>
      </c>
      <c r="G485" s="210">
        <f t="shared" si="225"/>
        <v>682.44653900000003</v>
      </c>
      <c r="H485" s="210">
        <f t="shared" si="225"/>
        <v>672.35116600000003</v>
      </c>
      <c r="I485" s="210">
        <f t="shared" si="225"/>
        <v>667.19680600000004</v>
      </c>
      <c r="J485" s="210">
        <f t="shared" si="225"/>
        <v>739.19680600000004</v>
      </c>
      <c r="K485" s="210">
        <f t="shared" si="225"/>
        <v>760.20520900000008</v>
      </c>
      <c r="L485" s="210">
        <f t="shared" si="225"/>
        <v>760.20520899999997</v>
      </c>
      <c r="M485" s="210">
        <f t="shared" si="225"/>
        <v>760.20520899999997</v>
      </c>
      <c r="N485" s="210">
        <f t="shared" si="225"/>
        <v>760.20520899999997</v>
      </c>
      <c r="O485" s="210">
        <f t="shared" si="225"/>
        <v>760.20520899999997</v>
      </c>
      <c r="P485" s="210">
        <f t="shared" si="225"/>
        <v>760.20520899999997</v>
      </c>
      <c r="Q485" s="210">
        <f t="shared" si="225"/>
        <v>760.20520899999997</v>
      </c>
      <c r="R485" s="210">
        <f t="shared" si="225"/>
        <v>760.20520899999997</v>
      </c>
      <c r="S485" s="210">
        <f t="shared" si="225"/>
        <v>760.20520899999997</v>
      </c>
      <c r="T485" s="210">
        <f t="shared" si="225"/>
        <v>760.20520899999997</v>
      </c>
      <c r="U485" s="215">
        <v>1103.0550470000001</v>
      </c>
      <c r="V485" s="215">
        <v>1103.0550470000001</v>
      </c>
      <c r="W485" s="210">
        <f t="shared" ref="W485:AN485" si="226">SUM(W482:W484)</f>
        <v>1103.0550470000001</v>
      </c>
      <c r="X485" s="210">
        <f t="shared" si="226"/>
        <v>1103.0550470000001</v>
      </c>
      <c r="Y485" s="210">
        <f t="shared" si="226"/>
        <v>1103.0550470000001</v>
      </c>
      <c r="Z485" s="210">
        <f t="shared" si="226"/>
        <v>1103.0550470000001</v>
      </c>
      <c r="AA485" s="210">
        <f t="shared" si="226"/>
        <v>1103.0550470000001</v>
      </c>
      <c r="AB485" s="210">
        <f t="shared" si="226"/>
        <v>1103.0550470000001</v>
      </c>
      <c r="AC485" s="210">
        <f t="shared" si="226"/>
        <v>1103.0550470000001</v>
      </c>
      <c r="AD485" s="210">
        <f t="shared" si="226"/>
        <v>1103.0550470000001</v>
      </c>
      <c r="AE485" s="210">
        <f t="shared" si="226"/>
        <v>1103.0550470000001</v>
      </c>
      <c r="AF485" s="210">
        <f t="shared" si="226"/>
        <v>1103.0550470000001</v>
      </c>
      <c r="AG485" s="210">
        <f t="shared" si="226"/>
        <v>1103.0550470000001</v>
      </c>
      <c r="AH485" s="210">
        <f t="shared" si="226"/>
        <v>1103.0550470000001</v>
      </c>
      <c r="AI485" s="210">
        <f t="shared" si="226"/>
        <v>1103.0550470000001</v>
      </c>
      <c r="AJ485" s="210">
        <f t="shared" si="226"/>
        <v>1103.0550470000001</v>
      </c>
      <c r="AK485" s="210">
        <f t="shared" si="226"/>
        <v>1103.0550470000001</v>
      </c>
      <c r="AL485" s="210">
        <f t="shared" si="226"/>
        <v>1103.0550470000001</v>
      </c>
      <c r="AM485" s="210">
        <f t="shared" si="226"/>
        <v>1103.0550470000001</v>
      </c>
      <c r="AN485" s="210">
        <f t="shared" si="226"/>
        <v>1103.0550470000001</v>
      </c>
    </row>
    <row r="486" spans="2:40">
      <c r="B486" s="174"/>
      <c r="D486" s="25"/>
      <c r="E486" s="2"/>
      <c r="F486" s="7"/>
      <c r="G486" s="2"/>
      <c r="H486" s="7"/>
      <c r="I486" s="2"/>
      <c r="J486" s="7"/>
      <c r="K486" s="2"/>
      <c r="L486" s="7"/>
      <c r="M486" s="2"/>
      <c r="N486" s="7"/>
      <c r="O486" s="2"/>
      <c r="P486" s="7"/>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spans="2:40">
      <c r="B487" s="151" t="s">
        <v>251</v>
      </c>
      <c r="C487" s="36" t="s">
        <v>241</v>
      </c>
      <c r="D487" s="25"/>
      <c r="E487" s="7">
        <f t="shared" ref="E487:AN487" si="227">AVERAGE(E485,E482)</f>
        <v>670.85606900000005</v>
      </c>
      <c r="F487" s="7">
        <f t="shared" si="227"/>
        <v>677.33886149999989</v>
      </c>
      <c r="G487" s="7">
        <f t="shared" si="227"/>
        <v>681.39432350000004</v>
      </c>
      <c r="H487" s="7">
        <f t="shared" si="227"/>
        <v>677.39885249999998</v>
      </c>
      <c r="I487" s="7">
        <f t="shared" si="227"/>
        <v>669.77398600000004</v>
      </c>
      <c r="J487" s="7">
        <f t="shared" si="227"/>
        <v>703.19680600000004</v>
      </c>
      <c r="K487" s="7">
        <f t="shared" si="227"/>
        <v>749.70100750000006</v>
      </c>
      <c r="L487" s="7">
        <f t="shared" si="227"/>
        <v>760.20520899999997</v>
      </c>
      <c r="M487" s="7">
        <f t="shared" si="227"/>
        <v>760.20520899999997</v>
      </c>
      <c r="N487" s="7">
        <f t="shared" si="227"/>
        <v>760.20520899999997</v>
      </c>
      <c r="O487" s="7">
        <f t="shared" si="227"/>
        <v>760.20520899999997</v>
      </c>
      <c r="P487" s="7">
        <f t="shared" si="227"/>
        <v>760.20520899999997</v>
      </c>
      <c r="Q487" s="7">
        <f t="shared" si="227"/>
        <v>760.20520899999997</v>
      </c>
      <c r="R487" s="7">
        <f t="shared" si="227"/>
        <v>760.20520899999997</v>
      </c>
      <c r="S487" s="7">
        <f t="shared" si="227"/>
        <v>760.20520899999997</v>
      </c>
      <c r="T487" s="7">
        <f t="shared" si="227"/>
        <v>760.20520899999997</v>
      </c>
      <c r="U487" s="7">
        <f t="shared" si="227"/>
        <v>931.63012800000001</v>
      </c>
      <c r="V487" s="7">
        <f t="shared" si="227"/>
        <v>1103.0550470000001</v>
      </c>
      <c r="W487" s="7">
        <f t="shared" si="227"/>
        <v>1103.0550470000001</v>
      </c>
      <c r="X487" s="7">
        <f t="shared" si="227"/>
        <v>1103.0550470000001</v>
      </c>
      <c r="Y487" s="7">
        <f t="shared" si="227"/>
        <v>1103.0550470000001</v>
      </c>
      <c r="Z487" s="7">
        <f t="shared" si="227"/>
        <v>1103.0550470000001</v>
      </c>
      <c r="AA487" s="7">
        <f t="shared" si="227"/>
        <v>1103.0550470000001</v>
      </c>
      <c r="AB487" s="7">
        <f t="shared" si="227"/>
        <v>1103.0550470000001</v>
      </c>
      <c r="AC487" s="7">
        <f t="shared" si="227"/>
        <v>1103.0550470000001</v>
      </c>
      <c r="AD487" s="7">
        <f t="shared" si="227"/>
        <v>1103.0550470000001</v>
      </c>
      <c r="AE487" s="7">
        <f t="shared" si="227"/>
        <v>1103.0550470000001</v>
      </c>
      <c r="AF487" s="7">
        <f t="shared" si="227"/>
        <v>1103.0550470000001</v>
      </c>
      <c r="AG487" s="7">
        <f t="shared" si="227"/>
        <v>1103.0550470000001</v>
      </c>
      <c r="AH487" s="7">
        <f t="shared" si="227"/>
        <v>1103.0550470000001</v>
      </c>
      <c r="AI487" s="7">
        <f t="shared" si="227"/>
        <v>1103.0550470000001</v>
      </c>
      <c r="AJ487" s="7">
        <f t="shared" si="227"/>
        <v>1103.0550470000001</v>
      </c>
      <c r="AK487" s="7">
        <f t="shared" si="227"/>
        <v>1103.0550470000001</v>
      </c>
      <c r="AL487" s="7">
        <f t="shared" si="227"/>
        <v>1103.0550470000001</v>
      </c>
      <c r="AM487" s="7">
        <f t="shared" si="227"/>
        <v>1103.0550470000001</v>
      </c>
      <c r="AN487" s="7">
        <f t="shared" si="227"/>
        <v>1103.0550470000001</v>
      </c>
    </row>
    <row r="488" spans="2:40">
      <c r="B488" s="174" t="s">
        <v>252</v>
      </c>
      <c r="C488" s="36" t="s">
        <v>241</v>
      </c>
      <c r="D488" s="25"/>
      <c r="E488" s="46">
        <v>665.90754500000003</v>
      </c>
      <c r="F488" s="46"/>
      <c r="G488" s="46">
        <v>676.38647700000001</v>
      </c>
      <c r="H488" s="46"/>
      <c r="I488" s="46">
        <v>665.16247999999996</v>
      </c>
      <c r="J488" s="46"/>
      <c r="K488" s="46">
        <v>756.37356599999998</v>
      </c>
      <c r="L488" s="46"/>
      <c r="M488" s="46">
        <v>757.50787100000002</v>
      </c>
      <c r="N488" s="46"/>
      <c r="O488" s="46">
        <v>758.11723099999995</v>
      </c>
      <c r="P488" s="173"/>
      <c r="Q488" s="46">
        <v>758.73359300000004</v>
      </c>
      <c r="R488" s="2"/>
      <c r="S488" s="46">
        <v>759.218929</v>
      </c>
      <c r="T488" s="2"/>
      <c r="U488" s="2"/>
      <c r="V488" s="2"/>
      <c r="W488" s="2"/>
      <c r="X488" s="2"/>
      <c r="Y488" s="2"/>
      <c r="Z488" s="2"/>
      <c r="AA488" s="2"/>
      <c r="AB488" s="2"/>
      <c r="AC488" s="2"/>
      <c r="AD488" s="2"/>
      <c r="AE488" s="2"/>
      <c r="AF488" s="2"/>
      <c r="AG488" s="2"/>
      <c r="AH488" s="2"/>
      <c r="AI488" s="2"/>
      <c r="AJ488" s="2"/>
      <c r="AK488" s="2"/>
      <c r="AL488" s="2"/>
      <c r="AM488" s="2"/>
      <c r="AN488" s="2"/>
    </row>
    <row r="489" spans="2:40">
      <c r="B489" s="174" t="s">
        <v>253</v>
      </c>
      <c r="C489" s="36" t="s">
        <v>241</v>
      </c>
      <c r="D489" s="25"/>
      <c r="E489" s="46">
        <v>5.515841</v>
      </c>
      <c r="F489" s="46">
        <v>5.515841</v>
      </c>
      <c r="G489" s="46">
        <v>5.1908409999999998</v>
      </c>
      <c r="H489" s="46">
        <v>5.1908409999999998</v>
      </c>
      <c r="I489" s="46">
        <v>2.8040579999999999</v>
      </c>
      <c r="J489" s="46">
        <v>5.1558409999999997</v>
      </c>
      <c r="K489" s="2"/>
      <c r="L489" s="46">
        <v>3.3940579999999998</v>
      </c>
      <c r="M489" s="2"/>
      <c r="N489" s="46">
        <v>2.6973379999999998</v>
      </c>
      <c r="O489" s="2"/>
      <c r="P489" s="46">
        <v>2.0879780000000001</v>
      </c>
      <c r="Q489" s="2"/>
      <c r="R489" s="46">
        <v>1.471616</v>
      </c>
      <c r="S489" s="2"/>
      <c r="T489" s="2"/>
      <c r="U489" s="2"/>
      <c r="V489" s="2"/>
      <c r="W489" s="2"/>
      <c r="X489" s="2"/>
      <c r="Y489" s="2"/>
      <c r="Z489" s="2"/>
      <c r="AA489" s="2"/>
      <c r="AB489" s="2"/>
      <c r="AC489" s="2"/>
      <c r="AD489" s="2"/>
      <c r="AE489" s="2"/>
      <c r="AF489" s="2"/>
      <c r="AG489" s="2"/>
      <c r="AH489" s="2"/>
      <c r="AI489" s="2"/>
      <c r="AJ489" s="2"/>
      <c r="AK489" s="2"/>
      <c r="AL489" s="2"/>
      <c r="AM489" s="2"/>
      <c r="AN489" s="2"/>
    </row>
    <row r="490" spans="2:40">
      <c r="B490" s="151"/>
      <c r="D490" s="25"/>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spans="2:40">
      <c r="B491" s="129" t="s">
        <v>254</v>
      </c>
      <c r="D491" s="25"/>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spans="2:40">
      <c r="B492" s="171" t="s">
        <v>255</v>
      </c>
      <c r="D492" s="25"/>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spans="2:40">
      <c r="B493" s="151" t="s">
        <v>256</v>
      </c>
      <c r="C493" s="36" t="s">
        <v>257</v>
      </c>
      <c r="D493" s="25"/>
      <c r="E493" s="565">
        <v>10</v>
      </c>
      <c r="F493" s="565">
        <v>10</v>
      </c>
      <c r="G493" s="565">
        <v>10</v>
      </c>
      <c r="H493" s="565">
        <v>10</v>
      </c>
      <c r="I493" s="565">
        <v>10</v>
      </c>
      <c r="J493" s="565">
        <f>10-I493</f>
        <v>0</v>
      </c>
      <c r="K493" s="565">
        <v>0</v>
      </c>
      <c r="L493" s="565">
        <f>7-K493</f>
        <v>7</v>
      </c>
      <c r="M493" s="565">
        <v>0</v>
      </c>
      <c r="N493" s="565">
        <v>0</v>
      </c>
      <c r="O493" s="565">
        <v>6</v>
      </c>
      <c r="P493" s="565">
        <f>12-O493</f>
        <v>6</v>
      </c>
      <c r="Q493" s="565">
        <v>5.25</v>
      </c>
      <c r="R493" s="565">
        <v>0</v>
      </c>
      <c r="S493" s="565">
        <v>0</v>
      </c>
      <c r="T493" s="566">
        <v>0</v>
      </c>
      <c r="U493" s="2">
        <f t="shared" ref="U493:AN493" si="228">-U494/U485*100</f>
        <v>0</v>
      </c>
      <c r="V493" s="2">
        <f t="shared" si="228"/>
        <v>0</v>
      </c>
      <c r="W493" s="2">
        <f t="shared" si="228"/>
        <v>0</v>
      </c>
      <c r="X493" s="2">
        <f t="shared" si="228"/>
        <v>0</v>
      </c>
      <c r="Y493" s="2">
        <f t="shared" si="228"/>
        <v>0</v>
      </c>
      <c r="Z493" s="2">
        <f t="shared" si="228"/>
        <v>0</v>
      </c>
      <c r="AA493" s="2">
        <f t="shared" si="228"/>
        <v>0</v>
      </c>
      <c r="AB493" s="2">
        <f t="shared" si="228"/>
        <v>0</v>
      </c>
      <c r="AC493" s="2">
        <f t="shared" si="228"/>
        <v>0</v>
      </c>
      <c r="AD493" s="2">
        <f t="shared" si="228"/>
        <v>0</v>
      </c>
      <c r="AE493" s="2">
        <f t="shared" si="228"/>
        <v>3.1002068657367157</v>
      </c>
      <c r="AF493" s="2">
        <f t="shared" si="228"/>
        <v>3.3559611958893885</v>
      </c>
      <c r="AG493" s="2">
        <f t="shared" si="228"/>
        <v>3.4239998022645759</v>
      </c>
      <c r="AH493" s="2">
        <f t="shared" si="228"/>
        <v>3.66477524850918</v>
      </c>
      <c r="AI493" s="2">
        <f t="shared" si="228"/>
        <v>3.7295915651472966</v>
      </c>
      <c r="AJ493" s="2">
        <f t="shared" si="228"/>
        <v>3.9834727192961763</v>
      </c>
      <c r="AK493" s="2">
        <f t="shared" si="228"/>
        <v>4.0495488585166681</v>
      </c>
      <c r="AL493" s="2">
        <f t="shared" si="228"/>
        <v>4.1737364851274519</v>
      </c>
      <c r="AM493" s="2">
        <f t="shared" si="228"/>
        <v>4.237652344720253</v>
      </c>
      <c r="AN493" s="2">
        <f t="shared" si="228"/>
        <v>4.3666073811504713</v>
      </c>
    </row>
    <row r="494" spans="2:40">
      <c r="B494" s="151" t="s">
        <v>258</v>
      </c>
      <c r="C494" s="36" t="s">
        <v>72</v>
      </c>
      <c r="D494" s="25"/>
      <c r="E494" s="47">
        <f t="shared" ref="E494:T494" si="229">E493*-E485/100</f>
        <v>-67.43356150000001</v>
      </c>
      <c r="F494" s="47">
        <f t="shared" si="229"/>
        <v>-68.034210799999997</v>
      </c>
      <c r="G494" s="47">
        <f t="shared" si="229"/>
        <v>-68.244653900000003</v>
      </c>
      <c r="H494" s="47">
        <f t="shared" si="229"/>
        <v>-67.235116599999998</v>
      </c>
      <c r="I494" s="47">
        <f t="shared" si="229"/>
        <v>-66.719680600000004</v>
      </c>
      <c r="J494" s="47">
        <f t="shared" si="229"/>
        <v>0</v>
      </c>
      <c r="K494" s="47">
        <f t="shared" si="229"/>
        <v>0</v>
      </c>
      <c r="L494" s="47">
        <f t="shared" si="229"/>
        <v>-53.214364629999999</v>
      </c>
      <c r="M494" s="47">
        <f t="shared" si="229"/>
        <v>0</v>
      </c>
      <c r="N494" s="47">
        <f t="shared" si="229"/>
        <v>0</v>
      </c>
      <c r="O494" s="47">
        <f t="shared" si="229"/>
        <v>-45.612312540000005</v>
      </c>
      <c r="P494" s="47">
        <f t="shared" si="229"/>
        <v>-45.612312540000005</v>
      </c>
      <c r="Q494" s="47">
        <f t="shared" si="229"/>
        <v>-39.910773472499997</v>
      </c>
      <c r="R494" s="47">
        <f t="shared" si="229"/>
        <v>0</v>
      </c>
      <c r="S494" s="47">
        <f t="shared" si="229"/>
        <v>0</v>
      </c>
      <c r="T494" s="47">
        <f t="shared" si="229"/>
        <v>0</v>
      </c>
      <c r="U494" s="134">
        <f t="shared" ref="U494:AN494" si="230">T368*U495</f>
        <v>0</v>
      </c>
      <c r="V494" s="134">
        <f t="shared" si="230"/>
        <v>0</v>
      </c>
      <c r="W494" s="134">
        <f t="shared" si="230"/>
        <v>0</v>
      </c>
      <c r="X494" s="134">
        <f t="shared" si="230"/>
        <v>0</v>
      </c>
      <c r="Y494" s="134">
        <f t="shared" si="230"/>
        <v>0</v>
      </c>
      <c r="Z494" s="134">
        <f t="shared" si="230"/>
        <v>0</v>
      </c>
      <c r="AA494" s="134">
        <f t="shared" si="230"/>
        <v>0</v>
      </c>
      <c r="AB494" s="134">
        <f t="shared" si="230"/>
        <v>0</v>
      </c>
      <c r="AC494" s="134">
        <f t="shared" si="230"/>
        <v>0</v>
      </c>
      <c r="AD494" s="134">
        <f t="shared" si="230"/>
        <v>0</v>
      </c>
      <c r="AE494" s="134">
        <f t="shared" si="230"/>
        <v>-34.196988299949361</v>
      </c>
      <c r="AF494" s="134">
        <f t="shared" si="230"/>
        <v>-37.018099346619458</v>
      </c>
      <c r="AG494" s="134">
        <f t="shared" si="230"/>
        <v>-37.768602628149431</v>
      </c>
      <c r="AH494" s="134">
        <f t="shared" si="230"/>
        <v>-40.424488339887304</v>
      </c>
      <c r="AI494" s="134">
        <f t="shared" si="230"/>
        <v>-41.139447991843547</v>
      </c>
      <c r="AJ494" s="134">
        <f t="shared" si="230"/>
        <v>-43.939896876064623</v>
      </c>
      <c r="AK494" s="134">
        <f t="shared" si="230"/>
        <v>-44.668753064599002</v>
      </c>
      <c r="AL494" s="134">
        <f t="shared" si="230"/>
        <v>-46.038610947678762</v>
      </c>
      <c r="AM494" s="134">
        <f t="shared" si="230"/>
        <v>-46.743638062750591</v>
      </c>
      <c r="AN494" s="134">
        <f t="shared" si="230"/>
        <v>-48.166083100454799</v>
      </c>
    </row>
    <row r="495" spans="2:40">
      <c r="B495" s="174" t="s">
        <v>259</v>
      </c>
      <c r="C495" s="36" t="s">
        <v>88</v>
      </c>
      <c r="D495" s="25"/>
      <c r="E495" s="93"/>
      <c r="F495" s="93"/>
      <c r="G495" s="93">
        <f t="shared" ref="G495:T495" si="231">G494/G368</f>
        <v>-0.82421079589371982</v>
      </c>
      <c r="H495" s="93">
        <f t="shared" si="231"/>
        <v>-1.0879468705501618</v>
      </c>
      <c r="I495" s="93">
        <f t="shared" si="231"/>
        <v>-0.20341366036585368</v>
      </c>
      <c r="J495" s="93">
        <f t="shared" si="231"/>
        <v>0</v>
      </c>
      <c r="K495" s="93">
        <f t="shared" si="231"/>
        <v>0</v>
      </c>
      <c r="L495" s="93">
        <f t="shared" si="231"/>
        <v>-0.6831112275994865</v>
      </c>
      <c r="M495" s="93">
        <f t="shared" si="231"/>
        <v>0</v>
      </c>
      <c r="N495" s="93">
        <f t="shared" si="231"/>
        <v>0</v>
      </c>
      <c r="O495" s="93">
        <f t="shared" si="231"/>
        <v>-2.0005400236842106</v>
      </c>
      <c r="P495" s="93">
        <f t="shared" si="231"/>
        <v>3.0767158543001689</v>
      </c>
      <c r="Q495" s="93">
        <f t="shared" si="231"/>
        <v>-1.7738121543333332</v>
      </c>
      <c r="R495" s="93">
        <f t="shared" si="231"/>
        <v>0</v>
      </c>
      <c r="S495" s="93">
        <f t="shared" si="231"/>
        <v>0</v>
      </c>
      <c r="T495" s="93">
        <f t="shared" si="231"/>
        <v>0</v>
      </c>
      <c r="U495" s="150">
        <v>0</v>
      </c>
      <c r="V495" s="150">
        <v>0</v>
      </c>
      <c r="W495" s="150">
        <v>0</v>
      </c>
      <c r="X495" s="150">
        <v>0</v>
      </c>
      <c r="Y495" s="150">
        <v>0</v>
      </c>
      <c r="Z495" s="150">
        <v>0</v>
      </c>
      <c r="AA495" s="150">
        <v>0</v>
      </c>
      <c r="AB495" s="150">
        <v>0</v>
      </c>
      <c r="AC495" s="150">
        <v>0</v>
      </c>
      <c r="AD495" s="150">
        <v>0</v>
      </c>
      <c r="AE495" s="150">
        <v>-0.8</v>
      </c>
      <c r="AF495" s="150">
        <v>-0.8</v>
      </c>
      <c r="AG495" s="150">
        <v>-0.8</v>
      </c>
      <c r="AH495" s="150">
        <v>-0.8</v>
      </c>
      <c r="AI495" s="150">
        <v>-0.8</v>
      </c>
      <c r="AJ495" s="150">
        <v>-0.8</v>
      </c>
      <c r="AK495" s="150">
        <v>-0.8</v>
      </c>
      <c r="AL495" s="150">
        <v>-0.8</v>
      </c>
      <c r="AM495" s="150">
        <v>-0.8</v>
      </c>
      <c r="AN495" s="150">
        <v>-0.8</v>
      </c>
    </row>
    <row r="496" spans="2:40">
      <c r="B496" s="174" t="s">
        <v>260</v>
      </c>
      <c r="C496" s="36" t="s">
        <v>88</v>
      </c>
      <c r="D496" s="25"/>
      <c r="E496" s="93"/>
      <c r="F496" s="93"/>
      <c r="G496" s="93"/>
      <c r="H496" s="93"/>
      <c r="I496" s="93"/>
      <c r="J496" s="93"/>
      <c r="K496" s="93"/>
      <c r="L496" s="93"/>
      <c r="M496" s="93"/>
      <c r="N496" s="93"/>
      <c r="O496" s="93"/>
      <c r="P496" s="93"/>
      <c r="Q496" s="93"/>
      <c r="R496" s="93"/>
      <c r="S496" s="93">
        <f t="shared" ref="S496:AN496" si="232">(S493/100)/S$13*365/S473</f>
        <v>0</v>
      </c>
      <c r="T496" s="93">
        <f t="shared" si="232"/>
        <v>0</v>
      </c>
      <c r="U496" s="93">
        <f t="shared" si="232"/>
        <v>0</v>
      </c>
      <c r="V496" s="93">
        <f t="shared" si="232"/>
        <v>0</v>
      </c>
      <c r="W496" s="93">
        <f t="shared" si="232"/>
        <v>0</v>
      </c>
      <c r="X496" s="93">
        <f t="shared" si="232"/>
        <v>0</v>
      </c>
      <c r="Y496" s="93">
        <f t="shared" si="232"/>
        <v>0</v>
      </c>
      <c r="Z496" s="93">
        <f t="shared" si="232"/>
        <v>0</v>
      </c>
      <c r="AA496" s="93">
        <f t="shared" si="232"/>
        <v>0</v>
      </c>
      <c r="AB496" s="93">
        <f t="shared" si="232"/>
        <v>0</v>
      </c>
      <c r="AC496" s="93">
        <f t="shared" si="232"/>
        <v>0</v>
      </c>
      <c r="AD496" s="93">
        <f t="shared" si="232"/>
        <v>0</v>
      </c>
      <c r="AE496" s="93">
        <f t="shared" si="232"/>
        <v>8.0895232550427632E-2</v>
      </c>
      <c r="AF496" s="93">
        <f t="shared" si="232"/>
        <v>8.4951906251265502E-2</v>
      </c>
      <c r="AG496" s="93">
        <f t="shared" si="232"/>
        <v>8.7063069520248337E-2</v>
      </c>
      <c r="AH496" s="93">
        <f t="shared" si="232"/>
        <v>8.9903939012468778E-2</v>
      </c>
      <c r="AI496" s="93">
        <f t="shared" si="232"/>
        <v>9.2412242150084256E-2</v>
      </c>
      <c r="AJ496" s="93">
        <f t="shared" si="232"/>
        <v>9.5753360491175873E-2</v>
      </c>
      <c r="AK496" s="93">
        <f t="shared" si="232"/>
        <v>9.7778386472427509E-2</v>
      </c>
      <c r="AL496" s="93">
        <f t="shared" si="232"/>
        <v>9.7765402545397631E-2</v>
      </c>
      <c r="AM496" s="93">
        <f t="shared" si="232"/>
        <v>9.9707892621327843E-2</v>
      </c>
      <c r="AN496" s="93">
        <f t="shared" si="232"/>
        <v>9.9671799971692829E-2</v>
      </c>
    </row>
    <row r="498" spans="2:40">
      <c r="B498" s="129" t="s">
        <v>261</v>
      </c>
      <c r="D498" s="25"/>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spans="2:40">
      <c r="B499" s="171" t="s">
        <v>262</v>
      </c>
      <c r="D499" s="25"/>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spans="2:40">
      <c r="B500" s="174" t="s">
        <v>263</v>
      </c>
      <c r="C500" s="36" t="s">
        <v>72</v>
      </c>
      <c r="D500" s="25"/>
      <c r="F500" s="2"/>
      <c r="G500" s="7">
        <f t="shared" ref="G500:AN500" si="233">G573</f>
        <v>59.94</v>
      </c>
      <c r="H500" s="7">
        <f t="shared" si="233"/>
        <v>41.573999999999998</v>
      </c>
      <c r="I500" s="7">
        <f t="shared" si="233"/>
        <v>52.835000000000001</v>
      </c>
      <c r="J500" s="7">
        <f t="shared" si="233"/>
        <v>54.223999999999997</v>
      </c>
      <c r="K500" s="7">
        <f t="shared" si="233"/>
        <v>58.076999999999998</v>
      </c>
      <c r="L500" s="7">
        <f t="shared" si="233"/>
        <v>49.94</v>
      </c>
      <c r="M500" s="7">
        <f t="shared" si="233"/>
        <v>74.867000000000004</v>
      </c>
      <c r="N500" s="7">
        <f t="shared" si="233"/>
        <v>48.698</v>
      </c>
      <c r="O500" s="7">
        <f t="shared" si="233"/>
        <v>136.524</v>
      </c>
      <c r="P500" s="7">
        <f t="shared" si="233"/>
        <v>245.01300000000001</v>
      </c>
      <c r="Q500" s="7">
        <f t="shared" si="233"/>
        <v>188.21600000000001</v>
      </c>
      <c r="R500" s="7">
        <f t="shared" si="233"/>
        <v>60.536000000000001</v>
      </c>
      <c r="S500" s="7">
        <f t="shared" si="233"/>
        <v>88.649000000000015</v>
      </c>
      <c r="T500" s="7">
        <f t="shared" si="233"/>
        <v>51.499000000000002</v>
      </c>
      <c r="U500" s="7">
        <f t="shared" si="233"/>
        <v>72.533000000000001</v>
      </c>
      <c r="V500" s="7">
        <f t="shared" si="233"/>
        <v>84.415000000000006</v>
      </c>
      <c r="W500" s="7">
        <f t="shared" si="233"/>
        <v>74.218116468655822</v>
      </c>
      <c r="X500" s="7">
        <f t="shared" si="233"/>
        <v>93.144162447576775</v>
      </c>
      <c r="Y500" s="7">
        <f t="shared" si="233"/>
        <v>113.57182374343211</v>
      </c>
      <c r="Z500" s="7">
        <f t="shared" si="233"/>
        <v>156.07660339506049</v>
      </c>
      <c r="AA500" s="7">
        <f t="shared" si="233"/>
        <v>199.1708457295075</v>
      </c>
      <c r="AB500" s="7">
        <f t="shared" si="233"/>
        <v>248.56367121330823</v>
      </c>
      <c r="AC500" s="7">
        <f t="shared" si="233"/>
        <v>303.0122668765087</v>
      </c>
      <c r="AD500" s="7">
        <f t="shared" si="233"/>
        <v>354.96929937594575</v>
      </c>
      <c r="AE500" s="7">
        <f t="shared" si="233"/>
        <v>378.22268453480046</v>
      </c>
      <c r="AF500" s="7">
        <f t="shared" si="233"/>
        <v>395.36479726168852</v>
      </c>
      <c r="AG500" s="7">
        <f t="shared" si="233"/>
        <v>417.41718706526871</v>
      </c>
      <c r="AH500" s="7">
        <f t="shared" si="233"/>
        <v>432.5484531118891</v>
      </c>
      <c r="AI500" s="7">
        <f t="shared" si="233"/>
        <v>454.49931471753291</v>
      </c>
      <c r="AJ500" s="7">
        <f t="shared" si="233"/>
        <v>469.15869326862799</v>
      </c>
      <c r="AK500" s="7">
        <f t="shared" si="233"/>
        <v>487.97412698080001</v>
      </c>
      <c r="AL500" s="7">
        <f t="shared" si="233"/>
        <v>501.36315085215699</v>
      </c>
      <c r="AM500" s="7">
        <f t="shared" si="233"/>
        <v>519.31530018710475</v>
      </c>
      <c r="AN500" s="7">
        <f t="shared" si="233"/>
        <v>531.47705479238664</v>
      </c>
    </row>
    <row r="501" spans="2:40">
      <c r="B501" s="174" t="s">
        <v>264</v>
      </c>
      <c r="C501" s="36" t="s">
        <v>72</v>
      </c>
      <c r="D501" s="25"/>
      <c r="E501" s="2"/>
      <c r="F501" s="2"/>
      <c r="G501" s="7">
        <f t="shared" ref="G501:AN501" si="234">G410+G411</f>
        <v>643.48199999999997</v>
      </c>
      <c r="H501" s="7">
        <f t="shared" si="234"/>
        <v>545.04</v>
      </c>
      <c r="I501" s="7">
        <f t="shared" si="234"/>
        <v>590.57600000000002</v>
      </c>
      <c r="J501" s="7">
        <f t="shared" si="234"/>
        <v>585.24</v>
      </c>
      <c r="K501" s="7">
        <f t="shared" si="234"/>
        <v>579.79700000000003</v>
      </c>
      <c r="L501" s="7">
        <f t="shared" si="234"/>
        <v>488.995</v>
      </c>
      <c r="M501" s="7">
        <f t="shared" si="234"/>
        <v>597.40099999999995</v>
      </c>
      <c r="N501" s="7">
        <f t="shared" si="234"/>
        <v>529.37200000000007</v>
      </c>
      <c r="O501" s="7">
        <f t="shared" si="234"/>
        <v>441.55600000000004</v>
      </c>
      <c r="P501" s="7">
        <f t="shared" si="234"/>
        <v>571.48</v>
      </c>
      <c r="Q501" s="7">
        <f t="shared" si="234"/>
        <v>566.98599999999999</v>
      </c>
      <c r="R501" s="7">
        <f t="shared" si="234"/>
        <v>609.49699999999996</v>
      </c>
      <c r="S501" s="7">
        <f t="shared" si="234"/>
        <v>678.178</v>
      </c>
      <c r="T501" s="7">
        <f t="shared" si="234"/>
        <v>666.48400000000004</v>
      </c>
      <c r="U501" s="7">
        <f t="shared" si="234"/>
        <v>562.90200000000004</v>
      </c>
      <c r="V501" s="7">
        <f t="shared" si="234"/>
        <v>565.10799999999995</v>
      </c>
      <c r="W501" s="7">
        <f t="shared" si="234"/>
        <v>280.108</v>
      </c>
      <c r="X501" s="7">
        <f t="shared" si="234"/>
        <v>280.108</v>
      </c>
      <c r="Y501" s="7">
        <f t="shared" si="234"/>
        <v>280.108</v>
      </c>
      <c r="Z501" s="7">
        <f t="shared" si="234"/>
        <v>280.108</v>
      </c>
      <c r="AA501" s="7">
        <f t="shared" si="234"/>
        <v>280.108</v>
      </c>
      <c r="AB501" s="7">
        <f t="shared" si="234"/>
        <v>280.108</v>
      </c>
      <c r="AC501" s="7">
        <f t="shared" si="234"/>
        <v>280.108</v>
      </c>
      <c r="AD501" s="7">
        <f t="shared" si="234"/>
        <v>280.108</v>
      </c>
      <c r="AE501" s="7">
        <f t="shared" si="234"/>
        <v>280.108</v>
      </c>
      <c r="AF501" s="7">
        <f t="shared" si="234"/>
        <v>280.108</v>
      </c>
      <c r="AG501" s="7">
        <f t="shared" si="234"/>
        <v>280.108</v>
      </c>
      <c r="AH501" s="7">
        <f t="shared" si="234"/>
        <v>280.108</v>
      </c>
      <c r="AI501" s="7">
        <f t="shared" si="234"/>
        <v>280.108</v>
      </c>
      <c r="AJ501" s="7">
        <f t="shared" si="234"/>
        <v>280.108</v>
      </c>
      <c r="AK501" s="7">
        <f t="shared" si="234"/>
        <v>280.108</v>
      </c>
      <c r="AL501" s="7">
        <f t="shared" si="234"/>
        <v>280.108</v>
      </c>
      <c r="AM501" s="7">
        <f t="shared" si="234"/>
        <v>280.108</v>
      </c>
      <c r="AN501" s="7">
        <f t="shared" si="234"/>
        <v>280.108</v>
      </c>
    </row>
    <row r="502" spans="2:40">
      <c r="B502" s="174" t="s">
        <v>265</v>
      </c>
      <c r="C502" s="36" t="s">
        <v>72</v>
      </c>
      <c r="D502" s="25"/>
      <c r="E502" s="2"/>
      <c r="F502" s="2"/>
      <c r="G502" s="7">
        <f t="shared" ref="G502:AN502" si="235">G408+G409</f>
        <v>0</v>
      </c>
      <c r="H502" s="7">
        <f t="shared" si="235"/>
        <v>0</v>
      </c>
      <c r="I502" s="7">
        <f t="shared" si="235"/>
        <v>51.616999999999997</v>
      </c>
      <c r="J502" s="7">
        <f t="shared" si="235"/>
        <v>52.673000000000002</v>
      </c>
      <c r="K502" s="7">
        <f t="shared" si="235"/>
        <v>54.230999999999995</v>
      </c>
      <c r="L502" s="7">
        <f t="shared" si="235"/>
        <v>118.807</v>
      </c>
      <c r="M502" s="7">
        <f t="shared" si="235"/>
        <v>117.473</v>
      </c>
      <c r="N502" s="7">
        <f t="shared" si="235"/>
        <v>121.10599999999999</v>
      </c>
      <c r="O502" s="7">
        <f t="shared" si="235"/>
        <v>118.348</v>
      </c>
      <c r="P502" s="7">
        <f t="shared" si="235"/>
        <v>119.88500000000001</v>
      </c>
      <c r="Q502" s="7">
        <f t="shared" si="235"/>
        <v>121.262</v>
      </c>
      <c r="R502" s="7">
        <f t="shared" si="235"/>
        <v>121.432</v>
      </c>
      <c r="S502" s="7">
        <f t="shared" si="235"/>
        <v>143.012</v>
      </c>
      <c r="T502" s="7">
        <f t="shared" si="235"/>
        <v>136.96299999999999</v>
      </c>
      <c r="U502" s="7">
        <f t="shared" si="235"/>
        <v>151.036</v>
      </c>
      <c r="V502" s="7">
        <f t="shared" si="235"/>
        <v>154.22800000000001</v>
      </c>
      <c r="W502" s="7">
        <f t="shared" si="235"/>
        <v>154.22800000000001</v>
      </c>
      <c r="X502" s="7">
        <f t="shared" si="235"/>
        <v>154.22800000000001</v>
      </c>
      <c r="Y502" s="7">
        <f t="shared" si="235"/>
        <v>154.22800000000001</v>
      </c>
      <c r="Z502" s="7">
        <f t="shared" si="235"/>
        <v>154.22800000000001</v>
      </c>
      <c r="AA502" s="7">
        <f t="shared" si="235"/>
        <v>154.22800000000001</v>
      </c>
      <c r="AB502" s="7">
        <f t="shared" si="235"/>
        <v>154.22800000000001</v>
      </c>
      <c r="AC502" s="7">
        <f t="shared" si="235"/>
        <v>154.22800000000001</v>
      </c>
      <c r="AD502" s="7">
        <f t="shared" si="235"/>
        <v>154.22800000000001</v>
      </c>
      <c r="AE502" s="7">
        <f t="shared" si="235"/>
        <v>154.22800000000001</v>
      </c>
      <c r="AF502" s="7">
        <f t="shared" si="235"/>
        <v>154.22800000000001</v>
      </c>
      <c r="AG502" s="7">
        <f t="shared" si="235"/>
        <v>154.22800000000001</v>
      </c>
      <c r="AH502" s="7">
        <f t="shared" si="235"/>
        <v>154.22800000000001</v>
      </c>
      <c r="AI502" s="7">
        <f t="shared" si="235"/>
        <v>154.22800000000001</v>
      </c>
      <c r="AJ502" s="7">
        <f t="shared" si="235"/>
        <v>154.22800000000001</v>
      </c>
      <c r="AK502" s="7">
        <f t="shared" si="235"/>
        <v>154.22800000000001</v>
      </c>
      <c r="AL502" s="7">
        <f t="shared" si="235"/>
        <v>154.22800000000001</v>
      </c>
      <c r="AM502" s="7">
        <f t="shared" si="235"/>
        <v>154.22800000000001</v>
      </c>
      <c r="AN502" s="7">
        <f t="shared" si="235"/>
        <v>154.22800000000001</v>
      </c>
    </row>
    <row r="503" spans="2:40" s="3" customFormat="1">
      <c r="B503" s="197" t="s">
        <v>266</v>
      </c>
      <c r="C503" s="104" t="s">
        <v>72</v>
      </c>
      <c r="D503" s="26"/>
      <c r="E503" s="4"/>
      <c r="F503" s="4"/>
      <c r="G503" s="210">
        <f t="shared" ref="G503:AN503" si="236">G501+G502-G500</f>
        <v>583.54199999999992</v>
      </c>
      <c r="H503" s="210">
        <f t="shared" si="236"/>
        <v>503.46599999999995</v>
      </c>
      <c r="I503" s="210">
        <f t="shared" si="236"/>
        <v>589.35799999999995</v>
      </c>
      <c r="J503" s="210">
        <f t="shared" si="236"/>
        <v>583.68899999999996</v>
      </c>
      <c r="K503" s="210">
        <f t="shared" si="236"/>
        <v>575.95100000000002</v>
      </c>
      <c r="L503" s="210">
        <f t="shared" si="236"/>
        <v>557.86200000000008</v>
      </c>
      <c r="M503" s="210">
        <f t="shared" si="236"/>
        <v>640.00699999999995</v>
      </c>
      <c r="N503" s="210">
        <f t="shared" si="236"/>
        <v>601.78000000000009</v>
      </c>
      <c r="O503" s="210">
        <f t="shared" si="236"/>
        <v>423.38</v>
      </c>
      <c r="P503" s="210">
        <f t="shared" si="236"/>
        <v>446.35199999999998</v>
      </c>
      <c r="Q503" s="210">
        <f t="shared" si="236"/>
        <v>500.03200000000004</v>
      </c>
      <c r="R503" s="210">
        <f t="shared" si="236"/>
        <v>670.39300000000003</v>
      </c>
      <c r="S503" s="210">
        <f t="shared" si="236"/>
        <v>732.54100000000005</v>
      </c>
      <c r="T503" s="210">
        <f t="shared" si="236"/>
        <v>751.94799999999998</v>
      </c>
      <c r="U503" s="210">
        <f t="shared" si="236"/>
        <v>641.40500000000009</v>
      </c>
      <c r="V503" s="210">
        <f t="shared" si="236"/>
        <v>634.92100000000005</v>
      </c>
      <c r="W503" s="210">
        <f t="shared" si="236"/>
        <v>360.11788353134421</v>
      </c>
      <c r="X503" s="210">
        <f t="shared" si="236"/>
        <v>341.19183755242324</v>
      </c>
      <c r="Y503" s="210">
        <f t="shared" si="236"/>
        <v>320.76417625656791</v>
      </c>
      <c r="Z503" s="210">
        <f t="shared" si="236"/>
        <v>278.25939660493952</v>
      </c>
      <c r="AA503" s="210">
        <f t="shared" si="236"/>
        <v>235.16515427049251</v>
      </c>
      <c r="AB503" s="210">
        <f t="shared" si="236"/>
        <v>185.77232878669179</v>
      </c>
      <c r="AC503" s="210">
        <f t="shared" si="236"/>
        <v>131.32373312349131</v>
      </c>
      <c r="AD503" s="210">
        <f t="shared" si="236"/>
        <v>79.366700624054261</v>
      </c>
      <c r="AE503" s="210">
        <f t="shared" si="236"/>
        <v>56.113315465199548</v>
      </c>
      <c r="AF503" s="210">
        <f t="shared" si="236"/>
        <v>38.97120273831149</v>
      </c>
      <c r="AG503" s="210">
        <f t="shared" si="236"/>
        <v>16.918812934731307</v>
      </c>
      <c r="AH503" s="210">
        <f t="shared" si="236"/>
        <v>1.78754688811091</v>
      </c>
      <c r="AI503" s="210">
        <f t="shared" si="236"/>
        <v>-20.163314717532899</v>
      </c>
      <c r="AJ503" s="210">
        <f t="shared" si="236"/>
        <v>-34.822693268627972</v>
      </c>
      <c r="AK503" s="210">
        <f t="shared" si="236"/>
        <v>-53.638126980799996</v>
      </c>
      <c r="AL503" s="210">
        <f t="shared" si="236"/>
        <v>-67.027150852156979</v>
      </c>
      <c r="AM503" s="210">
        <f t="shared" si="236"/>
        <v>-84.979300187104741</v>
      </c>
      <c r="AN503" s="210">
        <f t="shared" si="236"/>
        <v>-97.141054792386626</v>
      </c>
    </row>
    <row r="504" spans="2:40">
      <c r="B504" s="197"/>
      <c r="D504" s="25"/>
      <c r="E504" s="2"/>
      <c r="F504" s="2"/>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spans="2:40">
      <c r="B505" s="171" t="s">
        <v>267</v>
      </c>
      <c r="D505" s="25"/>
      <c r="E505" s="2"/>
      <c r="F505" s="2"/>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spans="2:40">
      <c r="B506" s="179" t="s">
        <v>268</v>
      </c>
      <c r="C506" s="36" t="s">
        <v>72</v>
      </c>
      <c r="D506" s="25"/>
      <c r="E506" s="2"/>
      <c r="F506" s="2"/>
      <c r="H506" s="7">
        <f t="shared" ref="H506:AN506" si="237">SUM(G325:H325)</f>
        <v>322.2</v>
      </c>
      <c r="I506" s="7">
        <f t="shared" si="237"/>
        <v>303.8</v>
      </c>
      <c r="J506" s="7">
        <f t="shared" si="237"/>
        <v>200.7</v>
      </c>
      <c r="K506" s="7">
        <f t="shared" si="237"/>
        <v>165.2</v>
      </c>
      <c r="L506" s="7">
        <f t="shared" si="237"/>
        <v>248.60000000000002</v>
      </c>
      <c r="M506" s="7">
        <f t="shared" si="237"/>
        <v>167</v>
      </c>
      <c r="N506" s="7">
        <f t="shared" si="237"/>
        <v>137.9</v>
      </c>
      <c r="O506" s="7">
        <f t="shared" si="237"/>
        <v>263.5</v>
      </c>
      <c r="P506" s="7">
        <f t="shared" si="237"/>
        <v>301.8</v>
      </c>
      <c r="Q506" s="7">
        <f t="shared" si="237"/>
        <v>284.3</v>
      </c>
      <c r="R506" s="7">
        <f t="shared" si="237"/>
        <v>277.8</v>
      </c>
      <c r="S506" s="7">
        <f t="shared" si="237"/>
        <v>253</v>
      </c>
      <c r="T506" s="7">
        <f t="shared" si="237"/>
        <v>233.7</v>
      </c>
      <c r="U506" s="7">
        <f t="shared" si="237"/>
        <v>199.7</v>
      </c>
      <c r="V506" s="7">
        <f t="shared" si="237"/>
        <v>181.6</v>
      </c>
      <c r="W506" s="7">
        <f t="shared" si="237"/>
        <v>185.23563199999998</v>
      </c>
      <c r="X506" s="7">
        <f t="shared" si="237"/>
        <v>183.18613519999997</v>
      </c>
      <c r="Y506" s="7">
        <f t="shared" si="237"/>
        <v>193.492212112</v>
      </c>
      <c r="Z506" s="7">
        <f t="shared" si="237"/>
        <v>204.83214634399997</v>
      </c>
      <c r="AA506" s="7">
        <f t="shared" si="237"/>
        <v>219.66682893167993</v>
      </c>
      <c r="AB506" s="7">
        <f t="shared" si="237"/>
        <v>229.34449655400005</v>
      </c>
      <c r="AC506" s="7">
        <f t="shared" si="237"/>
        <v>233.97485224399844</v>
      </c>
      <c r="AD506" s="7">
        <f t="shared" si="237"/>
        <v>238.69843621886156</v>
      </c>
      <c r="AE506" s="7">
        <f t="shared" si="237"/>
        <v>243.71510345289008</v>
      </c>
      <c r="AF506" s="7">
        <f t="shared" si="237"/>
        <v>248.54432493026681</v>
      </c>
      <c r="AG506" s="7">
        <f t="shared" si="237"/>
        <v>253.65169691840981</v>
      </c>
      <c r="AH506" s="7">
        <f t="shared" si="237"/>
        <v>258.8242178848343</v>
      </c>
      <c r="AI506" s="7">
        <f t="shared" si="237"/>
        <v>264.305310863253</v>
      </c>
      <c r="AJ506" s="7">
        <f t="shared" si="237"/>
        <v>269.85336353011263</v>
      </c>
      <c r="AK506" s="7">
        <f t="shared" si="237"/>
        <v>272.94156694278701</v>
      </c>
      <c r="AL506" s="7">
        <f t="shared" si="237"/>
        <v>276.09809342538347</v>
      </c>
      <c r="AM506" s="7">
        <f t="shared" si="237"/>
        <v>279.41204552246569</v>
      </c>
      <c r="AN506" s="7">
        <f t="shared" si="237"/>
        <v>282.79512121561049</v>
      </c>
    </row>
    <row r="507" spans="2:40">
      <c r="B507" s="174" t="s">
        <v>269</v>
      </c>
      <c r="C507" s="36" t="s">
        <v>185</v>
      </c>
      <c r="D507" s="25"/>
      <c r="E507" s="2"/>
      <c r="F507" s="2"/>
      <c r="G507" s="2"/>
      <c r="H507" s="219">
        <f t="shared" ref="H507:AN507" si="238">H503/H506</f>
        <v>1.5625884543761637</v>
      </c>
      <c r="I507" s="219">
        <f t="shared" si="238"/>
        <v>1.939953917050691</v>
      </c>
      <c r="J507" s="219">
        <f t="shared" si="238"/>
        <v>2.9082660687593425</v>
      </c>
      <c r="K507" s="219">
        <f t="shared" si="238"/>
        <v>3.486386198547216</v>
      </c>
      <c r="L507" s="219">
        <f t="shared" si="238"/>
        <v>2.2440144810941272</v>
      </c>
      <c r="M507" s="219">
        <f t="shared" si="238"/>
        <v>3.8323772455089817</v>
      </c>
      <c r="N507" s="219">
        <f t="shared" si="238"/>
        <v>4.3638868745467736</v>
      </c>
      <c r="O507" s="219">
        <f t="shared" si="238"/>
        <v>1.6067552182163187</v>
      </c>
      <c r="P507" s="219">
        <f t="shared" si="238"/>
        <v>1.4789662027833002</v>
      </c>
      <c r="Q507" s="219">
        <f t="shared" si="238"/>
        <v>1.7588181498417166</v>
      </c>
      <c r="R507" s="219">
        <f t="shared" si="238"/>
        <v>2.4132217422606193</v>
      </c>
      <c r="S507" s="219">
        <f t="shared" si="238"/>
        <v>2.8954189723320161</v>
      </c>
      <c r="T507" s="219">
        <f t="shared" si="238"/>
        <v>3.2175780915703895</v>
      </c>
      <c r="U507" s="219">
        <f t="shared" si="238"/>
        <v>3.2118427641462199</v>
      </c>
      <c r="V507" s="219">
        <f t="shared" si="238"/>
        <v>3.4962610132158596</v>
      </c>
      <c r="W507" s="219">
        <f t="shared" si="238"/>
        <v>1.9441069714456678</v>
      </c>
      <c r="X507" s="219">
        <f t="shared" si="238"/>
        <v>1.8625418194445498</v>
      </c>
      <c r="Y507" s="219">
        <f t="shared" si="238"/>
        <v>1.6577627221032465</v>
      </c>
      <c r="Z507" s="219">
        <f t="shared" si="238"/>
        <v>1.358475227504691</v>
      </c>
      <c r="AA507" s="219">
        <f t="shared" si="238"/>
        <v>1.0705537809881747</v>
      </c>
      <c r="AB507" s="219">
        <f t="shared" si="238"/>
        <v>0.81001433031095638</v>
      </c>
      <c r="AC507" s="219">
        <f t="shared" si="238"/>
        <v>0.56127285417212958</v>
      </c>
      <c r="AD507" s="219">
        <f t="shared" si="238"/>
        <v>0.33249778206038716</v>
      </c>
      <c r="AE507" s="219">
        <f t="shared" si="238"/>
        <v>0.23024143629262683</v>
      </c>
      <c r="AF507" s="219">
        <f t="shared" si="238"/>
        <v>0.1567977975326755</v>
      </c>
      <c r="AG507" s="219">
        <f t="shared" si="238"/>
        <v>6.6700964906903235E-2</v>
      </c>
      <c r="AH507" s="219">
        <f t="shared" si="238"/>
        <v>6.9064127874861074E-3</v>
      </c>
      <c r="AI507" s="219">
        <f t="shared" si="238"/>
        <v>-7.6287966562900614E-2</v>
      </c>
      <c r="AJ507" s="219">
        <f t="shared" si="238"/>
        <v>-0.12904302104332357</v>
      </c>
      <c r="AK507" s="219">
        <f t="shared" si="238"/>
        <v>-0.19651871857262188</v>
      </c>
      <c r="AL507" s="219">
        <f t="shared" si="238"/>
        <v>-0.242765714245221</v>
      </c>
      <c r="AM507" s="219">
        <f t="shared" si="238"/>
        <v>-0.30413613710963694</v>
      </c>
      <c r="AN507" s="219">
        <f t="shared" si="238"/>
        <v>-0.34350329091541759</v>
      </c>
    </row>
    <row r="508" spans="2:40">
      <c r="B508" s="174"/>
      <c r="D508" s="25"/>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spans="2:40">
      <c r="B509" s="171" t="s">
        <v>270</v>
      </c>
    </row>
    <row r="510" spans="2:40">
      <c r="B510" s="151" t="s">
        <v>262</v>
      </c>
      <c r="C510" s="36" t="s">
        <v>72</v>
      </c>
      <c r="D510" s="3"/>
      <c r="E510" s="194"/>
      <c r="F510" s="41">
        <v>447</v>
      </c>
      <c r="G510" s="41">
        <v>583</v>
      </c>
      <c r="H510" s="41">
        <v>488</v>
      </c>
      <c r="I510" s="41">
        <v>590</v>
      </c>
      <c r="J510" s="41">
        <v>493</v>
      </c>
      <c r="K510" s="41">
        <v>587</v>
      </c>
      <c r="L510" s="41">
        <v>590</v>
      </c>
      <c r="M510" s="41">
        <v>685</v>
      </c>
      <c r="N510" s="41">
        <v>634</v>
      </c>
      <c r="O510" s="29"/>
      <c r="P510" s="41">
        <v>443</v>
      </c>
      <c r="Q510" s="41">
        <v>500</v>
      </c>
      <c r="R510" s="41">
        <v>663</v>
      </c>
      <c r="S510" s="41"/>
      <c r="T510" s="41">
        <v>757</v>
      </c>
      <c r="U510" s="41">
        <v>528.9</v>
      </c>
      <c r="V510" s="41">
        <v>591</v>
      </c>
      <c r="W510" s="91"/>
      <c r="X510" s="91"/>
      <c r="Y510" s="91"/>
      <c r="Z510" s="91"/>
      <c r="AA510" s="91"/>
      <c r="AB510" s="91"/>
      <c r="AC510" s="91"/>
      <c r="AD510" s="91"/>
      <c r="AE510" s="91"/>
      <c r="AF510" s="91"/>
      <c r="AG510" s="91"/>
      <c r="AH510" s="91"/>
      <c r="AI510" s="91"/>
      <c r="AJ510" s="91"/>
      <c r="AK510" s="91"/>
      <c r="AL510" s="91"/>
      <c r="AM510" s="91"/>
      <c r="AN510" s="91"/>
    </row>
    <row r="511" spans="2:40">
      <c r="B511" s="174" t="s">
        <v>269</v>
      </c>
      <c r="C511" s="36" t="s">
        <v>185</v>
      </c>
      <c r="E511" s="152"/>
      <c r="F511" s="152"/>
      <c r="G511" s="152">
        <v>1.7</v>
      </c>
      <c r="H511" s="152">
        <v>1.5</v>
      </c>
      <c r="I511" s="152">
        <v>1.9</v>
      </c>
      <c r="J511" s="152">
        <v>2.5</v>
      </c>
      <c r="K511" s="152">
        <v>3.5</v>
      </c>
      <c r="L511" s="152">
        <v>2.2999999999999998</v>
      </c>
      <c r="M511" s="152"/>
      <c r="N511" s="152"/>
      <c r="O511" s="152"/>
      <c r="P511" s="152">
        <v>1.5</v>
      </c>
      <c r="Q511" s="152">
        <v>1.75</v>
      </c>
      <c r="R511" s="152">
        <v>2.2999999999999998</v>
      </c>
      <c r="S511" s="152">
        <v>2.8</v>
      </c>
      <c r="T511" s="152">
        <v>3.2</v>
      </c>
      <c r="U511" s="152">
        <v>2.2999999999999998</v>
      </c>
      <c r="V511" s="152">
        <v>3.1</v>
      </c>
      <c r="W511" s="91"/>
      <c r="X511" s="91"/>
      <c r="Y511" s="91"/>
      <c r="Z511" s="91"/>
      <c r="AA511" s="91"/>
      <c r="AB511" s="91"/>
      <c r="AC511" s="91"/>
      <c r="AD511" s="91"/>
      <c r="AE511" s="91"/>
      <c r="AF511" s="91"/>
      <c r="AG511" s="91"/>
      <c r="AH511" s="91"/>
      <c r="AI511" s="91"/>
      <c r="AJ511" s="91"/>
      <c r="AK511" s="91"/>
      <c r="AL511" s="91"/>
      <c r="AM511" s="91"/>
      <c r="AN511" s="91"/>
    </row>
    <row r="512" spans="2:40">
      <c r="B512" s="174"/>
      <c r="E512" s="152"/>
      <c r="F512" s="152"/>
      <c r="G512" s="152"/>
      <c r="H512" s="152"/>
      <c r="I512" s="152"/>
      <c r="J512" s="152"/>
      <c r="K512" s="152"/>
      <c r="L512" s="152"/>
      <c r="M512" s="152"/>
      <c r="N512" s="152"/>
      <c r="O512" s="152"/>
      <c r="P512" s="152"/>
      <c r="R512" s="100"/>
      <c r="S512" s="91"/>
      <c r="T512" s="91"/>
      <c r="U512" s="91"/>
      <c r="V512" s="91"/>
      <c r="W512" s="91"/>
      <c r="X512" s="91"/>
      <c r="Y512" s="91"/>
      <c r="Z512" s="91"/>
      <c r="AA512" s="91"/>
      <c r="AB512" s="91"/>
      <c r="AC512" s="91"/>
      <c r="AD512" s="91"/>
      <c r="AE512" s="91"/>
      <c r="AF512" s="91"/>
      <c r="AG512" s="91"/>
      <c r="AH512" s="91"/>
      <c r="AI512" s="91"/>
      <c r="AJ512" s="91"/>
      <c r="AK512" s="91"/>
      <c r="AL512" s="91"/>
      <c r="AM512" s="91"/>
      <c r="AN512" s="91"/>
    </row>
    <row r="513" spans="1:40" s="157" customFormat="1">
      <c r="A513" s="157" t="s">
        <v>7</v>
      </c>
      <c r="B513" s="158" t="s">
        <v>271</v>
      </c>
      <c r="C513" s="159"/>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c r="AB513" s="160"/>
      <c r="AC513" s="160"/>
      <c r="AD513" s="160"/>
      <c r="AE513" s="160"/>
      <c r="AF513" s="160"/>
      <c r="AG513" s="160"/>
      <c r="AH513" s="160"/>
      <c r="AI513" s="160"/>
      <c r="AJ513" s="160"/>
      <c r="AK513" s="160"/>
      <c r="AL513" s="160"/>
      <c r="AM513" s="160"/>
      <c r="AN513" s="160"/>
    </row>
    <row r="515" spans="1:40">
      <c r="B515" s="129" t="s">
        <v>272</v>
      </c>
      <c r="C515" s="104"/>
    </row>
    <row r="516" spans="1:40" s="3" customFormat="1">
      <c r="A516" s="1"/>
      <c r="B516" s="145" t="s">
        <v>273</v>
      </c>
      <c r="C516" s="104"/>
      <c r="D516" s="4"/>
      <c r="E516" s="4"/>
      <c r="F516" s="4"/>
      <c r="G516" s="210">
        <f t="shared" ref="G516:AN516" si="239">G311</f>
        <v>487.12454063071789</v>
      </c>
      <c r="H516" s="210">
        <f t="shared" si="239"/>
        <v>450.66217843296693</v>
      </c>
      <c r="I516" s="210">
        <f t="shared" si="239"/>
        <v>444.64136511800183</v>
      </c>
      <c r="J516" s="210">
        <f t="shared" si="239"/>
        <v>260.59257063955874</v>
      </c>
      <c r="K516" s="210">
        <f t="shared" si="239"/>
        <v>345.19929140775662</v>
      </c>
      <c r="L516" s="210">
        <f t="shared" si="239"/>
        <v>386.43718944039011</v>
      </c>
      <c r="M516" s="210">
        <f t="shared" si="239"/>
        <v>239.30042519685037</v>
      </c>
      <c r="N516" s="210">
        <f t="shared" si="239"/>
        <v>336.11961910308673</v>
      </c>
      <c r="O516" s="210">
        <f t="shared" si="239"/>
        <v>438.9</v>
      </c>
      <c r="P516" s="210">
        <f t="shared" si="239"/>
        <v>423.70000000000005</v>
      </c>
      <c r="Q516" s="210">
        <f t="shared" si="239"/>
        <v>442.8</v>
      </c>
      <c r="R516" s="210">
        <f t="shared" si="239"/>
        <v>427.7</v>
      </c>
      <c r="S516" s="210">
        <f t="shared" si="239"/>
        <v>422</v>
      </c>
      <c r="T516" s="210">
        <f t="shared" si="239"/>
        <v>403.20000000000005</v>
      </c>
      <c r="U516" s="210">
        <f t="shared" si="239"/>
        <v>411.7</v>
      </c>
      <c r="V516" s="210">
        <f t="shared" si="239"/>
        <v>411.00000000000006</v>
      </c>
      <c r="W516" s="210">
        <f t="shared" si="239"/>
        <v>419.565</v>
      </c>
      <c r="X516" s="210">
        <f t="shared" si="239"/>
        <v>421.36900000000003</v>
      </c>
      <c r="Y516" s="210">
        <f t="shared" si="239"/>
        <v>428.74853999999999</v>
      </c>
      <c r="Z516" s="210">
        <f t="shared" si="239"/>
        <v>430.86368999999991</v>
      </c>
      <c r="AA516" s="210">
        <f t="shared" si="239"/>
        <v>451.29426060000003</v>
      </c>
      <c r="AB516" s="210">
        <f t="shared" si="239"/>
        <v>448.01762690000004</v>
      </c>
      <c r="AC516" s="210">
        <f t="shared" si="239"/>
        <v>469.62116627799992</v>
      </c>
      <c r="AD516" s="210">
        <f t="shared" si="239"/>
        <v>466.20287816899997</v>
      </c>
      <c r="AE516" s="210">
        <f t="shared" si="239"/>
        <v>489.09370750493997</v>
      </c>
      <c r="AF516" s="210">
        <f t="shared" si="239"/>
        <v>484.80827684069004</v>
      </c>
      <c r="AG516" s="210">
        <f t="shared" si="239"/>
        <v>508.97433973507424</v>
      </c>
      <c r="AH516" s="210">
        <f t="shared" si="239"/>
        <v>504.42806914139692</v>
      </c>
      <c r="AI516" s="210">
        <f t="shared" si="239"/>
        <v>529.97181292632229</v>
      </c>
      <c r="AJ516" s="210">
        <f t="shared" si="239"/>
        <v>525.14258779050385</v>
      </c>
      <c r="AK516" s="210">
        <f t="shared" si="239"/>
        <v>548.73872938751424</v>
      </c>
      <c r="AL516" s="210">
        <f t="shared" si="239"/>
        <v>543.60177953852178</v>
      </c>
      <c r="AM516" s="210">
        <f t="shared" si="239"/>
        <v>568.5404968330937</v>
      </c>
      <c r="AN516" s="210">
        <f t="shared" si="239"/>
        <v>563.06802340059448</v>
      </c>
    </row>
    <row r="517" spans="1:40">
      <c r="B517" s="151" t="s">
        <v>274</v>
      </c>
      <c r="C517" s="36" t="s">
        <v>72</v>
      </c>
      <c r="D517" s="2"/>
      <c r="E517" s="2"/>
      <c r="F517" s="2"/>
      <c r="G517" s="212">
        <v>0</v>
      </c>
      <c r="H517" s="212">
        <v>0</v>
      </c>
      <c r="I517" s="212">
        <v>0</v>
      </c>
      <c r="J517" s="212">
        <v>0</v>
      </c>
      <c r="K517" s="212">
        <v>0</v>
      </c>
      <c r="L517" s="212">
        <v>0</v>
      </c>
      <c r="M517" s="212">
        <v>0</v>
      </c>
      <c r="N517" s="212">
        <v>0</v>
      </c>
      <c r="O517" s="212">
        <v>0</v>
      </c>
      <c r="P517" s="212">
        <v>0</v>
      </c>
      <c r="Q517" s="212">
        <v>0</v>
      </c>
      <c r="R517" s="212">
        <v>0</v>
      </c>
      <c r="S517" s="212">
        <v>0</v>
      </c>
      <c r="T517" s="212">
        <v>0</v>
      </c>
      <c r="U517" s="212">
        <v>0</v>
      </c>
      <c r="V517" s="212">
        <v>0</v>
      </c>
      <c r="W517" s="216">
        <v>0</v>
      </c>
      <c r="X517" s="216">
        <v>0</v>
      </c>
      <c r="Y517" s="216">
        <v>0</v>
      </c>
      <c r="Z517" s="216">
        <v>0</v>
      </c>
      <c r="AA517" s="216">
        <v>0</v>
      </c>
      <c r="AB517" s="216">
        <v>0</v>
      </c>
      <c r="AC517" s="216">
        <v>0</v>
      </c>
      <c r="AD517" s="216">
        <v>0</v>
      </c>
      <c r="AE517" s="216">
        <v>0</v>
      </c>
      <c r="AF517" s="216">
        <v>0</v>
      </c>
      <c r="AG517" s="216">
        <v>0</v>
      </c>
      <c r="AH517" s="216">
        <v>0</v>
      </c>
      <c r="AI517" s="216">
        <v>0</v>
      </c>
      <c r="AJ517" s="216">
        <v>0</v>
      </c>
      <c r="AK517" s="216">
        <v>0</v>
      </c>
      <c r="AL517" s="216">
        <v>0</v>
      </c>
      <c r="AM517" s="216">
        <v>0</v>
      </c>
      <c r="AN517" s="216">
        <v>0</v>
      </c>
    </row>
    <row r="518" spans="1:40">
      <c r="B518" s="151" t="s">
        <v>275</v>
      </c>
      <c r="C518" s="36" t="s">
        <v>72</v>
      </c>
      <c r="D518" s="2"/>
      <c r="E518" s="2"/>
      <c r="F518" s="2"/>
      <c r="G518" s="212">
        <v>0</v>
      </c>
      <c r="H518" s="212">
        <v>0</v>
      </c>
      <c r="I518" s="212">
        <v>0</v>
      </c>
      <c r="J518" s="212">
        <v>0</v>
      </c>
      <c r="K518" s="212">
        <v>0</v>
      </c>
      <c r="L518" s="212">
        <v>0</v>
      </c>
      <c r="M518" s="212">
        <v>0</v>
      </c>
      <c r="N518" s="212">
        <v>0</v>
      </c>
      <c r="O518" s="212">
        <v>0</v>
      </c>
      <c r="P518" s="212">
        <v>0</v>
      </c>
      <c r="Q518" s="212">
        <v>0</v>
      </c>
      <c r="R518" s="212">
        <v>0</v>
      </c>
      <c r="S518" s="212">
        <v>0</v>
      </c>
      <c r="T518" s="212">
        <v>0</v>
      </c>
      <c r="U518" s="212">
        <v>0</v>
      </c>
      <c r="V518" s="212">
        <v>0</v>
      </c>
      <c r="W518" s="216">
        <v>0</v>
      </c>
      <c r="X518" s="216">
        <v>0</v>
      </c>
      <c r="Y518" s="216">
        <v>0</v>
      </c>
      <c r="Z518" s="216">
        <v>0</v>
      </c>
      <c r="AA518" s="216">
        <v>0</v>
      </c>
      <c r="AB518" s="216">
        <v>0</v>
      </c>
      <c r="AC518" s="216">
        <v>0</v>
      </c>
      <c r="AD518" s="216">
        <v>0</v>
      </c>
      <c r="AE518" s="216">
        <v>0</v>
      </c>
      <c r="AF518" s="216">
        <v>0</v>
      </c>
      <c r="AG518" s="216">
        <v>0</v>
      </c>
      <c r="AH518" s="216">
        <v>0</v>
      </c>
      <c r="AI518" s="216">
        <v>0</v>
      </c>
      <c r="AJ518" s="216">
        <v>0</v>
      </c>
      <c r="AK518" s="216">
        <v>0</v>
      </c>
      <c r="AL518" s="216">
        <v>0</v>
      </c>
      <c r="AM518" s="216">
        <v>0</v>
      </c>
      <c r="AN518" s="216">
        <v>0</v>
      </c>
    </row>
    <row r="519" spans="1:40">
      <c r="B519" s="195" t="s">
        <v>177</v>
      </c>
      <c r="C519" s="107"/>
      <c r="D519" s="5"/>
      <c r="E519" s="5"/>
      <c r="F519" s="5"/>
      <c r="G519" s="184" t="s">
        <v>177</v>
      </c>
      <c r="H519" s="184" t="s">
        <v>177</v>
      </c>
      <c r="I519" s="184" t="s">
        <v>177</v>
      </c>
      <c r="J519" s="184" t="s">
        <v>177</v>
      </c>
      <c r="K519" s="184" t="s">
        <v>177</v>
      </c>
      <c r="L519" s="184" t="s">
        <v>177</v>
      </c>
      <c r="M519" s="184" t="s">
        <v>177</v>
      </c>
      <c r="N519" s="184" t="s">
        <v>177</v>
      </c>
      <c r="O519" s="184" t="s">
        <v>177</v>
      </c>
      <c r="P519" s="184" t="s">
        <v>177</v>
      </c>
      <c r="Q519" s="184" t="s">
        <v>177</v>
      </c>
      <c r="R519" s="184" t="s">
        <v>177</v>
      </c>
      <c r="S519" s="184" t="s">
        <v>177</v>
      </c>
      <c r="T519" s="184" t="s">
        <v>177</v>
      </c>
      <c r="U519" s="184" t="s">
        <v>177</v>
      </c>
      <c r="V519" s="184" t="s">
        <v>177</v>
      </c>
      <c r="W519" s="184" t="s">
        <v>177</v>
      </c>
      <c r="X519" s="184" t="s">
        <v>177</v>
      </c>
      <c r="Y519" s="184" t="s">
        <v>177</v>
      </c>
      <c r="Z519" s="184" t="s">
        <v>177</v>
      </c>
      <c r="AA519" s="184" t="s">
        <v>177</v>
      </c>
      <c r="AB519" s="184" t="s">
        <v>177</v>
      </c>
      <c r="AC519" s="184" t="s">
        <v>177</v>
      </c>
      <c r="AD519" s="184" t="s">
        <v>177</v>
      </c>
      <c r="AE519" s="184" t="s">
        <v>177</v>
      </c>
      <c r="AF519" s="184" t="s">
        <v>177</v>
      </c>
      <c r="AG519" s="184" t="s">
        <v>177</v>
      </c>
      <c r="AH519" s="184" t="s">
        <v>177</v>
      </c>
      <c r="AI519" s="184" t="s">
        <v>177</v>
      </c>
      <c r="AJ519" s="184" t="s">
        <v>177</v>
      </c>
      <c r="AK519" s="184" t="s">
        <v>177</v>
      </c>
      <c r="AL519" s="184" t="s">
        <v>177</v>
      </c>
      <c r="AM519" s="184" t="s">
        <v>177</v>
      </c>
      <c r="AN519" s="184" t="s">
        <v>177</v>
      </c>
    </row>
    <row r="520" spans="1:40" s="3" customFormat="1">
      <c r="A520" s="1"/>
      <c r="B520" s="145" t="s">
        <v>276</v>
      </c>
      <c r="C520" s="36" t="s">
        <v>72</v>
      </c>
      <c r="D520" s="4"/>
      <c r="E520" s="4"/>
      <c r="F520" s="4"/>
      <c r="G520" s="210">
        <f t="shared" ref="G520:AN520" si="240">SUM(G516:G519)</f>
        <v>487.12454063071789</v>
      </c>
      <c r="H520" s="210">
        <f t="shared" si="240"/>
        <v>450.66217843296693</v>
      </c>
      <c r="I520" s="210">
        <f t="shared" si="240"/>
        <v>444.64136511800183</v>
      </c>
      <c r="J520" s="210">
        <f t="shared" si="240"/>
        <v>260.59257063955874</v>
      </c>
      <c r="K520" s="210">
        <f t="shared" si="240"/>
        <v>345.19929140775662</v>
      </c>
      <c r="L520" s="210">
        <f t="shared" si="240"/>
        <v>386.43718944039011</v>
      </c>
      <c r="M520" s="210">
        <f t="shared" si="240"/>
        <v>239.30042519685037</v>
      </c>
      <c r="N520" s="210">
        <f t="shared" si="240"/>
        <v>336.11961910308673</v>
      </c>
      <c r="O520" s="210">
        <f t="shared" si="240"/>
        <v>438.9</v>
      </c>
      <c r="P520" s="210">
        <f t="shared" si="240"/>
        <v>423.70000000000005</v>
      </c>
      <c r="Q520" s="210">
        <f t="shared" si="240"/>
        <v>442.8</v>
      </c>
      <c r="R520" s="210">
        <f t="shared" si="240"/>
        <v>427.7</v>
      </c>
      <c r="S520" s="210">
        <f t="shared" si="240"/>
        <v>422</v>
      </c>
      <c r="T520" s="210">
        <f t="shared" si="240"/>
        <v>403.20000000000005</v>
      </c>
      <c r="U520" s="210">
        <f t="shared" si="240"/>
        <v>411.7</v>
      </c>
      <c r="V520" s="210">
        <f t="shared" si="240"/>
        <v>411.00000000000006</v>
      </c>
      <c r="W520" s="210">
        <f t="shared" si="240"/>
        <v>419.565</v>
      </c>
      <c r="X520" s="210">
        <f t="shared" si="240"/>
        <v>421.36900000000003</v>
      </c>
      <c r="Y520" s="210">
        <f t="shared" si="240"/>
        <v>428.74853999999999</v>
      </c>
      <c r="Z520" s="210">
        <f t="shared" si="240"/>
        <v>430.86368999999991</v>
      </c>
      <c r="AA520" s="210">
        <f t="shared" si="240"/>
        <v>451.29426060000003</v>
      </c>
      <c r="AB520" s="210">
        <f t="shared" si="240"/>
        <v>448.01762690000004</v>
      </c>
      <c r="AC520" s="210">
        <f t="shared" si="240"/>
        <v>469.62116627799992</v>
      </c>
      <c r="AD520" s="210">
        <f t="shared" si="240"/>
        <v>466.20287816899997</v>
      </c>
      <c r="AE520" s="210">
        <f t="shared" si="240"/>
        <v>489.09370750493997</v>
      </c>
      <c r="AF520" s="210">
        <f t="shared" si="240"/>
        <v>484.80827684069004</v>
      </c>
      <c r="AG520" s="210">
        <f t="shared" si="240"/>
        <v>508.97433973507424</v>
      </c>
      <c r="AH520" s="210">
        <f t="shared" si="240"/>
        <v>504.42806914139692</v>
      </c>
      <c r="AI520" s="210">
        <f t="shared" si="240"/>
        <v>529.97181292632229</v>
      </c>
      <c r="AJ520" s="210">
        <f t="shared" si="240"/>
        <v>525.14258779050385</v>
      </c>
      <c r="AK520" s="210">
        <f t="shared" si="240"/>
        <v>548.73872938751424</v>
      </c>
      <c r="AL520" s="210">
        <f t="shared" si="240"/>
        <v>543.60177953852178</v>
      </c>
      <c r="AM520" s="210">
        <f t="shared" si="240"/>
        <v>568.5404968330937</v>
      </c>
      <c r="AN520" s="210">
        <f t="shared" si="240"/>
        <v>563.06802340059448</v>
      </c>
    </row>
    <row r="521" spans="1:40">
      <c r="B521" s="151" t="s">
        <v>277</v>
      </c>
      <c r="C521" s="36" t="s">
        <v>72</v>
      </c>
      <c r="D521" s="2"/>
      <c r="E521" s="2"/>
      <c r="F521" s="2"/>
      <c r="G521" s="7">
        <f t="shared" ref="G521:AN521" si="241">G313</f>
        <v>-315.4245406307179</v>
      </c>
      <c r="H521" s="7">
        <f t="shared" si="241"/>
        <v>-300.16217843296693</v>
      </c>
      <c r="I521" s="7">
        <f t="shared" si="241"/>
        <v>-291.34136511800182</v>
      </c>
      <c r="J521" s="7">
        <f t="shared" si="241"/>
        <v>-213.19257063955877</v>
      </c>
      <c r="K521" s="7">
        <f t="shared" si="241"/>
        <v>-227.39929140775661</v>
      </c>
      <c r="L521" s="7">
        <f t="shared" si="241"/>
        <v>-255.6371894403901</v>
      </c>
      <c r="M521" s="7">
        <f t="shared" si="241"/>
        <v>-203.10042519685038</v>
      </c>
      <c r="N521" s="7">
        <f t="shared" si="241"/>
        <v>-234.41961910308675</v>
      </c>
      <c r="O521" s="7">
        <f t="shared" si="241"/>
        <v>-277.09999999999997</v>
      </c>
      <c r="P521" s="7">
        <f t="shared" si="241"/>
        <v>-283.70000000000005</v>
      </c>
      <c r="Q521" s="7">
        <f t="shared" si="241"/>
        <v>-298.5</v>
      </c>
      <c r="R521" s="7">
        <f t="shared" si="241"/>
        <v>-294.2</v>
      </c>
      <c r="S521" s="7">
        <f t="shared" si="241"/>
        <v>-302.5</v>
      </c>
      <c r="T521" s="7">
        <f t="shared" si="241"/>
        <v>-289.00000000000006</v>
      </c>
      <c r="U521" s="7">
        <f t="shared" si="241"/>
        <v>-326.2</v>
      </c>
      <c r="V521" s="7">
        <f t="shared" si="241"/>
        <v>-314.90000000000009</v>
      </c>
      <c r="W521" s="7">
        <f t="shared" si="241"/>
        <v>-330.42936800000001</v>
      </c>
      <c r="X521" s="7">
        <f t="shared" si="241"/>
        <v>-327.31849680000005</v>
      </c>
      <c r="Y521" s="7">
        <f t="shared" si="241"/>
        <v>-329.30683108799997</v>
      </c>
      <c r="Z521" s="7">
        <f t="shared" si="241"/>
        <v>-325.47325256799996</v>
      </c>
      <c r="AA521" s="7">
        <f t="shared" si="241"/>
        <v>-337.01786910032001</v>
      </c>
      <c r="AB521" s="7">
        <f t="shared" si="241"/>
        <v>-332.94952184567995</v>
      </c>
      <c r="AC521" s="7">
        <f t="shared" si="241"/>
        <v>-350.71441908832156</v>
      </c>
      <c r="AD521" s="7">
        <f t="shared" si="241"/>
        <v>-346.41118913981677</v>
      </c>
      <c r="AE521" s="7">
        <f t="shared" si="241"/>
        <v>-365.17029308123313</v>
      </c>
      <c r="AF521" s="7">
        <f t="shared" si="241"/>
        <v>-360.1873663341301</v>
      </c>
      <c r="AG521" s="7">
        <f t="shared" si="241"/>
        <v>-379.94355332322436</v>
      </c>
      <c r="AH521" s="7">
        <f t="shared" si="241"/>
        <v>-374.63463766841244</v>
      </c>
      <c r="AI521" s="7">
        <f t="shared" si="241"/>
        <v>-395.45993353605377</v>
      </c>
      <c r="AJ521" s="7">
        <f t="shared" si="241"/>
        <v>-389.80110365065974</v>
      </c>
      <c r="AK521" s="7">
        <f t="shared" si="241"/>
        <v>-411.13864658457135</v>
      </c>
      <c r="AL521" s="7">
        <f t="shared" si="241"/>
        <v>-405.10376891608121</v>
      </c>
      <c r="AM521" s="7">
        <f t="shared" si="241"/>
        <v>-427.62646193306858</v>
      </c>
      <c r="AN521" s="7">
        <f t="shared" si="241"/>
        <v>-421.18693708500911</v>
      </c>
    </row>
    <row r="522" spans="1:40">
      <c r="B522" s="195" t="s">
        <v>177</v>
      </c>
      <c r="C522" s="107"/>
      <c r="D522" s="5"/>
      <c r="E522" s="5"/>
      <c r="F522" s="5"/>
      <c r="G522" s="184" t="s">
        <v>177</v>
      </c>
      <c r="H522" s="184" t="s">
        <v>177</v>
      </c>
      <c r="I522" s="184" t="s">
        <v>177</v>
      </c>
      <c r="J522" s="184" t="s">
        <v>177</v>
      </c>
      <c r="K522" s="184" t="s">
        <v>177</v>
      </c>
      <c r="L522" s="184" t="s">
        <v>177</v>
      </c>
      <c r="M522" s="184" t="s">
        <v>177</v>
      </c>
      <c r="N522" s="184" t="s">
        <v>177</v>
      </c>
      <c r="O522" s="184" t="s">
        <v>177</v>
      </c>
      <c r="P522" s="184" t="s">
        <v>177</v>
      </c>
      <c r="Q522" s="184" t="s">
        <v>177</v>
      </c>
      <c r="R522" s="184" t="s">
        <v>177</v>
      </c>
      <c r="S522" s="184" t="s">
        <v>177</v>
      </c>
      <c r="T522" s="184" t="s">
        <v>177</v>
      </c>
      <c r="U522" s="184" t="s">
        <v>177</v>
      </c>
      <c r="V522" s="184" t="s">
        <v>177</v>
      </c>
      <c r="W522" s="184" t="s">
        <v>177</v>
      </c>
      <c r="X522" s="184" t="s">
        <v>177</v>
      </c>
      <c r="Y522" s="184" t="s">
        <v>177</v>
      </c>
      <c r="Z522" s="184" t="s">
        <v>177</v>
      </c>
      <c r="AA522" s="184" t="s">
        <v>177</v>
      </c>
      <c r="AB522" s="184" t="s">
        <v>177</v>
      </c>
      <c r="AC522" s="184" t="s">
        <v>177</v>
      </c>
      <c r="AD522" s="184" t="s">
        <v>177</v>
      </c>
      <c r="AE522" s="184" t="s">
        <v>177</v>
      </c>
      <c r="AF522" s="184" t="s">
        <v>177</v>
      </c>
      <c r="AG522" s="184" t="s">
        <v>177</v>
      </c>
      <c r="AH522" s="184" t="s">
        <v>177</v>
      </c>
      <c r="AI522" s="184" t="s">
        <v>177</v>
      </c>
      <c r="AJ522" s="184" t="s">
        <v>177</v>
      </c>
      <c r="AK522" s="184" t="s">
        <v>177</v>
      </c>
      <c r="AL522" s="184" t="s">
        <v>177</v>
      </c>
      <c r="AM522" s="184" t="s">
        <v>177</v>
      </c>
      <c r="AN522" s="184" t="s">
        <v>177</v>
      </c>
    </row>
    <row r="523" spans="1:40" s="3" customFormat="1">
      <c r="A523" s="1"/>
      <c r="B523" s="145" t="s">
        <v>26</v>
      </c>
      <c r="C523" s="36" t="s">
        <v>72</v>
      </c>
      <c r="D523" s="4"/>
      <c r="E523" s="4"/>
      <c r="F523" s="4"/>
      <c r="G523" s="210">
        <f t="shared" ref="G523:AN523" si="242">SUM(G520:G522)</f>
        <v>171.7</v>
      </c>
      <c r="H523" s="210">
        <f t="shared" si="242"/>
        <v>150.5</v>
      </c>
      <c r="I523" s="210">
        <f t="shared" si="242"/>
        <v>153.30000000000001</v>
      </c>
      <c r="J523" s="210">
        <f t="shared" si="242"/>
        <v>47.399999999999977</v>
      </c>
      <c r="K523" s="210">
        <f t="shared" si="242"/>
        <v>117.80000000000001</v>
      </c>
      <c r="L523" s="210">
        <f t="shared" si="242"/>
        <v>130.80000000000001</v>
      </c>
      <c r="M523" s="210">
        <f t="shared" si="242"/>
        <v>36.199999999999989</v>
      </c>
      <c r="N523" s="210">
        <f t="shared" si="242"/>
        <v>101.69999999999999</v>
      </c>
      <c r="O523" s="210">
        <f t="shared" si="242"/>
        <v>161.80000000000001</v>
      </c>
      <c r="P523" s="210">
        <f t="shared" si="242"/>
        <v>140</v>
      </c>
      <c r="Q523" s="210">
        <f t="shared" si="242"/>
        <v>144.30000000000001</v>
      </c>
      <c r="R523" s="210">
        <f t="shared" si="242"/>
        <v>133.5</v>
      </c>
      <c r="S523" s="210">
        <f t="shared" si="242"/>
        <v>119.5</v>
      </c>
      <c r="T523" s="210">
        <f t="shared" si="242"/>
        <v>114.19999999999999</v>
      </c>
      <c r="U523" s="210">
        <f t="shared" si="242"/>
        <v>85.5</v>
      </c>
      <c r="V523" s="210">
        <f t="shared" si="242"/>
        <v>96.099999999999966</v>
      </c>
      <c r="W523" s="210">
        <f t="shared" si="242"/>
        <v>89.135631999999987</v>
      </c>
      <c r="X523" s="210">
        <f t="shared" si="242"/>
        <v>94.05050319999998</v>
      </c>
      <c r="Y523" s="210">
        <f t="shared" si="242"/>
        <v>99.441708912000024</v>
      </c>
      <c r="Z523" s="210">
        <f t="shared" si="242"/>
        <v>105.39043743199994</v>
      </c>
      <c r="AA523" s="210">
        <f t="shared" si="242"/>
        <v>114.27639149968002</v>
      </c>
      <c r="AB523" s="210">
        <f t="shared" si="242"/>
        <v>115.06810505432009</v>
      </c>
      <c r="AC523" s="210">
        <f t="shared" si="242"/>
        <v>118.90674718967836</v>
      </c>
      <c r="AD523" s="210">
        <f t="shared" si="242"/>
        <v>119.7916890291832</v>
      </c>
      <c r="AE523" s="210">
        <f t="shared" si="242"/>
        <v>123.92341442370684</v>
      </c>
      <c r="AF523" s="210">
        <f t="shared" si="242"/>
        <v>124.62091050655994</v>
      </c>
      <c r="AG523" s="210">
        <f t="shared" si="242"/>
        <v>129.03078641184987</v>
      </c>
      <c r="AH523" s="210">
        <f t="shared" si="242"/>
        <v>129.79343147298448</v>
      </c>
      <c r="AI523" s="210">
        <f t="shared" si="242"/>
        <v>134.51187939026852</v>
      </c>
      <c r="AJ523" s="210">
        <f t="shared" si="242"/>
        <v>135.34148413984411</v>
      </c>
      <c r="AK523" s="210">
        <f t="shared" si="242"/>
        <v>137.60008280294289</v>
      </c>
      <c r="AL523" s="210">
        <f t="shared" si="242"/>
        <v>138.49801062244057</v>
      </c>
      <c r="AM523" s="210">
        <f t="shared" si="242"/>
        <v>140.91403490002511</v>
      </c>
      <c r="AN523" s="210">
        <f t="shared" si="242"/>
        <v>141.88108631558538</v>
      </c>
    </row>
    <row r="524" spans="1:40">
      <c r="B524" s="151" t="s">
        <v>278</v>
      </c>
      <c r="C524" s="36" t="s">
        <v>72</v>
      </c>
      <c r="D524" s="2"/>
      <c r="E524" s="2"/>
      <c r="F524" s="2"/>
      <c r="G524" s="7">
        <f t="shared" ref="G524:AN524" si="243">G379</f>
        <v>-33.973430305320079</v>
      </c>
      <c r="H524" s="7">
        <f t="shared" si="243"/>
        <v>-33.213967271954488</v>
      </c>
      <c r="I524" s="7">
        <f t="shared" si="243"/>
        <v>-32.785617096018747</v>
      </c>
      <c r="J524" s="7">
        <f t="shared" si="243"/>
        <v>-35.827382903981267</v>
      </c>
      <c r="K524" s="7">
        <f t="shared" si="243"/>
        <v>-34.83091801385681</v>
      </c>
      <c r="L524" s="7">
        <f t="shared" si="243"/>
        <v>-40.164081986143152</v>
      </c>
      <c r="M524" s="7">
        <f t="shared" si="243"/>
        <v>-41.117644870349487</v>
      </c>
      <c r="N524" s="7">
        <f t="shared" si="243"/>
        <v>-40.381355129650508</v>
      </c>
      <c r="O524" s="7">
        <f t="shared" si="243"/>
        <v>-38.799500000000009</v>
      </c>
      <c r="P524" s="7">
        <f t="shared" si="243"/>
        <v>-38.543499999999995</v>
      </c>
      <c r="Q524" s="7">
        <f t="shared" si="243"/>
        <v>-38.369500000000002</v>
      </c>
      <c r="R524" s="7">
        <f t="shared" si="243"/>
        <v>-41.896500000000003</v>
      </c>
      <c r="S524" s="7">
        <f t="shared" si="243"/>
        <v>-39.6815</v>
      </c>
      <c r="T524" s="7">
        <f t="shared" si="243"/>
        <v>-43.236500000000007</v>
      </c>
      <c r="U524" s="7">
        <f t="shared" si="243"/>
        <v>-44.279000000000003</v>
      </c>
      <c r="V524" s="7">
        <f t="shared" si="243"/>
        <v>-46.375999999999998</v>
      </c>
      <c r="W524" s="7">
        <f t="shared" si="243"/>
        <v>-53.113666666666667</v>
      </c>
      <c r="X524" s="7">
        <f t="shared" si="243"/>
        <v>-45.643211111111114</v>
      </c>
      <c r="Y524" s="7">
        <f t="shared" si="243"/>
        <v>-45.48843740740741</v>
      </c>
      <c r="Z524" s="7">
        <f t="shared" si="243"/>
        <v>-45.115485600493827</v>
      </c>
      <c r="AA524" s="7">
        <f t="shared" si="243"/>
        <v>-44.760605920477367</v>
      </c>
      <c r="AB524" s="7">
        <f t="shared" si="243"/>
        <v>-44.472037084728115</v>
      </c>
      <c r="AC524" s="7">
        <f t="shared" si="243"/>
        <v>-44.184349520303847</v>
      </c>
      <c r="AD524" s="7">
        <f t="shared" si="243"/>
        <v>-43.963860979701721</v>
      </c>
      <c r="AE524" s="7">
        <f t="shared" si="243"/>
        <v>-43.74160662216233</v>
      </c>
      <c r="AF524" s="7">
        <f t="shared" si="243"/>
        <v>-43.58780295477009</v>
      </c>
      <c r="AG524" s="7">
        <f t="shared" si="243"/>
        <v>-43.427698261186265</v>
      </c>
      <c r="AH524" s="7">
        <f t="shared" si="243"/>
        <v>-43.337373225106923</v>
      </c>
      <c r="AI524" s="7">
        <f t="shared" si="243"/>
        <v>-43.237935635313754</v>
      </c>
      <c r="AJ524" s="7">
        <f t="shared" si="243"/>
        <v>-43.209929281940155</v>
      </c>
      <c r="AK524" s="7">
        <f t="shared" si="243"/>
        <v>-43.169978539983497</v>
      </c>
      <c r="AL524" s="7">
        <f t="shared" si="243"/>
        <v>-43.194282533684081</v>
      </c>
      <c r="AM524" s="7">
        <f t="shared" si="243"/>
        <v>-43.204077861330674</v>
      </c>
      <c r="AN524" s="7">
        <f t="shared" si="243"/>
        <v>-43.28004992417457</v>
      </c>
    </row>
    <row r="525" spans="1:40">
      <c r="B525" s="151" t="s">
        <v>279</v>
      </c>
      <c r="C525" s="36" t="s">
        <v>72</v>
      </c>
      <c r="D525" s="2"/>
      <c r="E525" s="2"/>
      <c r="F525" s="2"/>
      <c r="G525" s="7">
        <f t="shared" ref="G525:AN525" si="244">G394</f>
        <v>-6.5265696946799228</v>
      </c>
      <c r="H525" s="7">
        <f t="shared" si="244"/>
        <v>-6.2860327280455266</v>
      </c>
      <c r="I525" s="7">
        <f t="shared" si="244"/>
        <v>-8.6143829039812641</v>
      </c>
      <c r="J525" s="7">
        <f t="shared" si="244"/>
        <v>-9.3726170960187343</v>
      </c>
      <c r="K525" s="7">
        <f t="shared" si="244"/>
        <v>-6.2690819861431866</v>
      </c>
      <c r="L525" s="7">
        <f t="shared" si="244"/>
        <v>-7.1359180138568128</v>
      </c>
      <c r="M525" s="7">
        <f t="shared" si="244"/>
        <v>-6.6823551296505066</v>
      </c>
      <c r="N525" s="7">
        <f t="shared" si="244"/>
        <v>-6.518644870349493</v>
      </c>
      <c r="O525" s="7">
        <f t="shared" si="244"/>
        <v>-6.6645000000000003</v>
      </c>
      <c r="P525" s="7">
        <f t="shared" si="244"/>
        <v>-6.6645000000000003</v>
      </c>
      <c r="Q525" s="7">
        <f t="shared" si="244"/>
        <v>-5.8774999999999995</v>
      </c>
      <c r="R525" s="7">
        <f t="shared" si="244"/>
        <v>-5.8774999999999995</v>
      </c>
      <c r="S525" s="7">
        <f t="shared" si="244"/>
        <v>-5.6475000000000009</v>
      </c>
      <c r="T525" s="7">
        <f t="shared" si="244"/>
        <v>-5.6475000000000009</v>
      </c>
      <c r="U525" s="7">
        <f t="shared" si="244"/>
        <v>-5.6</v>
      </c>
      <c r="V525" s="7">
        <f t="shared" si="244"/>
        <v>-7.202</v>
      </c>
      <c r="W525" s="7">
        <f t="shared" si="244"/>
        <v>-7.1211004108176645</v>
      </c>
      <c r="X525" s="7">
        <f t="shared" si="244"/>
        <v>-7.0835817461999646</v>
      </c>
      <c r="Y525" s="7">
        <f t="shared" si="244"/>
        <v>-7.0467756169568858</v>
      </c>
      <c r="Z525" s="7">
        <f t="shared" si="244"/>
        <v>-7.0113879433699093</v>
      </c>
      <c r="AA525" s="7">
        <f t="shared" si="244"/>
        <v>-6.9767253801056812</v>
      </c>
      <c r="AB525" s="7">
        <f t="shared" si="244"/>
        <v>-6.9451275655432738</v>
      </c>
      <c r="AC525" s="7">
        <f t="shared" si="244"/>
        <v>-6.9135147647752309</v>
      </c>
      <c r="AD525" s="7">
        <f t="shared" si="244"/>
        <v>-6.8850780320478799</v>
      </c>
      <c r="AE525" s="7">
        <f t="shared" si="244"/>
        <v>-6.8565676054330957</v>
      </c>
      <c r="AF525" s="7">
        <f t="shared" si="244"/>
        <v>-6.8313585530563845</v>
      </c>
      <c r="AG525" s="7">
        <f t="shared" si="244"/>
        <v>-6.8059232017226154</v>
      </c>
      <c r="AH525" s="7">
        <f t="shared" si="244"/>
        <v>-6.78391333470665</v>
      </c>
      <c r="AI525" s="7">
        <f t="shared" si="244"/>
        <v>-6.761602686930722</v>
      </c>
      <c r="AJ525" s="7">
        <f t="shared" si="244"/>
        <v>-6.7428541358610792</v>
      </c>
      <c r="AK525" s="7">
        <f t="shared" si="244"/>
        <v>-6.7237266892276661</v>
      </c>
      <c r="AL525" s="7">
        <f t="shared" si="244"/>
        <v>-6.7078707366002162</v>
      </c>
      <c r="AM525" s="7">
        <f t="shared" si="244"/>
        <v>-6.6915593256229426</v>
      </c>
      <c r="AN525" s="7">
        <f t="shared" si="244"/>
        <v>-6.6786554774683857</v>
      </c>
    </row>
    <row r="526" spans="1:40">
      <c r="B526" s="195" t="s">
        <v>177</v>
      </c>
      <c r="C526" s="107"/>
      <c r="D526" s="5"/>
      <c r="E526" s="5"/>
      <c r="F526" s="5"/>
      <c r="G526" s="184" t="s">
        <v>177</v>
      </c>
      <c r="H526" s="184" t="s">
        <v>177</v>
      </c>
      <c r="I526" s="184" t="s">
        <v>177</v>
      </c>
      <c r="J526" s="184" t="s">
        <v>177</v>
      </c>
      <c r="K526" s="184" t="s">
        <v>177</v>
      </c>
      <c r="L526" s="184" t="s">
        <v>177</v>
      </c>
      <c r="M526" s="184" t="s">
        <v>177</v>
      </c>
      <c r="N526" s="184" t="s">
        <v>177</v>
      </c>
      <c r="O526" s="184" t="s">
        <v>177</v>
      </c>
      <c r="P526" s="184" t="s">
        <v>177</v>
      </c>
      <c r="Q526" s="184" t="s">
        <v>177</v>
      </c>
      <c r="R526" s="184" t="s">
        <v>177</v>
      </c>
      <c r="S526" s="184" t="s">
        <v>177</v>
      </c>
      <c r="T526" s="184" t="s">
        <v>177</v>
      </c>
      <c r="U526" s="184" t="s">
        <v>177</v>
      </c>
      <c r="V526" s="184" t="s">
        <v>177</v>
      </c>
      <c r="W526" s="184" t="s">
        <v>177</v>
      </c>
      <c r="X526" s="184" t="s">
        <v>177</v>
      </c>
      <c r="Y526" s="184" t="s">
        <v>177</v>
      </c>
      <c r="Z526" s="184" t="s">
        <v>177</v>
      </c>
      <c r="AA526" s="184" t="s">
        <v>177</v>
      </c>
      <c r="AB526" s="184" t="s">
        <v>177</v>
      </c>
      <c r="AC526" s="184" t="s">
        <v>177</v>
      </c>
      <c r="AD526" s="184" t="s">
        <v>177</v>
      </c>
      <c r="AE526" s="184" t="s">
        <v>177</v>
      </c>
      <c r="AF526" s="184" t="s">
        <v>177</v>
      </c>
      <c r="AG526" s="184" t="s">
        <v>177</v>
      </c>
      <c r="AH526" s="184" t="s">
        <v>177</v>
      </c>
      <c r="AI526" s="184" t="s">
        <v>177</v>
      </c>
      <c r="AJ526" s="184" t="s">
        <v>177</v>
      </c>
      <c r="AK526" s="184" t="s">
        <v>177</v>
      </c>
      <c r="AL526" s="184" t="s">
        <v>177</v>
      </c>
      <c r="AM526" s="184" t="s">
        <v>177</v>
      </c>
      <c r="AN526" s="184" t="s">
        <v>177</v>
      </c>
    </row>
    <row r="527" spans="1:40" s="3" customFormat="1">
      <c r="A527" s="1"/>
      <c r="B527" s="145" t="s">
        <v>128</v>
      </c>
      <c r="C527" s="36" t="s">
        <v>72</v>
      </c>
      <c r="D527" s="4"/>
      <c r="E527" s="4"/>
      <c r="F527" s="4"/>
      <c r="G527" s="210">
        <f t="shared" ref="G527:AN527" si="245">SUM(G523:G526)</f>
        <v>131.19999999999999</v>
      </c>
      <c r="H527" s="210">
        <f t="shared" si="245"/>
        <v>110.99999999999999</v>
      </c>
      <c r="I527" s="210">
        <f t="shared" si="245"/>
        <v>111.9</v>
      </c>
      <c r="J527" s="210">
        <f t="shared" si="245"/>
        <v>2.1999999999999762</v>
      </c>
      <c r="K527" s="210">
        <f t="shared" si="245"/>
        <v>76.700000000000017</v>
      </c>
      <c r="L527" s="210">
        <f t="shared" si="245"/>
        <v>83.500000000000057</v>
      </c>
      <c r="M527" s="210">
        <f t="shared" si="245"/>
        <v>-11.600000000000005</v>
      </c>
      <c r="N527" s="210">
        <f t="shared" si="245"/>
        <v>54.79999999999999</v>
      </c>
      <c r="O527" s="210">
        <f t="shared" si="245"/>
        <v>116.336</v>
      </c>
      <c r="P527" s="210">
        <f t="shared" si="245"/>
        <v>94.792000000000002</v>
      </c>
      <c r="Q527" s="210">
        <f t="shared" si="245"/>
        <v>100.05300000000001</v>
      </c>
      <c r="R527" s="210">
        <f t="shared" si="245"/>
        <v>85.725999999999999</v>
      </c>
      <c r="S527" s="210">
        <f t="shared" si="245"/>
        <v>74.170999999999992</v>
      </c>
      <c r="T527" s="210">
        <f t="shared" si="245"/>
        <v>65.315999999999974</v>
      </c>
      <c r="U527" s="210">
        <f t="shared" si="245"/>
        <v>35.620999999999995</v>
      </c>
      <c r="V527" s="210">
        <f t="shared" si="245"/>
        <v>42.52199999999997</v>
      </c>
      <c r="W527" s="210">
        <f t="shared" si="245"/>
        <v>28.900864922515655</v>
      </c>
      <c r="X527" s="210">
        <f t="shared" si="245"/>
        <v>41.323710342688898</v>
      </c>
      <c r="Y527" s="210">
        <f t="shared" si="245"/>
        <v>46.906495887635728</v>
      </c>
      <c r="Z527" s="210">
        <f t="shared" si="245"/>
        <v>53.263563888136204</v>
      </c>
      <c r="AA527" s="210">
        <f t="shared" si="245"/>
        <v>62.539060199096973</v>
      </c>
      <c r="AB527" s="210">
        <f t="shared" si="245"/>
        <v>63.650940404048697</v>
      </c>
      <c r="AC527" s="210">
        <f t="shared" si="245"/>
        <v>67.808882904599287</v>
      </c>
      <c r="AD527" s="210">
        <f t="shared" si="245"/>
        <v>68.942750017433596</v>
      </c>
      <c r="AE527" s="210">
        <f t="shared" si="245"/>
        <v>73.325240196111423</v>
      </c>
      <c r="AF527" s="210">
        <f t="shared" si="245"/>
        <v>74.20174899873345</v>
      </c>
      <c r="AG527" s="210">
        <f t="shared" si="245"/>
        <v>78.797164948940988</v>
      </c>
      <c r="AH527" s="210">
        <f t="shared" si="245"/>
        <v>79.672144913170911</v>
      </c>
      <c r="AI527" s="210">
        <f t="shared" si="245"/>
        <v>84.512341068024028</v>
      </c>
      <c r="AJ527" s="210">
        <f t="shared" si="245"/>
        <v>85.38870072204287</v>
      </c>
      <c r="AK527" s="210">
        <f t="shared" si="245"/>
        <v>87.706377573731729</v>
      </c>
      <c r="AL527" s="210">
        <f t="shared" si="245"/>
        <v>88.595857352156273</v>
      </c>
      <c r="AM527" s="210">
        <f t="shared" si="245"/>
        <v>91.018397713071494</v>
      </c>
      <c r="AN527" s="210">
        <f t="shared" si="245"/>
        <v>91.922380913942433</v>
      </c>
    </row>
    <row r="528" spans="1:40">
      <c r="B528" s="151" t="s">
        <v>209</v>
      </c>
      <c r="C528" s="36" t="s">
        <v>72</v>
      </c>
      <c r="D528" s="2"/>
      <c r="E528" s="2"/>
      <c r="F528" s="2"/>
      <c r="G528" s="7">
        <f t="shared" ref="G528:AN528" si="246">G437</f>
        <v>-19.405000000000001</v>
      </c>
      <c r="H528" s="7">
        <f t="shared" si="246"/>
        <v>-18.381999999999998</v>
      </c>
      <c r="I528" s="7">
        <f t="shared" si="246"/>
        <v>-21.484999999999999</v>
      </c>
      <c r="J528" s="7">
        <f t="shared" si="246"/>
        <v>-19.959000000000003</v>
      </c>
      <c r="K528" s="7">
        <f t="shared" si="246"/>
        <v>-21.811</v>
      </c>
      <c r="L528" s="7">
        <f t="shared" si="246"/>
        <v>-16.925000000000001</v>
      </c>
      <c r="M528" s="7">
        <f t="shared" si="246"/>
        <v>-18.224</v>
      </c>
      <c r="N528" s="7">
        <f t="shared" si="246"/>
        <v>-13.68</v>
      </c>
      <c r="O528" s="7">
        <f t="shared" si="246"/>
        <v>-21.22</v>
      </c>
      <c r="P528" s="7">
        <f t="shared" si="246"/>
        <v>-22.039000000000001</v>
      </c>
      <c r="Q528" s="7">
        <f t="shared" si="246"/>
        <v>-23.298999999999999</v>
      </c>
      <c r="R528" s="7">
        <f t="shared" si="246"/>
        <v>-30.962999999999997</v>
      </c>
      <c r="S528" s="7">
        <f t="shared" si="246"/>
        <v>-29.634999999999998</v>
      </c>
      <c r="T528" s="7">
        <f t="shared" si="246"/>
        <v>-30.774000000000001</v>
      </c>
      <c r="U528" s="7">
        <f t="shared" si="246"/>
        <v>-21.712</v>
      </c>
      <c r="V528" s="7">
        <f t="shared" si="246"/>
        <v>-33.750999999999998</v>
      </c>
      <c r="W528" s="7">
        <f t="shared" si="246"/>
        <v>-16.720342136986304</v>
      </c>
      <c r="X528" s="7">
        <f t="shared" si="246"/>
        <v>-12.38452580821918</v>
      </c>
      <c r="Y528" s="7">
        <f t="shared" si="246"/>
        <v>-12.589794191780825</v>
      </c>
      <c r="Z528" s="7">
        <f t="shared" si="246"/>
        <v>-12.452948602739728</v>
      </c>
      <c r="AA528" s="7">
        <f t="shared" si="246"/>
        <v>-12.589794191780825</v>
      </c>
      <c r="AB528" s="7">
        <f t="shared" si="246"/>
        <v>-12.38452580821918</v>
      </c>
      <c r="AC528" s="7">
        <f t="shared" si="246"/>
        <v>-12.589794191780825</v>
      </c>
      <c r="AD528" s="7">
        <f t="shared" si="246"/>
        <v>-12.38452580821918</v>
      </c>
      <c r="AE528" s="7">
        <f t="shared" si="246"/>
        <v>-12.589794191780825</v>
      </c>
      <c r="AF528" s="7">
        <f t="shared" si="246"/>
        <v>-12.38452580821918</v>
      </c>
      <c r="AG528" s="7">
        <f t="shared" si="246"/>
        <v>-12.589794191780825</v>
      </c>
      <c r="AH528" s="7">
        <f t="shared" si="246"/>
        <v>-12.452948602739728</v>
      </c>
      <c r="AI528" s="7">
        <f t="shared" si="246"/>
        <v>-12.589794191780825</v>
      </c>
      <c r="AJ528" s="7">
        <f t="shared" si="246"/>
        <v>-12.38452580821918</v>
      </c>
      <c r="AK528" s="7">
        <f t="shared" si="246"/>
        <v>-12.589794191780825</v>
      </c>
      <c r="AL528" s="7">
        <f t="shared" si="246"/>
        <v>-12.38452580821918</v>
      </c>
      <c r="AM528" s="7">
        <f t="shared" si="246"/>
        <v>-12.589794191780825</v>
      </c>
      <c r="AN528" s="7">
        <f t="shared" si="246"/>
        <v>-12.38452580821918</v>
      </c>
    </row>
    <row r="529" spans="1:40">
      <c r="B529" s="151" t="s">
        <v>214</v>
      </c>
      <c r="C529" s="36" t="s">
        <v>72</v>
      </c>
      <c r="D529" s="2"/>
      <c r="E529" s="2"/>
      <c r="F529" s="2"/>
      <c r="G529" s="7">
        <f t="shared" ref="G529:AN529" si="247">G438</f>
        <v>0.245</v>
      </c>
      <c r="H529" s="7">
        <f t="shared" si="247"/>
        <v>0.47799999999999998</v>
      </c>
      <c r="I529" s="7">
        <f t="shared" si="247"/>
        <v>0.63700000000000001</v>
      </c>
      <c r="J529" s="7">
        <f t="shared" si="247"/>
        <v>0.42300000000000004</v>
      </c>
      <c r="K529" s="7">
        <f t="shared" si="247"/>
        <v>0.54300000000000004</v>
      </c>
      <c r="L529" s="7">
        <f t="shared" si="247"/>
        <v>0.54300000000000004</v>
      </c>
      <c r="M529" s="7">
        <f t="shared" si="247"/>
        <v>0.95050000000000001</v>
      </c>
      <c r="N529" s="7">
        <f t="shared" si="247"/>
        <v>0.95050000000000001</v>
      </c>
      <c r="O529" s="7">
        <f t="shared" si="247"/>
        <v>3.0825</v>
      </c>
      <c r="P529" s="7">
        <f t="shared" si="247"/>
        <v>3.0825</v>
      </c>
      <c r="Q529" s="7">
        <f t="shared" si="247"/>
        <v>3.1255000000000002</v>
      </c>
      <c r="R529" s="7">
        <f t="shared" si="247"/>
        <v>3.1255000000000002</v>
      </c>
      <c r="S529" s="7">
        <f t="shared" si="247"/>
        <v>0.44750000000000001</v>
      </c>
      <c r="T529" s="7">
        <f t="shared" si="247"/>
        <v>0.44750000000000001</v>
      </c>
      <c r="U529" s="7">
        <f t="shared" si="247"/>
        <v>1</v>
      </c>
      <c r="V529" s="7">
        <f t="shared" si="247"/>
        <v>1.1755</v>
      </c>
      <c r="W529" s="7">
        <f t="shared" si="247"/>
        <v>1.2766323287671235</v>
      </c>
      <c r="X529" s="7">
        <f t="shared" si="247"/>
        <v>1.1041215682871264</v>
      </c>
      <c r="Y529" s="7">
        <f t="shared" si="247"/>
        <v>1.40864596359075</v>
      </c>
      <c r="Z529" s="7">
        <f t="shared" si="247"/>
        <v>1.6989100209291488</v>
      </c>
      <c r="AA529" s="7">
        <f t="shared" si="247"/>
        <v>2.3603913718924217</v>
      </c>
      <c r="AB529" s="7">
        <f t="shared" si="247"/>
        <v>2.9630073761951392</v>
      </c>
      <c r="AC529" s="7">
        <f t="shared" si="247"/>
        <v>3.7590999043766065</v>
      </c>
      <c r="AD529" s="7">
        <f t="shared" si="247"/>
        <v>4.5078263264094307</v>
      </c>
      <c r="AE529" s="7">
        <f t="shared" si="247"/>
        <v>5.368302828918412</v>
      </c>
      <c r="AF529" s="7">
        <f t="shared" si="247"/>
        <v>5.6267100740382645</v>
      </c>
      <c r="AG529" s="7">
        <f t="shared" si="247"/>
        <v>5.9792155640671796</v>
      </c>
      <c r="AH529" s="7">
        <f t="shared" si="247"/>
        <v>6.2441036750037462</v>
      </c>
      <c r="AI529" s="7">
        <f t="shared" si="247"/>
        <v>6.541554688157885</v>
      </c>
      <c r="AJ529" s="7">
        <f t="shared" si="247"/>
        <v>6.7614555586745304</v>
      </c>
      <c r="AK529" s="7">
        <f t="shared" si="247"/>
        <v>7.0952218817611694</v>
      </c>
      <c r="AL529" s="7">
        <f t="shared" si="247"/>
        <v>7.2594507109746411</v>
      </c>
      <c r="AM529" s="7">
        <f t="shared" si="247"/>
        <v>7.5822591580928957</v>
      </c>
      <c r="AN529" s="7">
        <f t="shared" si="247"/>
        <v>7.7257043288109006</v>
      </c>
    </row>
    <row r="530" spans="1:40">
      <c r="B530" s="151" t="s">
        <v>280</v>
      </c>
      <c r="C530" s="36" t="s">
        <v>72</v>
      </c>
      <c r="D530" s="2"/>
      <c r="E530" s="2"/>
      <c r="F530" s="2"/>
      <c r="G530" s="7">
        <f t="shared" ref="G530:AN530" si="248">G439</f>
        <v>13.16</v>
      </c>
      <c r="H530" s="7">
        <f t="shared" si="248"/>
        <v>13.703999999999997</v>
      </c>
      <c r="I530" s="7">
        <f t="shared" si="248"/>
        <v>14.447999999999999</v>
      </c>
      <c r="J530" s="7">
        <f t="shared" si="248"/>
        <v>-2.6640000000000015</v>
      </c>
      <c r="K530" s="7">
        <f t="shared" si="248"/>
        <v>7.2680000000000007</v>
      </c>
      <c r="L530" s="7">
        <f t="shared" si="248"/>
        <v>-2.1179999999999986</v>
      </c>
      <c r="M530" s="7">
        <f t="shared" si="248"/>
        <v>7.3499999999999233E-2</v>
      </c>
      <c r="N530" s="7">
        <f t="shared" si="248"/>
        <v>-5.0705000000000009</v>
      </c>
      <c r="O530" s="7">
        <f t="shared" si="248"/>
        <v>2.2894999999999985</v>
      </c>
      <c r="P530" s="7">
        <f t="shared" si="248"/>
        <v>6.6785000000000014</v>
      </c>
      <c r="Q530" s="7">
        <f t="shared" si="248"/>
        <v>11.458500000000001</v>
      </c>
      <c r="R530" s="7">
        <f t="shared" si="248"/>
        <v>20.552499999999998</v>
      </c>
      <c r="S530" s="7">
        <f t="shared" si="248"/>
        <v>16.887499999999996</v>
      </c>
      <c r="T530" s="7">
        <f t="shared" si="248"/>
        <v>16.226500000000001</v>
      </c>
      <c r="U530" s="7">
        <f t="shared" si="248"/>
        <v>14.411999999999999</v>
      </c>
      <c r="V530" s="7">
        <f t="shared" si="248"/>
        <v>12.275499999999997</v>
      </c>
      <c r="W530" s="7">
        <f t="shared" si="248"/>
        <v>0</v>
      </c>
      <c r="X530" s="7">
        <f t="shared" si="248"/>
        <v>0</v>
      </c>
      <c r="Y530" s="7">
        <f t="shared" si="248"/>
        <v>0</v>
      </c>
      <c r="Z530" s="7">
        <f t="shared" si="248"/>
        <v>0</v>
      </c>
      <c r="AA530" s="7">
        <f t="shared" si="248"/>
        <v>0</v>
      </c>
      <c r="AB530" s="7">
        <f t="shared" si="248"/>
        <v>0</v>
      </c>
      <c r="AC530" s="7">
        <f t="shared" si="248"/>
        <v>0</v>
      </c>
      <c r="AD530" s="7">
        <f t="shared" si="248"/>
        <v>0</v>
      </c>
      <c r="AE530" s="7">
        <f t="shared" si="248"/>
        <v>0</v>
      </c>
      <c r="AF530" s="7">
        <f t="shared" si="248"/>
        <v>0</v>
      </c>
      <c r="AG530" s="7">
        <f t="shared" si="248"/>
        <v>0</v>
      </c>
      <c r="AH530" s="7">
        <f t="shared" si="248"/>
        <v>0</v>
      </c>
      <c r="AI530" s="7">
        <f t="shared" si="248"/>
        <v>0</v>
      </c>
      <c r="AJ530" s="7">
        <f t="shared" si="248"/>
        <v>0</v>
      </c>
      <c r="AK530" s="7">
        <f t="shared" si="248"/>
        <v>0</v>
      </c>
      <c r="AL530" s="7">
        <f t="shared" si="248"/>
        <v>0</v>
      </c>
      <c r="AM530" s="7">
        <f t="shared" si="248"/>
        <v>0</v>
      </c>
      <c r="AN530" s="7">
        <f t="shared" si="248"/>
        <v>0</v>
      </c>
    </row>
    <row r="531" spans="1:40">
      <c r="B531" s="151" t="s">
        <v>110</v>
      </c>
      <c r="C531" s="36" t="s">
        <v>72</v>
      </c>
      <c r="D531" s="2"/>
      <c r="E531" s="2"/>
      <c r="F531" s="2"/>
      <c r="G531" s="212">
        <v>0</v>
      </c>
      <c r="H531" s="212">
        <v>0</v>
      </c>
      <c r="I531" s="212">
        <v>0</v>
      </c>
      <c r="J531" s="212">
        <v>0</v>
      </c>
      <c r="K531" s="212">
        <v>0</v>
      </c>
      <c r="L531" s="212">
        <v>0</v>
      </c>
      <c r="M531" s="212">
        <v>0</v>
      </c>
      <c r="N531" s="212">
        <v>0</v>
      </c>
      <c r="O531" s="212">
        <v>0</v>
      </c>
      <c r="P531" s="212">
        <v>0</v>
      </c>
      <c r="Q531" s="212">
        <v>0</v>
      </c>
      <c r="R531" s="212">
        <v>0</v>
      </c>
      <c r="S531" s="212">
        <v>0</v>
      </c>
      <c r="T531" s="212">
        <v>0</v>
      </c>
      <c r="U531" s="212">
        <v>0</v>
      </c>
      <c r="V531" s="212">
        <v>0</v>
      </c>
      <c r="W531" s="216">
        <v>0</v>
      </c>
      <c r="X531" s="216">
        <v>0</v>
      </c>
      <c r="Y531" s="216">
        <v>0</v>
      </c>
      <c r="Z531" s="216">
        <v>0</v>
      </c>
      <c r="AA531" s="216">
        <v>0</v>
      </c>
      <c r="AB531" s="216">
        <v>0</v>
      </c>
      <c r="AC531" s="216">
        <v>0</v>
      </c>
      <c r="AD531" s="216">
        <v>0</v>
      </c>
      <c r="AE531" s="216">
        <v>0</v>
      </c>
      <c r="AF531" s="216">
        <v>0</v>
      </c>
      <c r="AG531" s="216">
        <v>0</v>
      </c>
      <c r="AH531" s="216">
        <v>0</v>
      </c>
      <c r="AI531" s="216">
        <v>0</v>
      </c>
      <c r="AJ531" s="216">
        <v>0</v>
      </c>
      <c r="AK531" s="216">
        <v>0</v>
      </c>
      <c r="AL531" s="216">
        <v>0</v>
      </c>
      <c r="AM531" s="216">
        <v>0</v>
      </c>
      <c r="AN531" s="216">
        <v>0</v>
      </c>
    </row>
    <row r="532" spans="1:40">
      <c r="B532" s="195" t="s">
        <v>177</v>
      </c>
      <c r="C532" s="107"/>
      <c r="D532" s="5"/>
      <c r="E532" s="5"/>
      <c r="F532" s="5"/>
      <c r="G532" s="184" t="s">
        <v>177</v>
      </c>
      <c r="H532" s="184" t="s">
        <v>177</v>
      </c>
      <c r="I532" s="184" t="s">
        <v>177</v>
      </c>
      <c r="J532" s="184" t="s">
        <v>177</v>
      </c>
      <c r="K532" s="184" t="s">
        <v>177</v>
      </c>
      <c r="L532" s="184" t="s">
        <v>177</v>
      </c>
      <c r="M532" s="184" t="s">
        <v>177</v>
      </c>
      <c r="N532" s="184" t="s">
        <v>177</v>
      </c>
      <c r="O532" s="184" t="s">
        <v>177</v>
      </c>
      <c r="P532" s="184" t="s">
        <v>177</v>
      </c>
      <c r="Q532" s="184" t="s">
        <v>177</v>
      </c>
      <c r="R532" s="184" t="s">
        <v>177</v>
      </c>
      <c r="S532" s="184" t="s">
        <v>177</v>
      </c>
      <c r="T532" s="184" t="s">
        <v>177</v>
      </c>
      <c r="U532" s="184" t="s">
        <v>177</v>
      </c>
      <c r="V532" s="184" t="s">
        <v>177</v>
      </c>
      <c r="W532" s="184" t="s">
        <v>177</v>
      </c>
      <c r="X532" s="184" t="s">
        <v>177</v>
      </c>
      <c r="Y532" s="184" t="s">
        <v>177</v>
      </c>
      <c r="Z532" s="184" t="s">
        <v>177</v>
      </c>
      <c r="AA532" s="184" t="s">
        <v>177</v>
      </c>
      <c r="AB532" s="184" t="s">
        <v>177</v>
      </c>
      <c r="AC532" s="184" t="s">
        <v>177</v>
      </c>
      <c r="AD532" s="184" t="s">
        <v>177</v>
      </c>
      <c r="AE532" s="184" t="s">
        <v>177</v>
      </c>
      <c r="AF532" s="184" t="s">
        <v>177</v>
      </c>
      <c r="AG532" s="184" t="s">
        <v>177</v>
      </c>
      <c r="AH532" s="184" t="s">
        <v>177</v>
      </c>
      <c r="AI532" s="184" t="s">
        <v>177</v>
      </c>
      <c r="AJ532" s="184" t="s">
        <v>177</v>
      </c>
      <c r="AK532" s="184" t="s">
        <v>177</v>
      </c>
      <c r="AL532" s="184" t="s">
        <v>177</v>
      </c>
      <c r="AM532" s="184" t="s">
        <v>177</v>
      </c>
      <c r="AN532" s="184" t="s">
        <v>177</v>
      </c>
    </row>
    <row r="533" spans="1:40" s="3" customFormat="1">
      <c r="A533" s="1"/>
      <c r="B533" s="145" t="s">
        <v>155</v>
      </c>
      <c r="C533" s="36" t="s">
        <v>72</v>
      </c>
      <c r="D533" s="4"/>
      <c r="E533" s="4"/>
      <c r="F533" s="4"/>
      <c r="G533" s="210">
        <f t="shared" ref="G533:AN533" si="249">SUM(G527:G532)</f>
        <v>125.19999999999999</v>
      </c>
      <c r="H533" s="210">
        <f t="shared" si="249"/>
        <v>106.79999999999998</v>
      </c>
      <c r="I533" s="210">
        <f t="shared" si="249"/>
        <v>105.5</v>
      </c>
      <c r="J533" s="210">
        <f t="shared" si="249"/>
        <v>-20.000000000000028</v>
      </c>
      <c r="K533" s="210">
        <f t="shared" si="249"/>
        <v>62.700000000000017</v>
      </c>
      <c r="L533" s="210">
        <f t="shared" si="249"/>
        <v>65.000000000000071</v>
      </c>
      <c r="M533" s="210">
        <f t="shared" si="249"/>
        <v>-28.800000000000004</v>
      </c>
      <c r="N533" s="210">
        <f t="shared" si="249"/>
        <v>36.999999999999986</v>
      </c>
      <c r="O533" s="210">
        <f t="shared" si="249"/>
        <v>100.488</v>
      </c>
      <c r="P533" s="210">
        <f t="shared" si="249"/>
        <v>82.513999999999996</v>
      </c>
      <c r="Q533" s="210">
        <f t="shared" si="249"/>
        <v>91.338000000000022</v>
      </c>
      <c r="R533" s="210">
        <f t="shared" si="249"/>
        <v>78.441000000000003</v>
      </c>
      <c r="S533" s="210">
        <f t="shared" si="249"/>
        <v>61.870999999999988</v>
      </c>
      <c r="T533" s="210">
        <f t="shared" si="249"/>
        <v>51.215999999999973</v>
      </c>
      <c r="U533" s="210">
        <f t="shared" si="249"/>
        <v>29.320999999999994</v>
      </c>
      <c r="V533" s="210">
        <f t="shared" si="249"/>
        <v>22.221999999999969</v>
      </c>
      <c r="W533" s="210">
        <f t="shared" si="249"/>
        <v>13.457155114296475</v>
      </c>
      <c r="X533" s="210">
        <f t="shared" si="249"/>
        <v>30.043306102756844</v>
      </c>
      <c r="Y533" s="210">
        <f t="shared" si="249"/>
        <v>35.725347659445653</v>
      </c>
      <c r="Z533" s="210">
        <f t="shared" si="249"/>
        <v>42.509525306325628</v>
      </c>
      <c r="AA533" s="210">
        <f t="shared" si="249"/>
        <v>52.309657379208566</v>
      </c>
      <c r="AB533" s="210">
        <f t="shared" si="249"/>
        <v>54.229421972024653</v>
      </c>
      <c r="AC533" s="210">
        <f t="shared" si="249"/>
        <v>58.978188617195066</v>
      </c>
      <c r="AD533" s="210">
        <f t="shared" si="249"/>
        <v>61.066050535623845</v>
      </c>
      <c r="AE533" s="210">
        <f t="shared" si="249"/>
        <v>66.103748833249014</v>
      </c>
      <c r="AF533" s="210">
        <f t="shared" si="249"/>
        <v>67.443933264552527</v>
      </c>
      <c r="AG533" s="210">
        <f t="shared" si="249"/>
        <v>72.186586321227338</v>
      </c>
      <c r="AH533" s="210">
        <f t="shared" si="249"/>
        <v>73.463299985434929</v>
      </c>
      <c r="AI533" s="210">
        <f t="shared" si="249"/>
        <v>78.464101564401091</v>
      </c>
      <c r="AJ533" s="210">
        <f t="shared" si="249"/>
        <v>79.765630472498216</v>
      </c>
      <c r="AK533" s="210">
        <f t="shared" si="249"/>
        <v>82.21180526371208</v>
      </c>
      <c r="AL533" s="210">
        <f t="shared" si="249"/>
        <v>83.47078225491174</v>
      </c>
      <c r="AM533" s="210">
        <f t="shared" si="249"/>
        <v>86.010862679383564</v>
      </c>
      <c r="AN533" s="210">
        <f t="shared" si="249"/>
        <v>87.263559434534159</v>
      </c>
    </row>
    <row r="534" spans="1:40">
      <c r="B534" s="151" t="s">
        <v>281</v>
      </c>
      <c r="C534" s="36" t="s">
        <v>72</v>
      </c>
      <c r="D534" s="2"/>
      <c r="E534" s="2"/>
      <c r="F534" s="2"/>
      <c r="G534" s="7">
        <f t="shared" ref="G534:AN534" si="250">G344</f>
        <v>-35.499999999999986</v>
      </c>
      <c r="H534" s="7">
        <f t="shared" si="250"/>
        <v>-31.899999999999991</v>
      </c>
      <c r="I534" s="7">
        <f t="shared" si="250"/>
        <v>-30.5</v>
      </c>
      <c r="J534" s="7">
        <f t="shared" si="250"/>
        <v>11.300000000000026</v>
      </c>
      <c r="K534" s="7">
        <f t="shared" si="250"/>
        <v>-19.5</v>
      </c>
      <c r="L534" s="7">
        <f t="shared" si="250"/>
        <v>-18.200000000000045</v>
      </c>
      <c r="M534" s="7">
        <f t="shared" si="250"/>
        <v>9.2999999999999936</v>
      </c>
      <c r="N534" s="7">
        <f t="shared" si="250"/>
        <v>-7.8000000000000007</v>
      </c>
      <c r="O534" s="7">
        <f t="shared" si="250"/>
        <v>-27.688000000000002</v>
      </c>
      <c r="P534" s="7">
        <f t="shared" si="250"/>
        <v>-22.614000000000004</v>
      </c>
      <c r="Q534" s="7">
        <f t="shared" si="250"/>
        <v>-26.838000000000008</v>
      </c>
      <c r="R534" s="7">
        <f t="shared" si="250"/>
        <v>-19.741</v>
      </c>
      <c r="S534" s="7">
        <f t="shared" si="250"/>
        <v>-17.670999999999992</v>
      </c>
      <c r="T534" s="7">
        <f t="shared" si="250"/>
        <v>-23.915999999999983</v>
      </c>
      <c r="U534" s="7">
        <f t="shared" si="250"/>
        <v>-14.920999999999994</v>
      </c>
      <c r="V534" s="7">
        <f t="shared" si="250"/>
        <v>1.3780000000000037</v>
      </c>
      <c r="W534" s="7">
        <f t="shared" si="250"/>
        <v>-4.037146534288941</v>
      </c>
      <c r="X534" s="7">
        <f t="shared" si="250"/>
        <v>-9.0129918308270565</v>
      </c>
      <c r="Y534" s="7">
        <f t="shared" si="250"/>
        <v>-10.717604297833695</v>
      </c>
      <c r="Z534" s="7">
        <f t="shared" si="250"/>
        <v>-12.752857591897689</v>
      </c>
      <c r="AA534" s="7">
        <f t="shared" si="250"/>
        <v>-15.692897213762558</v>
      </c>
      <c r="AB534" s="7">
        <f t="shared" si="250"/>
        <v>-16.26882659160739</v>
      </c>
      <c r="AC534" s="7">
        <f t="shared" si="250"/>
        <v>-17.693456585158515</v>
      </c>
      <c r="AD534" s="7">
        <f t="shared" si="250"/>
        <v>-18.319815160687156</v>
      </c>
      <c r="AE534" s="7">
        <f t="shared" si="250"/>
        <v>-19.831124649974708</v>
      </c>
      <c r="AF534" s="7">
        <f t="shared" si="250"/>
        <v>-20.233179979365765</v>
      </c>
      <c r="AG534" s="7">
        <f t="shared" si="250"/>
        <v>-21.655975896368197</v>
      </c>
      <c r="AH534" s="7">
        <f t="shared" si="250"/>
        <v>-22.03898999563047</v>
      </c>
      <c r="AI534" s="7">
        <f t="shared" si="250"/>
        <v>-23.53923046932033</v>
      </c>
      <c r="AJ534" s="7">
        <f t="shared" si="250"/>
        <v>-23.929689141749463</v>
      </c>
      <c r="AK534" s="7">
        <f t="shared" si="250"/>
        <v>-24.663541579113623</v>
      </c>
      <c r="AL534" s="7">
        <f t="shared" si="250"/>
        <v>-25.041234676473525</v>
      </c>
      <c r="AM534" s="7">
        <f t="shared" si="250"/>
        <v>-25.803258803815069</v>
      </c>
      <c r="AN534" s="7">
        <f t="shared" si="250"/>
        <v>-26.179067830360243</v>
      </c>
    </row>
    <row r="535" spans="1:40">
      <c r="B535" s="151" t="s">
        <v>282</v>
      </c>
      <c r="C535" s="36" t="s">
        <v>72</v>
      </c>
      <c r="D535" s="2"/>
      <c r="E535" s="6"/>
      <c r="F535" s="6"/>
      <c r="G535" s="216">
        <v>0</v>
      </c>
      <c r="H535" s="216">
        <v>0</v>
      </c>
      <c r="I535" s="216">
        <v>0</v>
      </c>
      <c r="J535" s="216">
        <v>0</v>
      </c>
      <c r="K535" s="216">
        <v>0</v>
      </c>
      <c r="L535" s="216">
        <v>0</v>
      </c>
      <c r="M535" s="216">
        <v>0</v>
      </c>
      <c r="N535" s="216">
        <v>0</v>
      </c>
      <c r="O535" s="216">
        <v>0</v>
      </c>
      <c r="P535" s="216">
        <v>0</v>
      </c>
      <c r="Q535" s="216">
        <v>0</v>
      </c>
      <c r="R535" s="216">
        <v>0</v>
      </c>
      <c r="S535" s="216">
        <v>0</v>
      </c>
      <c r="T535" s="216">
        <v>0</v>
      </c>
      <c r="U535" s="216">
        <v>0</v>
      </c>
      <c r="V535" s="216">
        <v>0</v>
      </c>
      <c r="W535" s="216">
        <v>0</v>
      </c>
      <c r="X535" s="216">
        <v>0</v>
      </c>
      <c r="Y535" s="216">
        <v>0</v>
      </c>
      <c r="Z535" s="216">
        <v>0</v>
      </c>
      <c r="AA535" s="216">
        <v>0</v>
      </c>
      <c r="AB535" s="216">
        <v>0</v>
      </c>
      <c r="AC535" s="216">
        <v>0</v>
      </c>
      <c r="AD535" s="216">
        <v>0</v>
      </c>
      <c r="AE535" s="216">
        <v>0</v>
      </c>
      <c r="AF535" s="216">
        <v>0</v>
      </c>
      <c r="AG535" s="216">
        <v>0</v>
      </c>
      <c r="AH535" s="216">
        <v>0</v>
      </c>
      <c r="AI535" s="216">
        <v>0</v>
      </c>
      <c r="AJ535" s="216">
        <v>0</v>
      </c>
      <c r="AK535" s="216">
        <v>0</v>
      </c>
      <c r="AL535" s="216">
        <v>0</v>
      </c>
      <c r="AM535" s="216">
        <v>0</v>
      </c>
      <c r="AN535" s="216">
        <v>0</v>
      </c>
    </row>
    <row r="536" spans="1:40">
      <c r="B536" s="195" t="s">
        <v>177</v>
      </c>
      <c r="C536" s="107"/>
      <c r="D536" s="5"/>
      <c r="E536" s="5"/>
      <c r="F536" s="5"/>
      <c r="G536" s="184" t="s">
        <v>177</v>
      </c>
      <c r="H536" s="184" t="s">
        <v>177</v>
      </c>
      <c r="I536" s="184" t="s">
        <v>177</v>
      </c>
      <c r="J536" s="184" t="s">
        <v>177</v>
      </c>
      <c r="K536" s="184" t="s">
        <v>177</v>
      </c>
      <c r="L536" s="184" t="s">
        <v>177</v>
      </c>
      <c r="M536" s="184" t="s">
        <v>177</v>
      </c>
      <c r="N536" s="184" t="s">
        <v>177</v>
      </c>
      <c r="O536" s="184" t="s">
        <v>177</v>
      </c>
      <c r="P536" s="184" t="s">
        <v>177</v>
      </c>
      <c r="Q536" s="184" t="s">
        <v>177</v>
      </c>
      <c r="R536" s="184" t="s">
        <v>177</v>
      </c>
      <c r="S536" s="184" t="s">
        <v>177</v>
      </c>
      <c r="T536" s="184" t="s">
        <v>177</v>
      </c>
      <c r="U536" s="184" t="s">
        <v>177</v>
      </c>
      <c r="V536" s="184" t="s">
        <v>177</v>
      </c>
      <c r="W536" s="184" t="s">
        <v>177</v>
      </c>
      <c r="X536" s="184" t="s">
        <v>177</v>
      </c>
      <c r="Y536" s="184" t="s">
        <v>177</v>
      </c>
      <c r="Z536" s="184" t="s">
        <v>177</v>
      </c>
      <c r="AA536" s="184" t="s">
        <v>177</v>
      </c>
      <c r="AB536" s="184" t="s">
        <v>177</v>
      </c>
      <c r="AC536" s="184" t="s">
        <v>177</v>
      </c>
      <c r="AD536" s="184" t="s">
        <v>177</v>
      </c>
      <c r="AE536" s="184" t="s">
        <v>177</v>
      </c>
      <c r="AF536" s="184" t="s">
        <v>177</v>
      </c>
      <c r="AG536" s="184" t="s">
        <v>177</v>
      </c>
      <c r="AH536" s="184" t="s">
        <v>177</v>
      </c>
      <c r="AI536" s="184" t="s">
        <v>177</v>
      </c>
      <c r="AJ536" s="184" t="s">
        <v>177</v>
      </c>
      <c r="AK536" s="184" t="s">
        <v>177</v>
      </c>
      <c r="AL536" s="184" t="s">
        <v>177</v>
      </c>
      <c r="AM536" s="184" t="s">
        <v>177</v>
      </c>
      <c r="AN536" s="184" t="s">
        <v>177</v>
      </c>
    </row>
    <row r="537" spans="1:40" s="3" customFormat="1">
      <c r="A537" s="1"/>
      <c r="B537" s="145" t="s">
        <v>283</v>
      </c>
      <c r="C537" s="36" t="s">
        <v>72</v>
      </c>
      <c r="D537" s="4"/>
      <c r="E537" s="4"/>
      <c r="F537" s="4"/>
      <c r="G537" s="210">
        <f t="shared" ref="G537:AN537" si="251">SUM(G533:G536)</f>
        <v>89.7</v>
      </c>
      <c r="H537" s="210">
        <f t="shared" si="251"/>
        <v>74.899999999999991</v>
      </c>
      <c r="I537" s="210">
        <f t="shared" si="251"/>
        <v>75</v>
      </c>
      <c r="J537" s="210">
        <f t="shared" si="251"/>
        <v>-8.7000000000000028</v>
      </c>
      <c r="K537" s="210">
        <f t="shared" si="251"/>
        <v>43.200000000000017</v>
      </c>
      <c r="L537" s="210">
        <f t="shared" si="251"/>
        <v>46.800000000000026</v>
      </c>
      <c r="M537" s="210">
        <f t="shared" si="251"/>
        <v>-19.500000000000011</v>
      </c>
      <c r="N537" s="210">
        <f t="shared" si="251"/>
        <v>29.199999999999985</v>
      </c>
      <c r="O537" s="210">
        <f t="shared" si="251"/>
        <v>72.8</v>
      </c>
      <c r="P537" s="210">
        <f t="shared" si="251"/>
        <v>59.899999999999991</v>
      </c>
      <c r="Q537" s="210">
        <f t="shared" si="251"/>
        <v>64.500000000000014</v>
      </c>
      <c r="R537" s="210">
        <f t="shared" si="251"/>
        <v>58.7</v>
      </c>
      <c r="S537" s="210">
        <f t="shared" si="251"/>
        <v>44.199999999999996</v>
      </c>
      <c r="T537" s="210">
        <f t="shared" si="251"/>
        <v>27.29999999999999</v>
      </c>
      <c r="U537" s="210">
        <f t="shared" si="251"/>
        <v>14.4</v>
      </c>
      <c r="V537" s="210">
        <f t="shared" si="251"/>
        <v>23.599999999999973</v>
      </c>
      <c r="W537" s="210">
        <f t="shared" si="251"/>
        <v>9.4200085800075328</v>
      </c>
      <c r="X537" s="210">
        <f t="shared" si="251"/>
        <v>21.03031427192979</v>
      </c>
      <c r="Y537" s="210">
        <f t="shared" si="251"/>
        <v>25.007743361611958</v>
      </c>
      <c r="Z537" s="210">
        <f t="shared" si="251"/>
        <v>29.756667714427941</v>
      </c>
      <c r="AA537" s="210">
        <f t="shared" si="251"/>
        <v>36.61676016544601</v>
      </c>
      <c r="AB537" s="210">
        <f t="shared" si="251"/>
        <v>37.96059538041726</v>
      </c>
      <c r="AC537" s="210">
        <f t="shared" si="251"/>
        <v>41.284732032036551</v>
      </c>
      <c r="AD537" s="210">
        <f t="shared" si="251"/>
        <v>42.746235374936688</v>
      </c>
      <c r="AE537" s="210">
        <f t="shared" si="251"/>
        <v>46.272624183274303</v>
      </c>
      <c r="AF537" s="210">
        <f t="shared" si="251"/>
        <v>47.210753285186762</v>
      </c>
      <c r="AG537" s="210">
        <f t="shared" si="251"/>
        <v>50.530610424859141</v>
      </c>
      <c r="AH537" s="210">
        <f t="shared" si="251"/>
        <v>51.424309989804456</v>
      </c>
      <c r="AI537" s="210">
        <f t="shared" si="251"/>
        <v>54.924871095080761</v>
      </c>
      <c r="AJ537" s="210">
        <f t="shared" si="251"/>
        <v>55.835941330748753</v>
      </c>
      <c r="AK537" s="210">
        <f t="shared" si="251"/>
        <v>57.548263684598453</v>
      </c>
      <c r="AL537" s="210">
        <f t="shared" si="251"/>
        <v>58.429547578438218</v>
      </c>
      <c r="AM537" s="210">
        <f t="shared" si="251"/>
        <v>60.207603875568495</v>
      </c>
      <c r="AN537" s="210">
        <f t="shared" si="251"/>
        <v>61.08449160417392</v>
      </c>
    </row>
    <row r="538" spans="1:40">
      <c r="D538" s="2"/>
      <c r="E538" s="2"/>
      <c r="F538" s="2"/>
      <c r="G538" s="200">
        <f t="shared" ref="G538:V538" si="252">G537-G348</f>
        <v>0</v>
      </c>
      <c r="H538" s="200">
        <f t="shared" si="252"/>
        <v>0</v>
      </c>
      <c r="I538" s="200">
        <f t="shared" si="252"/>
        <v>0</v>
      </c>
      <c r="J538" s="200">
        <f t="shared" si="252"/>
        <v>0</v>
      </c>
      <c r="K538" s="200">
        <f t="shared" si="252"/>
        <v>0</v>
      </c>
      <c r="L538" s="200">
        <f t="shared" si="252"/>
        <v>0</v>
      </c>
      <c r="M538" s="200">
        <f t="shared" si="252"/>
        <v>0</v>
      </c>
      <c r="N538" s="200">
        <f t="shared" si="252"/>
        <v>0</v>
      </c>
      <c r="O538" s="200">
        <f t="shared" si="252"/>
        <v>0</v>
      </c>
      <c r="P538" s="200">
        <f t="shared" si="252"/>
        <v>0</v>
      </c>
      <c r="Q538" s="200">
        <f t="shared" si="252"/>
        <v>0</v>
      </c>
      <c r="R538" s="200">
        <f t="shared" si="252"/>
        <v>0</v>
      </c>
      <c r="S538" s="200">
        <f t="shared" si="252"/>
        <v>0</v>
      </c>
      <c r="T538" s="200">
        <f t="shared" si="252"/>
        <v>0</v>
      </c>
      <c r="U538" s="200">
        <f t="shared" si="252"/>
        <v>0</v>
      </c>
      <c r="V538" s="200">
        <f t="shared" si="252"/>
        <v>-2.8421709430404007E-14</v>
      </c>
      <c r="W538" s="2"/>
      <c r="X538" s="2"/>
      <c r="Y538" s="2"/>
      <c r="Z538" s="2"/>
      <c r="AA538" s="2"/>
      <c r="AB538" s="2"/>
      <c r="AC538" s="2"/>
      <c r="AD538" s="2"/>
      <c r="AE538" s="2"/>
      <c r="AF538" s="2"/>
      <c r="AG538" s="2"/>
      <c r="AH538" s="2"/>
      <c r="AI538" s="2"/>
      <c r="AJ538" s="2"/>
      <c r="AK538" s="2"/>
      <c r="AL538" s="2"/>
      <c r="AM538" s="2"/>
      <c r="AN538" s="2"/>
    </row>
    <row r="539" spans="1:40">
      <c r="B539" s="53" t="s">
        <v>284</v>
      </c>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spans="1:40">
      <c r="B540" s="129" t="s">
        <v>285</v>
      </c>
      <c r="C540" s="104"/>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spans="1:40">
      <c r="B541" s="174" t="s">
        <v>26</v>
      </c>
      <c r="C541" s="36" t="s">
        <v>72</v>
      </c>
      <c r="D541" s="2"/>
      <c r="E541" s="2"/>
      <c r="F541" s="2"/>
      <c r="G541" s="7">
        <f t="shared" ref="G541:AN541" si="253">G523</f>
        <v>171.7</v>
      </c>
      <c r="H541" s="7">
        <f t="shared" si="253"/>
        <v>150.5</v>
      </c>
      <c r="I541" s="7">
        <f t="shared" si="253"/>
        <v>153.30000000000001</v>
      </c>
      <c r="J541" s="7">
        <f t="shared" si="253"/>
        <v>47.399999999999977</v>
      </c>
      <c r="K541" s="7">
        <f t="shared" si="253"/>
        <v>117.80000000000001</v>
      </c>
      <c r="L541" s="7">
        <f t="shared" si="253"/>
        <v>130.80000000000001</v>
      </c>
      <c r="M541" s="7">
        <f t="shared" si="253"/>
        <v>36.199999999999989</v>
      </c>
      <c r="N541" s="7">
        <f t="shared" si="253"/>
        <v>101.69999999999999</v>
      </c>
      <c r="O541" s="7">
        <f t="shared" si="253"/>
        <v>161.80000000000001</v>
      </c>
      <c r="P541" s="7">
        <f t="shared" si="253"/>
        <v>140</v>
      </c>
      <c r="Q541" s="7">
        <f t="shared" si="253"/>
        <v>144.30000000000001</v>
      </c>
      <c r="R541" s="7">
        <f t="shared" si="253"/>
        <v>133.5</v>
      </c>
      <c r="S541" s="7">
        <f t="shared" si="253"/>
        <v>119.5</v>
      </c>
      <c r="T541" s="7">
        <f t="shared" si="253"/>
        <v>114.19999999999999</v>
      </c>
      <c r="U541" s="7">
        <f t="shared" si="253"/>
        <v>85.5</v>
      </c>
      <c r="V541" s="7">
        <f t="shared" si="253"/>
        <v>96.099999999999966</v>
      </c>
      <c r="W541" s="7">
        <f t="shared" si="253"/>
        <v>89.135631999999987</v>
      </c>
      <c r="X541" s="7">
        <f t="shared" si="253"/>
        <v>94.05050319999998</v>
      </c>
      <c r="Y541" s="7">
        <f t="shared" si="253"/>
        <v>99.441708912000024</v>
      </c>
      <c r="Z541" s="7">
        <f t="shared" si="253"/>
        <v>105.39043743199994</v>
      </c>
      <c r="AA541" s="7">
        <f t="shared" si="253"/>
        <v>114.27639149968002</v>
      </c>
      <c r="AB541" s="7">
        <f t="shared" si="253"/>
        <v>115.06810505432009</v>
      </c>
      <c r="AC541" s="7">
        <f t="shared" si="253"/>
        <v>118.90674718967836</v>
      </c>
      <c r="AD541" s="7">
        <f t="shared" si="253"/>
        <v>119.7916890291832</v>
      </c>
      <c r="AE541" s="7">
        <f t="shared" si="253"/>
        <v>123.92341442370684</v>
      </c>
      <c r="AF541" s="7">
        <f t="shared" si="253"/>
        <v>124.62091050655994</v>
      </c>
      <c r="AG541" s="7">
        <f t="shared" si="253"/>
        <v>129.03078641184987</v>
      </c>
      <c r="AH541" s="7">
        <f t="shared" si="253"/>
        <v>129.79343147298448</v>
      </c>
      <c r="AI541" s="7">
        <f t="shared" si="253"/>
        <v>134.51187939026852</v>
      </c>
      <c r="AJ541" s="7">
        <f t="shared" si="253"/>
        <v>135.34148413984411</v>
      </c>
      <c r="AK541" s="7">
        <f t="shared" si="253"/>
        <v>137.60008280294289</v>
      </c>
      <c r="AL541" s="7">
        <f t="shared" si="253"/>
        <v>138.49801062244057</v>
      </c>
      <c r="AM541" s="7">
        <f t="shared" si="253"/>
        <v>140.91403490002511</v>
      </c>
      <c r="AN541" s="7">
        <f t="shared" si="253"/>
        <v>141.88108631558538</v>
      </c>
    </row>
    <row r="542" spans="1:40">
      <c r="B542" s="174" t="s">
        <v>286</v>
      </c>
      <c r="C542" s="36" t="s">
        <v>72</v>
      </c>
      <c r="D542" s="2"/>
      <c r="E542" s="214"/>
      <c r="F542" s="214"/>
      <c r="G542" s="212">
        <v>-32.707000000000001</v>
      </c>
      <c r="H542" s="212">
        <f>-50.626-G542</f>
        <v>-17.918999999999997</v>
      </c>
      <c r="I542" s="212">
        <v>-37.945999999999998</v>
      </c>
      <c r="J542" s="212">
        <f>-41.057-I542</f>
        <v>-3.1110000000000042</v>
      </c>
      <c r="K542" s="212">
        <v>-14.548</v>
      </c>
      <c r="L542" s="212">
        <f>-15.569-K542</f>
        <v>-1.0210000000000008</v>
      </c>
      <c r="M542" s="212">
        <v>-32.712000000000003</v>
      </c>
      <c r="N542" s="212">
        <f>-25.679-M542</f>
        <v>7.0330000000000048</v>
      </c>
      <c r="O542" s="212">
        <v>-0.94</v>
      </c>
      <c r="P542" s="212">
        <f>-7.034-O542</f>
        <v>-6.0939999999999994</v>
      </c>
      <c r="Q542" s="212">
        <v>-49.957999999999998</v>
      </c>
      <c r="R542" s="212">
        <f>-54.672-Q542</f>
        <v>-4.7139999999999986</v>
      </c>
      <c r="S542" s="212">
        <v>-53.536000000000001</v>
      </c>
      <c r="T542" s="212">
        <f>-60.167-S542</f>
        <v>-6.6310000000000002</v>
      </c>
      <c r="U542" s="212">
        <v>-25.867999999999999</v>
      </c>
      <c r="V542" s="212">
        <f>-38.945-U542</f>
        <v>-13.077000000000002</v>
      </c>
      <c r="W542" s="7">
        <f t="shared" ref="W542:AN542" si="254">W534</f>
        <v>-4.037146534288941</v>
      </c>
      <c r="X542" s="7">
        <f t="shared" si="254"/>
        <v>-9.0129918308270565</v>
      </c>
      <c r="Y542" s="7">
        <f t="shared" si="254"/>
        <v>-10.717604297833695</v>
      </c>
      <c r="Z542" s="7">
        <f t="shared" si="254"/>
        <v>-12.752857591897689</v>
      </c>
      <c r="AA542" s="7">
        <f t="shared" si="254"/>
        <v>-15.692897213762558</v>
      </c>
      <c r="AB542" s="7">
        <f t="shared" si="254"/>
        <v>-16.26882659160739</v>
      </c>
      <c r="AC542" s="7">
        <f t="shared" si="254"/>
        <v>-17.693456585158515</v>
      </c>
      <c r="AD542" s="7">
        <f t="shared" si="254"/>
        <v>-18.319815160687156</v>
      </c>
      <c r="AE542" s="7">
        <f t="shared" si="254"/>
        <v>-19.831124649974708</v>
      </c>
      <c r="AF542" s="7">
        <f t="shared" si="254"/>
        <v>-20.233179979365765</v>
      </c>
      <c r="AG542" s="7">
        <f t="shared" si="254"/>
        <v>-21.655975896368197</v>
      </c>
      <c r="AH542" s="7">
        <f t="shared" si="254"/>
        <v>-22.03898999563047</v>
      </c>
      <c r="AI542" s="7">
        <f t="shared" si="254"/>
        <v>-23.53923046932033</v>
      </c>
      <c r="AJ542" s="7">
        <f t="shared" si="254"/>
        <v>-23.929689141749463</v>
      </c>
      <c r="AK542" s="7">
        <f t="shared" si="254"/>
        <v>-24.663541579113623</v>
      </c>
      <c r="AL542" s="7">
        <f t="shared" si="254"/>
        <v>-25.041234676473525</v>
      </c>
      <c r="AM542" s="7">
        <f t="shared" si="254"/>
        <v>-25.803258803815069</v>
      </c>
      <c r="AN542" s="7">
        <f t="shared" si="254"/>
        <v>-26.179067830360243</v>
      </c>
    </row>
    <row r="543" spans="1:40">
      <c r="B543" s="174" t="s">
        <v>110</v>
      </c>
      <c r="C543" s="36" t="s">
        <v>72</v>
      </c>
      <c r="D543" s="25"/>
      <c r="E543" s="214"/>
      <c r="F543" s="214"/>
      <c r="G543" s="218">
        <f t="shared" ref="G543:V543" si="255">G548-SUM(G546,G541,G542)</f>
        <v>10.126000000000005</v>
      </c>
      <c r="H543" s="218">
        <f t="shared" si="255"/>
        <v>-38.237000000000023</v>
      </c>
      <c r="I543" s="218">
        <f t="shared" si="255"/>
        <v>-0.2780000000000058</v>
      </c>
      <c r="J543" s="218">
        <f t="shared" si="255"/>
        <v>-38.740999999999985</v>
      </c>
      <c r="K543" s="218">
        <f t="shared" si="255"/>
        <v>64.529000000000011</v>
      </c>
      <c r="L543" s="218">
        <f t="shared" si="255"/>
        <v>1.7000000000000455</v>
      </c>
      <c r="M543" s="218">
        <f t="shared" si="255"/>
        <v>-10.812499999999996</v>
      </c>
      <c r="N543" s="218">
        <f t="shared" si="255"/>
        <v>-2.6585000000000321</v>
      </c>
      <c r="O543" s="218">
        <f t="shared" si="255"/>
        <v>-9.9994999999999834</v>
      </c>
      <c r="P543" s="218">
        <f t="shared" si="255"/>
        <v>-1.2415000000000305</v>
      </c>
      <c r="Q543" s="218">
        <f t="shared" si="255"/>
        <v>-43.363499999999988</v>
      </c>
      <c r="R543" s="218">
        <f t="shared" si="255"/>
        <v>55.099500000000006</v>
      </c>
      <c r="S543" s="218">
        <f t="shared" si="255"/>
        <v>-103.54499999999999</v>
      </c>
      <c r="T543" s="218">
        <f t="shared" si="255"/>
        <v>-12.812999999999967</v>
      </c>
      <c r="U543" s="218">
        <f t="shared" si="255"/>
        <v>-77.079999999999984</v>
      </c>
      <c r="V543" s="218">
        <f t="shared" si="255"/>
        <v>-35.58799999999998</v>
      </c>
      <c r="W543" s="216">
        <f t="shared" ref="W543:AN543" si="256">W367</f>
        <v>-37</v>
      </c>
      <c r="X543" s="216">
        <f t="shared" si="256"/>
        <v>-10</v>
      </c>
      <c r="Y543" s="216">
        <f t="shared" si="256"/>
        <v>-17</v>
      </c>
      <c r="Z543" s="216">
        <f t="shared" si="256"/>
        <v>0</v>
      </c>
      <c r="AA543" s="216">
        <f t="shared" si="256"/>
        <v>-7</v>
      </c>
      <c r="AB543" s="216">
        <f t="shared" si="256"/>
        <v>0</v>
      </c>
      <c r="AC543" s="216">
        <f t="shared" si="256"/>
        <v>0</v>
      </c>
      <c r="AD543" s="216">
        <f t="shared" si="256"/>
        <v>0</v>
      </c>
      <c r="AE543" s="216">
        <f t="shared" si="256"/>
        <v>0</v>
      </c>
      <c r="AF543" s="216">
        <f t="shared" si="256"/>
        <v>0</v>
      </c>
      <c r="AG543" s="216">
        <f t="shared" si="256"/>
        <v>0</v>
      </c>
      <c r="AH543" s="216">
        <f t="shared" si="256"/>
        <v>0</v>
      </c>
      <c r="AI543" s="216">
        <f t="shared" si="256"/>
        <v>0</v>
      </c>
      <c r="AJ543" s="216">
        <f t="shared" si="256"/>
        <v>0</v>
      </c>
      <c r="AK543" s="216">
        <f t="shared" si="256"/>
        <v>0</v>
      </c>
      <c r="AL543" s="216">
        <f t="shared" si="256"/>
        <v>0</v>
      </c>
      <c r="AM543" s="216">
        <f t="shared" si="256"/>
        <v>0</v>
      </c>
      <c r="AN543" s="216">
        <f t="shared" si="256"/>
        <v>0</v>
      </c>
    </row>
    <row r="544" spans="1:40">
      <c r="B544" s="195" t="s">
        <v>177</v>
      </c>
      <c r="C544" s="107"/>
      <c r="D544" s="27"/>
      <c r="E544" s="5"/>
      <c r="F544" s="5"/>
      <c r="G544" s="184" t="s">
        <v>177</v>
      </c>
      <c r="H544" s="184" t="s">
        <v>177</v>
      </c>
      <c r="I544" s="184" t="s">
        <v>177</v>
      </c>
      <c r="J544" s="184" t="s">
        <v>177</v>
      </c>
      <c r="K544" s="184" t="s">
        <v>177</v>
      </c>
      <c r="L544" s="184" t="s">
        <v>177</v>
      </c>
      <c r="M544" s="184" t="s">
        <v>177</v>
      </c>
      <c r="N544" s="184" t="s">
        <v>177</v>
      </c>
      <c r="O544" s="184" t="s">
        <v>177</v>
      </c>
      <c r="P544" s="184" t="s">
        <v>177</v>
      </c>
      <c r="Q544" s="184" t="s">
        <v>177</v>
      </c>
      <c r="R544" s="184" t="s">
        <v>177</v>
      </c>
      <c r="S544" s="184" t="s">
        <v>177</v>
      </c>
      <c r="T544" s="184" t="s">
        <v>177</v>
      </c>
      <c r="U544" s="184" t="s">
        <v>177</v>
      </c>
      <c r="V544" s="184" t="s">
        <v>177</v>
      </c>
      <c r="W544" s="184" t="s">
        <v>177</v>
      </c>
      <c r="X544" s="184" t="s">
        <v>177</v>
      </c>
      <c r="Y544" s="184" t="s">
        <v>177</v>
      </c>
      <c r="Z544" s="184" t="s">
        <v>177</v>
      </c>
      <c r="AA544" s="184" t="s">
        <v>177</v>
      </c>
      <c r="AB544" s="184" t="s">
        <v>177</v>
      </c>
      <c r="AC544" s="184" t="s">
        <v>177</v>
      </c>
      <c r="AD544" s="184" t="s">
        <v>177</v>
      </c>
      <c r="AE544" s="184" t="s">
        <v>177</v>
      </c>
      <c r="AF544" s="184" t="s">
        <v>177</v>
      </c>
      <c r="AG544" s="184" t="s">
        <v>177</v>
      </c>
      <c r="AH544" s="184" t="s">
        <v>177</v>
      </c>
      <c r="AI544" s="184" t="s">
        <v>177</v>
      </c>
      <c r="AJ544" s="184" t="s">
        <v>177</v>
      </c>
      <c r="AK544" s="184" t="s">
        <v>177</v>
      </c>
      <c r="AL544" s="184" t="s">
        <v>177</v>
      </c>
      <c r="AM544" s="184" t="s">
        <v>177</v>
      </c>
      <c r="AN544" s="184" t="s">
        <v>177</v>
      </c>
    </row>
    <row r="545" spans="1:40">
      <c r="B545" s="151" t="s">
        <v>287</v>
      </c>
      <c r="C545" s="36" t="s">
        <v>72</v>
      </c>
      <c r="D545" s="2"/>
      <c r="E545" s="2"/>
      <c r="F545" s="2"/>
      <c r="G545" s="7">
        <f t="shared" ref="G545:AN545" si="257">SUM(G541:G544)</f>
        <v>149.119</v>
      </c>
      <c r="H545" s="7">
        <f t="shared" si="257"/>
        <v>94.343999999999994</v>
      </c>
      <c r="I545" s="7">
        <f t="shared" si="257"/>
        <v>115.07600000000001</v>
      </c>
      <c r="J545" s="7">
        <f t="shared" si="257"/>
        <v>5.5479999999999876</v>
      </c>
      <c r="K545" s="7">
        <f t="shared" si="257"/>
        <v>167.78100000000001</v>
      </c>
      <c r="L545" s="7">
        <f t="shared" si="257"/>
        <v>131.47900000000004</v>
      </c>
      <c r="M545" s="7">
        <f t="shared" si="257"/>
        <v>-7.3245000000000111</v>
      </c>
      <c r="N545" s="7">
        <f t="shared" si="257"/>
        <v>106.07449999999996</v>
      </c>
      <c r="O545" s="7">
        <f t="shared" si="257"/>
        <v>150.86050000000003</v>
      </c>
      <c r="P545" s="7">
        <f t="shared" si="257"/>
        <v>132.66449999999998</v>
      </c>
      <c r="Q545" s="7">
        <f t="shared" si="257"/>
        <v>50.978500000000025</v>
      </c>
      <c r="R545" s="7">
        <f t="shared" si="257"/>
        <v>183.88550000000001</v>
      </c>
      <c r="S545" s="7">
        <f t="shared" si="257"/>
        <v>-37.580999999999989</v>
      </c>
      <c r="T545" s="7">
        <f t="shared" si="257"/>
        <v>94.756000000000029</v>
      </c>
      <c r="U545" s="7">
        <f t="shared" si="257"/>
        <v>-17.447999999999979</v>
      </c>
      <c r="V545" s="7">
        <f t="shared" si="257"/>
        <v>47.434999999999988</v>
      </c>
      <c r="W545" s="7">
        <f t="shared" si="257"/>
        <v>48.09848546571105</v>
      </c>
      <c r="X545" s="7">
        <f t="shared" si="257"/>
        <v>75.037511369172918</v>
      </c>
      <c r="Y545" s="7">
        <f t="shared" si="257"/>
        <v>71.724104614166322</v>
      </c>
      <c r="Z545" s="7">
        <f t="shared" si="257"/>
        <v>92.637579840102248</v>
      </c>
      <c r="AA545" s="7">
        <f t="shared" si="257"/>
        <v>91.583494285917453</v>
      </c>
      <c r="AB545" s="7">
        <f t="shared" si="257"/>
        <v>98.799278462712692</v>
      </c>
      <c r="AC545" s="7">
        <f t="shared" si="257"/>
        <v>101.21329060451984</v>
      </c>
      <c r="AD545" s="7">
        <f t="shared" si="257"/>
        <v>101.47187386849605</v>
      </c>
      <c r="AE545" s="7">
        <f t="shared" si="257"/>
        <v>104.09228977373213</v>
      </c>
      <c r="AF545" s="7">
        <f t="shared" si="257"/>
        <v>104.38773052719418</v>
      </c>
      <c r="AG545" s="7">
        <f t="shared" si="257"/>
        <v>107.37481051548167</v>
      </c>
      <c r="AH545" s="7">
        <f t="shared" si="257"/>
        <v>107.75444147735401</v>
      </c>
      <c r="AI545" s="7">
        <f t="shared" si="257"/>
        <v>110.97264892094819</v>
      </c>
      <c r="AJ545" s="7">
        <f t="shared" si="257"/>
        <v>111.41179499809465</v>
      </c>
      <c r="AK545" s="7">
        <f t="shared" si="257"/>
        <v>112.93654122382927</v>
      </c>
      <c r="AL545" s="7">
        <f t="shared" si="257"/>
        <v>113.45677594596705</v>
      </c>
      <c r="AM545" s="7">
        <f t="shared" si="257"/>
        <v>115.11077609621005</v>
      </c>
      <c r="AN545" s="7">
        <f t="shared" si="257"/>
        <v>115.70201848522514</v>
      </c>
    </row>
    <row r="546" spans="1:40">
      <c r="B546" s="151" t="s">
        <v>288</v>
      </c>
      <c r="C546" s="36" t="s">
        <v>72</v>
      </c>
      <c r="D546" s="2"/>
      <c r="E546" s="2"/>
      <c r="F546" s="2"/>
      <c r="G546" s="7">
        <f t="shared" ref="G546:R546" si="258">G466</f>
        <v>-29.111999999999995</v>
      </c>
      <c r="H546" s="7">
        <f t="shared" si="258"/>
        <v>38.696000000000026</v>
      </c>
      <c r="I546" s="7">
        <f t="shared" si="258"/>
        <v>-17.954000000000008</v>
      </c>
      <c r="J546" s="7">
        <f t="shared" si="258"/>
        <v>18.556000000000012</v>
      </c>
      <c r="K546" s="7">
        <f t="shared" si="258"/>
        <v>-48.747000000000014</v>
      </c>
      <c r="L546" s="7">
        <f t="shared" si="258"/>
        <v>35.357999999999976</v>
      </c>
      <c r="M546" s="7">
        <f t="shared" si="258"/>
        <v>-23.800999999999988</v>
      </c>
      <c r="N546" s="7">
        <f t="shared" si="258"/>
        <v>18.073000000000036</v>
      </c>
      <c r="O546" s="7">
        <f t="shared" si="258"/>
        <v>12.089999999999975</v>
      </c>
      <c r="P546" s="7">
        <f t="shared" si="258"/>
        <v>-9.3529999999999802</v>
      </c>
      <c r="Q546" s="7">
        <f t="shared" si="258"/>
        <v>39.60899999999998</v>
      </c>
      <c r="R546" s="7">
        <f t="shared" si="258"/>
        <v>-64.647999999999996</v>
      </c>
      <c r="S546" s="7">
        <f>427.513-268.486-S541</f>
        <v>39.526999999999987</v>
      </c>
      <c r="T546" s="7">
        <f>T466</f>
        <v>-51.54000000000002</v>
      </c>
      <c r="U546" s="7">
        <f>427.513-268.486-U541</f>
        <v>73.526999999999987</v>
      </c>
      <c r="V546" s="7">
        <f t="shared" ref="V546:AN546" si="259">V466</f>
        <v>18.16200000000002</v>
      </c>
      <c r="W546" s="7">
        <f t="shared" si="259"/>
        <v>1.2879908111639651</v>
      </c>
      <c r="X546" s="7">
        <f t="shared" si="259"/>
        <v>0.38262884968008848</v>
      </c>
      <c r="Y546" s="7">
        <f t="shared" si="259"/>
        <v>-1.5279264901209046</v>
      </c>
      <c r="Z546" s="7">
        <f t="shared" si="259"/>
        <v>-0.60102950666330912</v>
      </c>
      <c r="AA546" s="7">
        <f t="shared" si="259"/>
        <v>2.3566343224179604</v>
      </c>
      <c r="AB546" s="7">
        <f t="shared" si="259"/>
        <v>0.33665187411205011</v>
      </c>
      <c r="AC546" s="7">
        <f t="shared" si="259"/>
        <v>4.3319043111048501</v>
      </c>
      <c r="AD546" s="7">
        <f t="shared" si="259"/>
        <v>0.32011714796075807</v>
      </c>
      <c r="AE546" s="7">
        <f t="shared" si="259"/>
        <v>4.5980087233789533</v>
      </c>
      <c r="AF546" s="7">
        <f t="shared" si="259"/>
        <v>0.16304219615633997</v>
      </c>
      <c r="AG546" s="7">
        <f t="shared" si="259"/>
        <v>4.8644511201182752</v>
      </c>
      <c r="AH546" s="7">
        <f t="shared" si="259"/>
        <v>-0.59131594038458957</v>
      </c>
      <c r="AI546" s="7">
        <f t="shared" si="259"/>
        <v>5.8633633435310912</v>
      </c>
      <c r="AJ546" s="7">
        <f t="shared" si="259"/>
        <v>7.3383579755045503E-2</v>
      </c>
      <c r="AK546" s="7">
        <f t="shared" si="259"/>
        <v>5.428703507837696</v>
      </c>
      <c r="AL546" s="7">
        <f t="shared" si="259"/>
        <v>2.0094128780186793E-2</v>
      </c>
      <c r="AM546" s="7">
        <f t="shared" si="259"/>
        <v>5.7611910501546788</v>
      </c>
      <c r="AN546" s="7">
        <f t="shared" si="259"/>
        <v>-3.9237194026640054E-2</v>
      </c>
    </row>
    <row r="547" spans="1:40">
      <c r="B547" s="195" t="s">
        <v>177</v>
      </c>
      <c r="C547" s="107"/>
      <c r="D547" s="27"/>
      <c r="E547" s="217"/>
      <c r="F547" s="217"/>
      <c r="G547" s="184" t="s">
        <v>177</v>
      </c>
      <c r="H547" s="184" t="s">
        <v>177</v>
      </c>
      <c r="I547" s="184" t="s">
        <v>177</v>
      </c>
      <c r="J547" s="184" t="s">
        <v>177</v>
      </c>
      <c r="K547" s="184" t="s">
        <v>177</v>
      </c>
      <c r="L547" s="184" t="s">
        <v>177</v>
      </c>
      <c r="M547" s="184" t="s">
        <v>177</v>
      </c>
      <c r="N547" s="184" t="s">
        <v>177</v>
      </c>
      <c r="O547" s="184" t="s">
        <v>177</v>
      </c>
      <c r="P547" s="184" t="s">
        <v>177</v>
      </c>
      <c r="Q547" s="184" t="s">
        <v>177</v>
      </c>
      <c r="R547" s="184" t="s">
        <v>177</v>
      </c>
      <c r="S547" s="184" t="s">
        <v>177</v>
      </c>
      <c r="T547" s="184" t="s">
        <v>177</v>
      </c>
      <c r="U547" s="184" t="s">
        <v>177</v>
      </c>
      <c r="V547" s="184" t="s">
        <v>177</v>
      </c>
      <c r="W547" s="184" t="s">
        <v>177</v>
      </c>
      <c r="X547" s="184" t="s">
        <v>177</v>
      </c>
      <c r="Y547" s="184" t="s">
        <v>177</v>
      </c>
      <c r="Z547" s="184" t="s">
        <v>177</v>
      </c>
      <c r="AA547" s="184" t="s">
        <v>177</v>
      </c>
      <c r="AB547" s="184" t="s">
        <v>177</v>
      </c>
      <c r="AC547" s="184" t="s">
        <v>177</v>
      </c>
      <c r="AD547" s="184" t="s">
        <v>177</v>
      </c>
      <c r="AE547" s="184" t="s">
        <v>177</v>
      </c>
      <c r="AF547" s="184" t="s">
        <v>177</v>
      </c>
      <c r="AG547" s="184" t="s">
        <v>177</v>
      </c>
      <c r="AH547" s="184" t="s">
        <v>177</v>
      </c>
      <c r="AI547" s="184" t="s">
        <v>177</v>
      </c>
      <c r="AJ547" s="184" t="s">
        <v>177</v>
      </c>
      <c r="AK547" s="184" t="s">
        <v>177</v>
      </c>
      <c r="AL547" s="184" t="s">
        <v>177</v>
      </c>
      <c r="AM547" s="184" t="s">
        <v>177</v>
      </c>
      <c r="AN547" s="184" t="s">
        <v>177</v>
      </c>
    </row>
    <row r="548" spans="1:40" s="3" customFormat="1">
      <c r="A548" s="1"/>
      <c r="B548" s="145" t="s">
        <v>289</v>
      </c>
      <c r="C548" s="36" t="s">
        <v>72</v>
      </c>
      <c r="D548" s="4"/>
      <c r="E548" s="4"/>
      <c r="F548" s="4"/>
      <c r="G548" s="215">
        <f>119.762+SUM(G558:G558)</f>
        <v>120.00700000000001</v>
      </c>
      <c r="H548" s="215">
        <f>252.324+SUM(G558:H558)-G548</f>
        <v>133.04000000000002</v>
      </c>
      <c r="I548" s="215">
        <f>96.485+SUM(I558:I558)</f>
        <v>97.122</v>
      </c>
      <c r="J548" s="215">
        <f>120.166+SUM(I558:J558)-I548</f>
        <v>24.103999999999999</v>
      </c>
      <c r="K548" s="215">
        <f>118.491+SUM(K558:K558)</f>
        <v>119.03400000000001</v>
      </c>
      <c r="L548" s="215">
        <f>284.785+SUM(K558:L558)-K548</f>
        <v>166.83700000000005</v>
      </c>
      <c r="M548" s="215">
        <f>-32.076+SUM(M558:M558)</f>
        <v>-31.125499999999999</v>
      </c>
      <c r="N548" s="215">
        <f>91.121+SUM(M558:N558)-M548</f>
        <v>124.14749999999999</v>
      </c>
      <c r="O548" s="215">
        <f>159.868+SUM(O558:O558)</f>
        <v>162.95050000000001</v>
      </c>
      <c r="P548" s="215">
        <f>280.097+SUM(O558:P558)-O548</f>
        <v>123.3115</v>
      </c>
      <c r="Q548" s="215">
        <f>87.462+SUM(Q558:Q558)</f>
        <v>90.587500000000006</v>
      </c>
      <c r="R548" s="215">
        <f>203.574+SUM(Q558:R558)-Q548</f>
        <v>119.23750000000001</v>
      </c>
      <c r="S548" s="215">
        <v>1.946</v>
      </c>
      <c r="T548" s="215">
        <f>45.162-S548</f>
        <v>43.216000000000001</v>
      </c>
      <c r="U548" s="215">
        <f>56.079 +SUM(U558:U558)</f>
        <v>56.079000000000001</v>
      </c>
      <c r="V548" s="215">
        <f>121.676-U548</f>
        <v>65.597000000000008</v>
      </c>
      <c r="W548" s="210">
        <f t="shared" ref="W548:AN548" si="260">SUM(W545:W547)</f>
        <v>49.386476276875015</v>
      </c>
      <c r="X548" s="210">
        <f t="shared" si="260"/>
        <v>75.420140218853007</v>
      </c>
      <c r="Y548" s="210">
        <f t="shared" si="260"/>
        <v>70.196178124045417</v>
      </c>
      <c r="Z548" s="210">
        <f t="shared" si="260"/>
        <v>92.036550333438939</v>
      </c>
      <c r="AA548" s="210">
        <f t="shared" si="260"/>
        <v>93.940128608335414</v>
      </c>
      <c r="AB548" s="210">
        <f t="shared" si="260"/>
        <v>99.135930336824742</v>
      </c>
      <c r="AC548" s="210">
        <f t="shared" si="260"/>
        <v>105.54519491562469</v>
      </c>
      <c r="AD548" s="210">
        <f t="shared" si="260"/>
        <v>101.79199101645681</v>
      </c>
      <c r="AE548" s="210">
        <f t="shared" si="260"/>
        <v>108.69029849711109</v>
      </c>
      <c r="AF548" s="210">
        <f t="shared" si="260"/>
        <v>104.55077272335052</v>
      </c>
      <c r="AG548" s="210">
        <f t="shared" si="260"/>
        <v>112.23926163559995</v>
      </c>
      <c r="AH548" s="210">
        <f t="shared" si="260"/>
        <v>107.16312553696942</v>
      </c>
      <c r="AI548" s="210">
        <f t="shared" si="260"/>
        <v>116.83601226447928</v>
      </c>
      <c r="AJ548" s="210">
        <f t="shared" si="260"/>
        <v>111.48517857784969</v>
      </c>
      <c r="AK548" s="210">
        <f t="shared" si="260"/>
        <v>118.36524473166696</v>
      </c>
      <c r="AL548" s="210">
        <f t="shared" si="260"/>
        <v>113.47687007474724</v>
      </c>
      <c r="AM548" s="210">
        <f t="shared" si="260"/>
        <v>120.87196714636472</v>
      </c>
      <c r="AN548" s="210">
        <f t="shared" si="260"/>
        <v>115.6627812911985</v>
      </c>
    </row>
    <row r="549" spans="1:40">
      <c r="B549" s="49"/>
      <c r="D549" s="25"/>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spans="1:40">
      <c r="B550" s="151" t="s">
        <v>55</v>
      </c>
      <c r="C550" s="36" t="s">
        <v>72</v>
      </c>
      <c r="D550" s="2"/>
      <c r="E550" s="2"/>
      <c r="F550" s="2"/>
      <c r="G550" s="7">
        <f t="shared" ref="G550:AN550" si="261">-G378</f>
        <v>-162.262</v>
      </c>
      <c r="H550" s="7">
        <f t="shared" si="261"/>
        <v>-141.38900000000001</v>
      </c>
      <c r="I550" s="7">
        <f t="shared" si="261"/>
        <v>-187.94300000000001</v>
      </c>
      <c r="J550" s="7">
        <f t="shared" si="261"/>
        <v>-138.934</v>
      </c>
      <c r="K550" s="7">
        <f t="shared" si="261"/>
        <v>-111.34</v>
      </c>
      <c r="L550" s="7">
        <f t="shared" si="261"/>
        <v>-60.332999999999998</v>
      </c>
      <c r="M550" s="7">
        <f t="shared" si="261"/>
        <v>-46.231000000000002</v>
      </c>
      <c r="N550" s="7">
        <f t="shared" si="261"/>
        <v>-53.833999999999996</v>
      </c>
      <c r="O550" s="7">
        <f t="shared" si="261"/>
        <v>-81.686000000000007</v>
      </c>
      <c r="P550" s="7">
        <f t="shared" si="261"/>
        <v>-173.06</v>
      </c>
      <c r="Q550" s="7">
        <f t="shared" si="261"/>
        <v>-77.320999999999998</v>
      </c>
      <c r="R550" s="7">
        <f t="shared" si="261"/>
        <v>-226.36800000000002</v>
      </c>
      <c r="S550" s="7">
        <f t="shared" si="261"/>
        <v>-76.119</v>
      </c>
      <c r="T550" s="7">
        <f t="shared" si="261"/>
        <v>-85.47</v>
      </c>
      <c r="U550" s="7">
        <f t="shared" si="261"/>
        <v>-69.551000000000002</v>
      </c>
      <c r="V550" s="7">
        <f t="shared" si="261"/>
        <v>-33.415999999999997</v>
      </c>
      <c r="W550" s="7">
        <f t="shared" si="261"/>
        <v>-39</v>
      </c>
      <c r="X550" s="7">
        <f t="shared" si="261"/>
        <v>-41</v>
      </c>
      <c r="Y550" s="7">
        <f t="shared" si="261"/>
        <v>-34.299883200000004</v>
      </c>
      <c r="Z550" s="7">
        <f t="shared" si="261"/>
        <v>-34.469095199999991</v>
      </c>
      <c r="AA550" s="7">
        <f t="shared" si="261"/>
        <v>-36.103540848000002</v>
      </c>
      <c r="AB550" s="7">
        <f t="shared" si="261"/>
        <v>-35.841410152000002</v>
      </c>
      <c r="AC550" s="7">
        <f t="shared" si="261"/>
        <v>-37.569693302239997</v>
      </c>
      <c r="AD550" s="7">
        <f t="shared" si="261"/>
        <v>-37.296230253520001</v>
      </c>
      <c r="AE550" s="7">
        <f t="shared" si="261"/>
        <v>-39.127496600395197</v>
      </c>
      <c r="AF550" s="7">
        <f t="shared" si="261"/>
        <v>-38.784662147255204</v>
      </c>
      <c r="AG550" s="7">
        <f t="shared" si="261"/>
        <v>-40.717947178805943</v>
      </c>
      <c r="AH550" s="7">
        <f t="shared" si="261"/>
        <v>-40.354245531311754</v>
      </c>
      <c r="AI550" s="7">
        <f t="shared" si="261"/>
        <v>-42.397745034105782</v>
      </c>
      <c r="AJ550" s="7">
        <f t="shared" si="261"/>
        <v>-42.011407023240309</v>
      </c>
      <c r="AK550" s="7">
        <f t="shared" si="261"/>
        <v>-43.899098351001143</v>
      </c>
      <c r="AL550" s="7">
        <f t="shared" si="261"/>
        <v>-43.488142363081742</v>
      </c>
      <c r="AM550" s="7">
        <f t="shared" si="261"/>
        <v>-45.483239746647499</v>
      </c>
      <c r="AN550" s="7">
        <f t="shared" si="261"/>
        <v>-45.045441872047562</v>
      </c>
    </row>
    <row r="551" spans="1:40">
      <c r="B551" s="151" t="s">
        <v>290</v>
      </c>
      <c r="C551" s="36" t="s">
        <v>72</v>
      </c>
      <c r="D551" s="2"/>
      <c r="E551" s="2"/>
      <c r="F551" s="2"/>
      <c r="G551" s="7">
        <f t="shared" ref="G551:AN551" si="262">-G393</f>
        <v>-11.316000000000001</v>
      </c>
      <c r="H551" s="7">
        <f t="shared" si="262"/>
        <v>-17.813000000000002</v>
      </c>
      <c r="I551" s="7">
        <f t="shared" si="262"/>
        <v>-12.624000000000001</v>
      </c>
      <c r="J551" s="7">
        <f t="shared" si="262"/>
        <v>-7.891</v>
      </c>
      <c r="K551" s="7">
        <f t="shared" si="262"/>
        <v>-5.0490000000000004</v>
      </c>
      <c r="L551" s="7">
        <f t="shared" si="262"/>
        <v>2.6500000000000004</v>
      </c>
      <c r="M551" s="7">
        <f t="shared" si="262"/>
        <v>-8.4489999999999998</v>
      </c>
      <c r="N551" s="7">
        <f t="shared" si="262"/>
        <v>-2.9619999999999997</v>
      </c>
      <c r="O551" s="7">
        <f t="shared" si="262"/>
        <v>-2.9660000000000002</v>
      </c>
      <c r="P551" s="7">
        <f t="shared" si="262"/>
        <v>-5.1469999999999994</v>
      </c>
      <c r="Q551" s="7">
        <f t="shared" si="262"/>
        <v>-3.4609999999999999</v>
      </c>
      <c r="R551" s="7">
        <f t="shared" si="262"/>
        <v>-3.5859999999999999</v>
      </c>
      <c r="S551" s="7">
        <f t="shared" si="262"/>
        <v>-2.6419999999999999</v>
      </c>
      <c r="T551" s="7">
        <f t="shared" si="262"/>
        <v>0.38600000000000012</v>
      </c>
      <c r="U551" s="7">
        <f t="shared" si="262"/>
        <v>-6.35</v>
      </c>
      <c r="V551" s="7">
        <f t="shared" si="262"/>
        <v>-4.3100000000000005</v>
      </c>
      <c r="W551" s="7">
        <f t="shared" si="262"/>
        <v>-4.1956499999999997</v>
      </c>
      <c r="X551" s="7">
        <f t="shared" si="262"/>
        <v>-4.2136900000000006</v>
      </c>
      <c r="Y551" s="7">
        <f t="shared" si="262"/>
        <v>-4.2874854000000004</v>
      </c>
      <c r="Z551" s="7">
        <f t="shared" si="262"/>
        <v>-4.3086368999999989</v>
      </c>
      <c r="AA551" s="7">
        <f t="shared" si="262"/>
        <v>-4.5129426060000002</v>
      </c>
      <c r="AB551" s="7">
        <f t="shared" si="262"/>
        <v>-4.4801762690000002</v>
      </c>
      <c r="AC551" s="7">
        <f t="shared" si="262"/>
        <v>-4.6962116627799997</v>
      </c>
      <c r="AD551" s="7">
        <f t="shared" si="262"/>
        <v>-4.6620287816900001</v>
      </c>
      <c r="AE551" s="7">
        <f t="shared" si="262"/>
        <v>-4.8909370750493997</v>
      </c>
      <c r="AF551" s="7">
        <f t="shared" si="262"/>
        <v>-4.8480827684069006</v>
      </c>
      <c r="AG551" s="7">
        <f t="shared" si="262"/>
        <v>-5.0897433973507429</v>
      </c>
      <c r="AH551" s="7">
        <f t="shared" si="262"/>
        <v>-5.0442806914139693</v>
      </c>
      <c r="AI551" s="7">
        <f t="shared" si="262"/>
        <v>-5.2997181292632227</v>
      </c>
      <c r="AJ551" s="7">
        <f t="shared" si="262"/>
        <v>-5.2514258779050387</v>
      </c>
      <c r="AK551" s="7">
        <f t="shared" si="262"/>
        <v>-5.4873872938751429</v>
      </c>
      <c r="AL551" s="7">
        <f t="shared" si="262"/>
        <v>-5.4360177953852178</v>
      </c>
      <c r="AM551" s="7">
        <f t="shared" si="262"/>
        <v>-5.6854049683309373</v>
      </c>
      <c r="AN551" s="7">
        <f t="shared" si="262"/>
        <v>-5.6306802340059452</v>
      </c>
    </row>
    <row r="552" spans="1:40">
      <c r="B552" s="151" t="s">
        <v>291</v>
      </c>
      <c r="C552" s="36" t="s">
        <v>72</v>
      </c>
      <c r="D552" s="25"/>
      <c r="E552" s="2"/>
      <c r="F552" s="2"/>
      <c r="G552" s="212">
        <v>0</v>
      </c>
      <c r="H552" s="212">
        <v>0</v>
      </c>
      <c r="I552" s="212">
        <v>0</v>
      </c>
      <c r="J552" s="212">
        <v>0</v>
      </c>
      <c r="K552" s="212">
        <v>0</v>
      </c>
      <c r="L552" s="212">
        <v>0</v>
      </c>
      <c r="M552" s="212">
        <v>0</v>
      </c>
      <c r="N552" s="212">
        <v>0</v>
      </c>
      <c r="O552" s="212">
        <v>0</v>
      </c>
      <c r="P552" s="212">
        <v>0</v>
      </c>
      <c r="Q552" s="212">
        <v>0</v>
      </c>
      <c r="R552" s="212">
        <v>0</v>
      </c>
      <c r="S552" s="212">
        <v>0</v>
      </c>
      <c r="T552" s="212">
        <v>0</v>
      </c>
      <c r="U552" s="212">
        <v>0</v>
      </c>
      <c r="V552" s="212">
        <v>0</v>
      </c>
      <c r="W552" s="213">
        <v>0</v>
      </c>
      <c r="X552" s="213">
        <v>0</v>
      </c>
      <c r="Y552" s="213">
        <v>0</v>
      </c>
      <c r="Z552" s="213">
        <v>0</v>
      </c>
      <c r="AA552" s="213">
        <v>0</v>
      </c>
      <c r="AB552" s="213">
        <v>0</v>
      </c>
      <c r="AC552" s="213">
        <v>0</v>
      </c>
      <c r="AD552" s="213">
        <v>0</v>
      </c>
      <c r="AE552" s="213">
        <v>0</v>
      </c>
      <c r="AF552" s="213">
        <v>0</v>
      </c>
      <c r="AG552" s="213">
        <v>0</v>
      </c>
      <c r="AH552" s="213">
        <v>0</v>
      </c>
      <c r="AI552" s="213">
        <v>0</v>
      </c>
      <c r="AJ552" s="213">
        <v>0</v>
      </c>
      <c r="AK552" s="213">
        <v>0</v>
      </c>
      <c r="AL552" s="213">
        <v>0</v>
      </c>
      <c r="AM552" s="213">
        <v>0</v>
      </c>
      <c r="AN552" s="213">
        <v>0</v>
      </c>
    </row>
    <row r="553" spans="1:40">
      <c r="B553" s="151" t="s">
        <v>292</v>
      </c>
      <c r="C553" s="36" t="s">
        <v>72</v>
      </c>
      <c r="D553" s="25"/>
      <c r="E553" s="2"/>
      <c r="F553" s="2"/>
      <c r="G553" s="212">
        <v>0</v>
      </c>
      <c r="H553" s="212">
        <f>197.065-12.204+40</f>
        <v>224.86099999999999</v>
      </c>
      <c r="I553" s="212">
        <v>128.98099999999999</v>
      </c>
      <c r="J553" s="212">
        <f>128.946-I553</f>
        <v>-3.4999999999996589E-2</v>
      </c>
      <c r="K553" s="212">
        <v>0</v>
      </c>
      <c r="L553" s="212">
        <v>0</v>
      </c>
      <c r="M553" s="212">
        <v>3.25</v>
      </c>
      <c r="N553" s="212">
        <f>3.25-M553</f>
        <v>0</v>
      </c>
      <c r="O553" s="212">
        <v>7.8120000000000003</v>
      </c>
      <c r="P553" s="212">
        <f>7.812-O553</f>
        <v>0</v>
      </c>
      <c r="Q553" s="212">
        <v>0</v>
      </c>
      <c r="R553" s="212">
        <v>0</v>
      </c>
      <c r="S553" s="212">
        <v>56.755000000000003</v>
      </c>
      <c r="T553" s="212">
        <v>0</v>
      </c>
      <c r="U553" s="212">
        <v>0</v>
      </c>
      <c r="V553" s="212">
        <v>0</v>
      </c>
      <c r="W553" s="687">
        <f>V582+210</f>
        <v>284.05599999999998</v>
      </c>
      <c r="X553" s="216">
        <v>0</v>
      </c>
      <c r="Y553" s="216">
        <v>0</v>
      </c>
      <c r="Z553" s="216">
        <v>0</v>
      </c>
      <c r="AA553" s="216">
        <v>0</v>
      </c>
      <c r="AB553" s="216">
        <v>0</v>
      </c>
      <c r="AC553" s="216">
        <v>0</v>
      </c>
      <c r="AD553" s="216">
        <v>0</v>
      </c>
      <c r="AE553" s="216">
        <v>0</v>
      </c>
      <c r="AF553" s="216">
        <v>0</v>
      </c>
      <c r="AG553" s="216">
        <v>0</v>
      </c>
      <c r="AH553" s="216">
        <v>0</v>
      </c>
      <c r="AI553" s="216">
        <v>0</v>
      </c>
      <c r="AJ553" s="216">
        <v>0</v>
      </c>
      <c r="AK553" s="216">
        <v>0</v>
      </c>
      <c r="AL553" s="216">
        <v>0</v>
      </c>
      <c r="AM553" s="216">
        <v>0</v>
      </c>
      <c r="AN553" s="216">
        <v>0</v>
      </c>
    </row>
    <row r="554" spans="1:40">
      <c r="B554" s="151" t="s">
        <v>110</v>
      </c>
      <c r="C554" s="36" t="s">
        <v>72</v>
      </c>
      <c r="D554" s="25"/>
      <c r="E554" s="6"/>
      <c r="F554" s="6"/>
      <c r="G554" s="212">
        <f>-8.1-9.481</f>
        <v>-17.581</v>
      </c>
      <c r="H554" s="212">
        <f>-8.564-G554</f>
        <v>9.0169999999999995</v>
      </c>
      <c r="I554" s="212">
        <f>-1.587+39.815+20-11.384</f>
        <v>46.843999999999994</v>
      </c>
      <c r="J554" s="212">
        <f>106-26.638+39.815-I554</f>
        <v>72.332999999999998</v>
      </c>
      <c r="K554" s="212">
        <f>0.533-59.045-0.283</f>
        <v>-58.795000000000002</v>
      </c>
      <c r="L554" s="212">
        <f>30.533-108.04-K554</f>
        <v>-18.712000000000003</v>
      </c>
      <c r="M554" s="212">
        <f>131.177-58.584</f>
        <v>72.592999999999989</v>
      </c>
      <c r="N554" s="212">
        <f>231.177-112.494-42.136-M554</f>
        <v>3.9540000000000077</v>
      </c>
      <c r="O554" s="212">
        <f>160-58.758</f>
        <v>101.24199999999999</v>
      </c>
      <c r="P554" s="212">
        <f>299.067-95.456-O554</f>
        <v>102.369</v>
      </c>
      <c r="Q554" s="212">
        <f>-0.797</f>
        <v>-0.79700000000000004</v>
      </c>
      <c r="R554" s="212">
        <f>-7.859-0.817-Q554</f>
        <v>-7.8790000000000004</v>
      </c>
      <c r="S554" s="212">
        <v>0</v>
      </c>
      <c r="T554" s="212">
        <f>-1.287+13.679-S554</f>
        <v>12.391999999999999</v>
      </c>
      <c r="U554" s="212">
        <v>0</v>
      </c>
      <c r="V554" s="212">
        <f>-0.043+0-U554</f>
        <v>-4.2999999999999997E-2</v>
      </c>
      <c r="W554" s="216">
        <v>0</v>
      </c>
      <c r="X554" s="216">
        <v>0</v>
      </c>
      <c r="Y554" s="216">
        <v>0</v>
      </c>
      <c r="Z554" s="216">
        <v>0</v>
      </c>
      <c r="AA554" s="216">
        <v>0</v>
      </c>
      <c r="AB554" s="216">
        <v>0</v>
      </c>
      <c r="AC554" s="216">
        <v>0</v>
      </c>
      <c r="AD554" s="216">
        <v>0</v>
      </c>
      <c r="AE554" s="216">
        <v>0</v>
      </c>
      <c r="AF554" s="216">
        <v>0</v>
      </c>
      <c r="AG554" s="216">
        <v>0</v>
      </c>
      <c r="AH554" s="216">
        <v>0</v>
      </c>
      <c r="AI554" s="216">
        <v>0</v>
      </c>
      <c r="AJ554" s="216">
        <v>0</v>
      </c>
      <c r="AK554" s="216">
        <v>0</v>
      </c>
      <c r="AL554" s="216">
        <v>0</v>
      </c>
      <c r="AM554" s="216">
        <v>0</v>
      </c>
      <c r="AN554" s="216">
        <v>0</v>
      </c>
    </row>
    <row r="555" spans="1:40">
      <c r="B555" s="195" t="s">
        <v>177</v>
      </c>
      <c r="C555" s="107"/>
      <c r="D555" s="27"/>
      <c r="E555" s="5"/>
      <c r="F555" s="5"/>
      <c r="G555" s="184" t="s">
        <v>177</v>
      </c>
      <c r="H555" s="184" t="s">
        <v>177</v>
      </c>
      <c r="I555" s="184" t="s">
        <v>177</v>
      </c>
      <c r="J555" s="184" t="s">
        <v>177</v>
      </c>
      <c r="K555" s="184" t="s">
        <v>177</v>
      </c>
      <c r="L555" s="184" t="s">
        <v>177</v>
      </c>
      <c r="M555" s="184" t="s">
        <v>177</v>
      </c>
      <c r="N555" s="184" t="s">
        <v>177</v>
      </c>
      <c r="O555" s="184" t="s">
        <v>177</v>
      </c>
      <c r="P555" s="184" t="s">
        <v>177</v>
      </c>
      <c r="Q555" s="184" t="s">
        <v>177</v>
      </c>
      <c r="R555" s="184" t="s">
        <v>177</v>
      </c>
      <c r="S555" s="184" t="s">
        <v>177</v>
      </c>
      <c r="T555" s="184" t="s">
        <v>177</v>
      </c>
      <c r="U555" s="184" t="s">
        <v>177</v>
      </c>
      <c r="V555" s="184" t="s">
        <v>177</v>
      </c>
      <c r="W555" s="184" t="s">
        <v>177</v>
      </c>
      <c r="X555" s="184" t="s">
        <v>177</v>
      </c>
      <c r="Y555" s="184" t="s">
        <v>177</v>
      </c>
      <c r="Z555" s="184" t="s">
        <v>177</v>
      </c>
      <c r="AA555" s="184" t="s">
        <v>177</v>
      </c>
      <c r="AB555" s="184" t="s">
        <v>177</v>
      </c>
      <c r="AC555" s="184" t="s">
        <v>177</v>
      </c>
      <c r="AD555" s="184" t="s">
        <v>177</v>
      </c>
      <c r="AE555" s="184" t="s">
        <v>177</v>
      </c>
      <c r="AF555" s="184" t="s">
        <v>177</v>
      </c>
      <c r="AG555" s="184" t="s">
        <v>177</v>
      </c>
      <c r="AH555" s="184" t="s">
        <v>177</v>
      </c>
      <c r="AI555" s="184" t="s">
        <v>177</v>
      </c>
      <c r="AJ555" s="184" t="s">
        <v>177</v>
      </c>
      <c r="AK555" s="184" t="s">
        <v>177</v>
      </c>
      <c r="AL555" s="184" t="s">
        <v>177</v>
      </c>
      <c r="AM555" s="184" t="s">
        <v>177</v>
      </c>
      <c r="AN555" s="184" t="s">
        <v>177</v>
      </c>
    </row>
    <row r="556" spans="1:40" s="3" customFormat="1">
      <c r="A556" s="1"/>
      <c r="B556" s="145" t="s">
        <v>293</v>
      </c>
      <c r="C556" s="36" t="s">
        <v>72</v>
      </c>
      <c r="D556" s="4"/>
      <c r="E556" s="4"/>
      <c r="F556" s="4"/>
      <c r="G556" s="210">
        <f t="shared" ref="G556:AN556" si="263">SUM(G550:G555)</f>
        <v>-191.15899999999999</v>
      </c>
      <c r="H556" s="210">
        <f t="shared" si="263"/>
        <v>74.675999999999988</v>
      </c>
      <c r="I556" s="210">
        <f t="shared" si="263"/>
        <v>-24.742000000000019</v>
      </c>
      <c r="J556" s="210">
        <f t="shared" si="263"/>
        <v>-74.526999999999987</v>
      </c>
      <c r="K556" s="210">
        <f t="shared" si="263"/>
        <v>-175.18400000000003</v>
      </c>
      <c r="L556" s="210">
        <f t="shared" si="263"/>
        <v>-76.39500000000001</v>
      </c>
      <c r="M556" s="210">
        <f t="shared" si="263"/>
        <v>21.16299999999999</v>
      </c>
      <c r="N556" s="210">
        <f t="shared" si="263"/>
        <v>-52.841999999999985</v>
      </c>
      <c r="O556" s="210">
        <f t="shared" si="263"/>
        <v>24.401999999999987</v>
      </c>
      <c r="P556" s="210">
        <f t="shared" si="263"/>
        <v>-75.837999999999994</v>
      </c>
      <c r="Q556" s="210">
        <f t="shared" si="263"/>
        <v>-81.578999999999994</v>
      </c>
      <c r="R556" s="210">
        <f t="shared" si="263"/>
        <v>-237.83300000000003</v>
      </c>
      <c r="S556" s="210">
        <f t="shared" si="263"/>
        <v>-22.005999999999993</v>
      </c>
      <c r="T556" s="210">
        <f t="shared" si="263"/>
        <v>-72.692000000000007</v>
      </c>
      <c r="U556" s="210">
        <f t="shared" si="263"/>
        <v>-75.900999999999996</v>
      </c>
      <c r="V556" s="210">
        <f t="shared" si="263"/>
        <v>-37.768999999999998</v>
      </c>
      <c r="W556" s="210">
        <f t="shared" si="263"/>
        <v>240.86034999999998</v>
      </c>
      <c r="X556" s="210">
        <f t="shared" si="263"/>
        <v>-45.21369</v>
      </c>
      <c r="Y556" s="210">
        <f t="shared" si="263"/>
        <v>-38.587368600000005</v>
      </c>
      <c r="Z556" s="210">
        <f t="shared" si="263"/>
        <v>-38.777732099999987</v>
      </c>
      <c r="AA556" s="210">
        <f t="shared" si="263"/>
        <v>-40.616483454000004</v>
      </c>
      <c r="AB556" s="210">
        <f t="shared" si="263"/>
        <v>-40.321586420999999</v>
      </c>
      <c r="AC556" s="210">
        <f t="shared" si="263"/>
        <v>-42.265904965019999</v>
      </c>
      <c r="AD556" s="210">
        <f t="shared" si="263"/>
        <v>-41.958259035209998</v>
      </c>
      <c r="AE556" s="210">
        <f t="shared" si="263"/>
        <v>-44.018433675444598</v>
      </c>
      <c r="AF556" s="210">
        <f t="shared" si="263"/>
        <v>-43.632744915662101</v>
      </c>
      <c r="AG556" s="210">
        <f t="shared" si="263"/>
        <v>-45.807690576156688</v>
      </c>
      <c r="AH556" s="210">
        <f t="shared" si="263"/>
        <v>-45.398526222725721</v>
      </c>
      <c r="AI556" s="210">
        <f t="shared" si="263"/>
        <v>-47.697463163369008</v>
      </c>
      <c r="AJ556" s="210">
        <f t="shared" si="263"/>
        <v>-47.262832901145345</v>
      </c>
      <c r="AK556" s="210">
        <f t="shared" si="263"/>
        <v>-49.386485644876288</v>
      </c>
      <c r="AL556" s="210">
        <f t="shared" si="263"/>
        <v>-48.924160158466961</v>
      </c>
      <c r="AM556" s="210">
        <f t="shared" si="263"/>
        <v>-51.168644714978434</v>
      </c>
      <c r="AN556" s="210">
        <f t="shared" si="263"/>
        <v>-50.676122106053505</v>
      </c>
    </row>
    <row r="557" spans="1:40">
      <c r="B557" s="49"/>
      <c r="D557" s="25"/>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spans="1:40">
      <c r="B558" s="174" t="s">
        <v>294</v>
      </c>
      <c r="C558" s="36" t="s">
        <v>72</v>
      </c>
      <c r="D558" s="2"/>
      <c r="E558" s="2"/>
      <c r="F558" s="2"/>
      <c r="G558" s="7">
        <f t="shared" ref="G558:R558" si="264">G529</f>
        <v>0.245</v>
      </c>
      <c r="H558" s="7">
        <f t="shared" si="264"/>
        <v>0.47799999999999998</v>
      </c>
      <c r="I558" s="7">
        <f t="shared" si="264"/>
        <v>0.63700000000000001</v>
      </c>
      <c r="J558" s="7">
        <f t="shared" si="264"/>
        <v>0.42300000000000004</v>
      </c>
      <c r="K558" s="7">
        <f t="shared" si="264"/>
        <v>0.54300000000000004</v>
      </c>
      <c r="L558" s="7">
        <f t="shared" si="264"/>
        <v>0.54300000000000004</v>
      </c>
      <c r="M558" s="7">
        <f t="shared" si="264"/>
        <v>0.95050000000000001</v>
      </c>
      <c r="N558" s="7">
        <f t="shared" si="264"/>
        <v>0.95050000000000001</v>
      </c>
      <c r="O558" s="7">
        <f t="shared" si="264"/>
        <v>3.0825</v>
      </c>
      <c r="P558" s="7">
        <f t="shared" si="264"/>
        <v>3.0825</v>
      </c>
      <c r="Q558" s="7">
        <f t="shared" si="264"/>
        <v>3.1255000000000002</v>
      </c>
      <c r="R558" s="7">
        <f t="shared" si="264"/>
        <v>3.1255000000000002</v>
      </c>
      <c r="S558" s="212">
        <v>0</v>
      </c>
      <c r="T558" s="7">
        <f>T529</f>
        <v>0.44750000000000001</v>
      </c>
      <c r="U558" s="212">
        <v>0</v>
      </c>
      <c r="V558" s="7">
        <f t="shared" ref="V558:AN558" si="265">V529</f>
        <v>1.1755</v>
      </c>
      <c r="W558" s="7">
        <f t="shared" si="265"/>
        <v>1.2766323287671235</v>
      </c>
      <c r="X558" s="7">
        <f t="shared" si="265"/>
        <v>1.1041215682871264</v>
      </c>
      <c r="Y558" s="7">
        <f t="shared" si="265"/>
        <v>1.40864596359075</v>
      </c>
      <c r="Z558" s="7">
        <f t="shared" si="265"/>
        <v>1.6989100209291488</v>
      </c>
      <c r="AA558" s="7">
        <f t="shared" si="265"/>
        <v>2.3603913718924217</v>
      </c>
      <c r="AB558" s="7">
        <f t="shared" si="265"/>
        <v>2.9630073761951392</v>
      </c>
      <c r="AC558" s="7">
        <f t="shared" si="265"/>
        <v>3.7590999043766065</v>
      </c>
      <c r="AD558" s="7">
        <f t="shared" si="265"/>
        <v>4.5078263264094307</v>
      </c>
      <c r="AE558" s="7">
        <f t="shared" si="265"/>
        <v>5.368302828918412</v>
      </c>
      <c r="AF558" s="7">
        <f t="shared" si="265"/>
        <v>5.6267100740382645</v>
      </c>
      <c r="AG558" s="7">
        <f t="shared" si="265"/>
        <v>5.9792155640671796</v>
      </c>
      <c r="AH558" s="7">
        <f t="shared" si="265"/>
        <v>6.2441036750037462</v>
      </c>
      <c r="AI558" s="7">
        <f t="shared" si="265"/>
        <v>6.541554688157885</v>
      </c>
      <c r="AJ558" s="7">
        <f t="shared" si="265"/>
        <v>6.7614555586745304</v>
      </c>
      <c r="AK558" s="7">
        <f t="shared" si="265"/>
        <v>7.0952218817611694</v>
      </c>
      <c r="AL558" s="7">
        <f t="shared" si="265"/>
        <v>7.2594507109746411</v>
      </c>
      <c r="AM558" s="7">
        <f t="shared" si="265"/>
        <v>7.5822591580928957</v>
      </c>
      <c r="AN558" s="7">
        <f t="shared" si="265"/>
        <v>7.7257043288109006</v>
      </c>
    </row>
    <row r="559" spans="1:40">
      <c r="B559" s="174" t="s">
        <v>216</v>
      </c>
      <c r="C559" s="36" t="s">
        <v>72</v>
      </c>
      <c r="D559" s="2"/>
      <c r="E559" s="2"/>
      <c r="F559" s="2"/>
      <c r="G559" s="7">
        <f t="shared" ref="G559:R559" si="266">G530</f>
        <v>13.16</v>
      </c>
      <c r="H559" s="7">
        <f t="shared" si="266"/>
        <v>13.703999999999997</v>
      </c>
      <c r="I559" s="7">
        <f t="shared" si="266"/>
        <v>14.447999999999999</v>
      </c>
      <c r="J559" s="7">
        <f t="shared" si="266"/>
        <v>-2.6640000000000015</v>
      </c>
      <c r="K559" s="7">
        <f t="shared" si="266"/>
        <v>7.2680000000000007</v>
      </c>
      <c r="L559" s="7">
        <f t="shared" si="266"/>
        <v>-2.1179999999999986</v>
      </c>
      <c r="M559" s="7">
        <f t="shared" si="266"/>
        <v>7.3499999999999233E-2</v>
      </c>
      <c r="N559" s="7">
        <f t="shared" si="266"/>
        <v>-5.0705000000000009</v>
      </c>
      <c r="O559" s="7">
        <f t="shared" si="266"/>
        <v>2.2894999999999985</v>
      </c>
      <c r="P559" s="7">
        <f t="shared" si="266"/>
        <v>6.6785000000000014</v>
      </c>
      <c r="Q559" s="7">
        <f t="shared" si="266"/>
        <v>11.458500000000001</v>
      </c>
      <c r="R559" s="7">
        <f t="shared" si="266"/>
        <v>20.552499999999998</v>
      </c>
      <c r="S559" s="212">
        <v>0</v>
      </c>
      <c r="T559" s="7">
        <f>T530</f>
        <v>16.226500000000001</v>
      </c>
      <c r="U559" s="212">
        <v>0</v>
      </c>
      <c r="V559" s="7">
        <f t="shared" ref="V559:AN559" si="267">V530</f>
        <v>12.275499999999997</v>
      </c>
      <c r="W559" s="7">
        <f t="shared" si="267"/>
        <v>0</v>
      </c>
      <c r="X559" s="7">
        <f t="shared" si="267"/>
        <v>0</v>
      </c>
      <c r="Y559" s="7">
        <f t="shared" si="267"/>
        <v>0</v>
      </c>
      <c r="Z559" s="7">
        <f t="shared" si="267"/>
        <v>0</v>
      </c>
      <c r="AA559" s="7">
        <f t="shared" si="267"/>
        <v>0</v>
      </c>
      <c r="AB559" s="7">
        <f t="shared" si="267"/>
        <v>0</v>
      </c>
      <c r="AC559" s="7">
        <f t="shared" si="267"/>
        <v>0</v>
      </c>
      <c r="AD559" s="7">
        <f t="shared" si="267"/>
        <v>0</v>
      </c>
      <c r="AE559" s="7">
        <f t="shared" si="267"/>
        <v>0</v>
      </c>
      <c r="AF559" s="7">
        <f t="shared" si="267"/>
        <v>0</v>
      </c>
      <c r="AG559" s="7">
        <f t="shared" si="267"/>
        <v>0</v>
      </c>
      <c r="AH559" s="7">
        <f t="shared" si="267"/>
        <v>0</v>
      </c>
      <c r="AI559" s="7">
        <f t="shared" si="267"/>
        <v>0</v>
      </c>
      <c r="AJ559" s="7">
        <f t="shared" si="267"/>
        <v>0</v>
      </c>
      <c r="AK559" s="7">
        <f t="shared" si="267"/>
        <v>0</v>
      </c>
      <c r="AL559" s="7">
        <f t="shared" si="267"/>
        <v>0</v>
      </c>
      <c r="AM559" s="7">
        <f t="shared" si="267"/>
        <v>0</v>
      </c>
      <c r="AN559" s="7">
        <f t="shared" si="267"/>
        <v>0</v>
      </c>
    </row>
    <row r="560" spans="1:40">
      <c r="B560" s="174" t="s">
        <v>295</v>
      </c>
      <c r="C560" s="36" t="s">
        <v>72</v>
      </c>
      <c r="D560" s="2"/>
      <c r="E560" s="2"/>
      <c r="F560" s="2"/>
      <c r="G560" s="7">
        <f t="shared" ref="G560:R560" si="268">G528</f>
        <v>-19.405000000000001</v>
      </c>
      <c r="H560" s="7">
        <f t="shared" si="268"/>
        <v>-18.381999999999998</v>
      </c>
      <c r="I560" s="7">
        <f t="shared" si="268"/>
        <v>-21.484999999999999</v>
      </c>
      <c r="J560" s="7">
        <f t="shared" si="268"/>
        <v>-19.959000000000003</v>
      </c>
      <c r="K560" s="7">
        <f t="shared" si="268"/>
        <v>-21.811</v>
      </c>
      <c r="L560" s="7">
        <f t="shared" si="268"/>
        <v>-16.925000000000001</v>
      </c>
      <c r="M560" s="7">
        <f t="shared" si="268"/>
        <v>-18.224</v>
      </c>
      <c r="N560" s="7">
        <f t="shared" si="268"/>
        <v>-13.68</v>
      </c>
      <c r="O560" s="7">
        <f t="shared" si="268"/>
        <v>-21.22</v>
      </c>
      <c r="P560" s="7">
        <f t="shared" si="268"/>
        <v>-22.039000000000001</v>
      </c>
      <c r="Q560" s="7">
        <f t="shared" si="268"/>
        <v>-23.298999999999999</v>
      </c>
      <c r="R560" s="7">
        <f t="shared" si="268"/>
        <v>-30.962999999999997</v>
      </c>
      <c r="S560" s="212">
        <f>-9.04-3.635</f>
        <v>-12.674999999999999</v>
      </c>
      <c r="T560" s="7">
        <f>T528</f>
        <v>-30.774000000000001</v>
      </c>
      <c r="U560" s="212">
        <f>-18.23-3.482</f>
        <v>-21.712</v>
      </c>
      <c r="V560" s="7">
        <f t="shared" ref="V560:AN560" si="269">V528</f>
        <v>-33.750999999999998</v>
      </c>
      <c r="W560" s="7">
        <f t="shared" si="269"/>
        <v>-16.720342136986304</v>
      </c>
      <c r="X560" s="7">
        <f t="shared" si="269"/>
        <v>-12.38452580821918</v>
      </c>
      <c r="Y560" s="7">
        <f t="shared" si="269"/>
        <v>-12.589794191780825</v>
      </c>
      <c r="Z560" s="7">
        <f t="shared" si="269"/>
        <v>-12.452948602739728</v>
      </c>
      <c r="AA560" s="7">
        <f t="shared" si="269"/>
        <v>-12.589794191780825</v>
      </c>
      <c r="AB560" s="7">
        <f t="shared" si="269"/>
        <v>-12.38452580821918</v>
      </c>
      <c r="AC560" s="7">
        <f t="shared" si="269"/>
        <v>-12.589794191780825</v>
      </c>
      <c r="AD560" s="7">
        <f t="shared" si="269"/>
        <v>-12.38452580821918</v>
      </c>
      <c r="AE560" s="7">
        <f t="shared" si="269"/>
        <v>-12.589794191780825</v>
      </c>
      <c r="AF560" s="7">
        <f t="shared" si="269"/>
        <v>-12.38452580821918</v>
      </c>
      <c r="AG560" s="7">
        <f t="shared" si="269"/>
        <v>-12.589794191780825</v>
      </c>
      <c r="AH560" s="7">
        <f t="shared" si="269"/>
        <v>-12.452948602739728</v>
      </c>
      <c r="AI560" s="7">
        <f t="shared" si="269"/>
        <v>-12.589794191780825</v>
      </c>
      <c r="AJ560" s="7">
        <f t="shared" si="269"/>
        <v>-12.38452580821918</v>
      </c>
      <c r="AK560" s="7">
        <f t="shared" si="269"/>
        <v>-12.589794191780825</v>
      </c>
      <c r="AL560" s="7">
        <f t="shared" si="269"/>
        <v>-12.38452580821918</v>
      </c>
      <c r="AM560" s="7">
        <f t="shared" si="269"/>
        <v>-12.589794191780825</v>
      </c>
      <c r="AN560" s="7">
        <f t="shared" si="269"/>
        <v>-12.38452580821918</v>
      </c>
    </row>
    <row r="561" spans="1:40">
      <c r="B561" s="151" t="s">
        <v>238</v>
      </c>
      <c r="C561" s="36" t="s">
        <v>72</v>
      </c>
      <c r="D561" s="2"/>
      <c r="E561" s="2"/>
      <c r="F561" s="2"/>
      <c r="G561" s="7">
        <f t="shared" ref="G561:AN561" si="270">G472</f>
        <v>0</v>
      </c>
      <c r="H561" s="7">
        <f t="shared" si="270"/>
        <v>0</v>
      </c>
      <c r="I561" s="7">
        <f t="shared" si="270"/>
        <v>0</v>
      </c>
      <c r="J561" s="7">
        <f t="shared" si="270"/>
        <v>177.59700000000001</v>
      </c>
      <c r="K561" s="7">
        <f t="shared" si="270"/>
        <v>48.737000000000002</v>
      </c>
      <c r="L561" s="7">
        <f t="shared" si="270"/>
        <v>0</v>
      </c>
      <c r="M561" s="7">
        <f t="shared" si="270"/>
        <v>0</v>
      </c>
      <c r="N561" s="7">
        <f t="shared" si="270"/>
        <v>0</v>
      </c>
      <c r="O561" s="7">
        <f t="shared" si="270"/>
        <v>0</v>
      </c>
      <c r="P561" s="7">
        <f t="shared" si="270"/>
        <v>0</v>
      </c>
      <c r="Q561" s="7">
        <f t="shared" si="270"/>
        <v>0</v>
      </c>
      <c r="R561" s="7">
        <f t="shared" si="270"/>
        <v>0</v>
      </c>
      <c r="S561" s="7">
        <f t="shared" si="270"/>
        <v>0</v>
      </c>
      <c r="T561" s="7">
        <f t="shared" si="270"/>
        <v>0</v>
      </c>
      <c r="U561" s="7">
        <f t="shared" si="270"/>
        <v>229.02699999999999</v>
      </c>
      <c r="V561" s="7">
        <f t="shared" si="270"/>
        <v>0</v>
      </c>
      <c r="W561" s="7">
        <f t="shared" si="270"/>
        <v>0</v>
      </c>
      <c r="X561" s="7">
        <f t="shared" si="270"/>
        <v>0</v>
      </c>
      <c r="Y561" s="7">
        <f t="shared" si="270"/>
        <v>0</v>
      </c>
      <c r="Z561" s="7">
        <f t="shared" si="270"/>
        <v>0</v>
      </c>
      <c r="AA561" s="7">
        <f t="shared" si="270"/>
        <v>0</v>
      </c>
      <c r="AB561" s="7">
        <f t="shared" si="270"/>
        <v>0</v>
      </c>
      <c r="AC561" s="7">
        <f t="shared" si="270"/>
        <v>0</v>
      </c>
      <c r="AD561" s="7">
        <f t="shared" si="270"/>
        <v>0</v>
      </c>
      <c r="AE561" s="7">
        <f t="shared" si="270"/>
        <v>0</v>
      </c>
      <c r="AF561" s="7">
        <f t="shared" si="270"/>
        <v>0</v>
      </c>
      <c r="AG561" s="7">
        <f t="shared" si="270"/>
        <v>0</v>
      </c>
      <c r="AH561" s="7">
        <f t="shared" si="270"/>
        <v>0</v>
      </c>
      <c r="AI561" s="7">
        <f t="shared" si="270"/>
        <v>0</v>
      </c>
      <c r="AJ561" s="7">
        <f t="shared" si="270"/>
        <v>0</v>
      </c>
      <c r="AK561" s="7">
        <f t="shared" si="270"/>
        <v>0</v>
      </c>
      <c r="AL561" s="7">
        <f t="shared" si="270"/>
        <v>0</v>
      </c>
      <c r="AM561" s="7">
        <f t="shared" si="270"/>
        <v>0</v>
      </c>
      <c r="AN561" s="7">
        <f t="shared" si="270"/>
        <v>0</v>
      </c>
    </row>
    <row r="562" spans="1:40">
      <c r="B562" s="151" t="s">
        <v>242</v>
      </c>
      <c r="C562" s="36" t="s">
        <v>72</v>
      </c>
      <c r="D562" s="2"/>
      <c r="E562" s="2"/>
      <c r="F562" s="2"/>
      <c r="G562" s="7">
        <f t="shared" ref="G562:AN562" si="271">G477</f>
        <v>0</v>
      </c>
      <c r="H562" s="7">
        <f t="shared" si="271"/>
        <v>0</v>
      </c>
      <c r="I562" s="7">
        <f t="shared" si="271"/>
        <v>-19.992999999999999</v>
      </c>
      <c r="J562" s="7">
        <f t="shared" si="271"/>
        <v>0</v>
      </c>
      <c r="K562" s="7">
        <f t="shared" si="271"/>
        <v>0</v>
      </c>
      <c r="L562" s="7">
        <f t="shared" si="271"/>
        <v>0</v>
      </c>
      <c r="M562" s="7">
        <f t="shared" si="271"/>
        <v>0</v>
      </c>
      <c r="N562" s="7">
        <f t="shared" si="271"/>
        <v>0</v>
      </c>
      <c r="O562" s="7">
        <f t="shared" si="271"/>
        <v>0</v>
      </c>
      <c r="P562" s="7">
        <f t="shared" si="271"/>
        <v>0</v>
      </c>
      <c r="Q562" s="7">
        <f t="shared" si="271"/>
        <v>0</v>
      </c>
      <c r="R562" s="7">
        <f t="shared" si="271"/>
        <v>0</v>
      </c>
      <c r="S562" s="7">
        <f t="shared" si="271"/>
        <v>0</v>
      </c>
      <c r="T562" s="7">
        <f t="shared" si="271"/>
        <v>0</v>
      </c>
      <c r="U562" s="7">
        <f t="shared" si="271"/>
        <v>0</v>
      </c>
      <c r="V562" s="7">
        <f t="shared" si="271"/>
        <v>0</v>
      </c>
      <c r="W562" s="7">
        <f t="shared" si="271"/>
        <v>0</v>
      </c>
      <c r="X562" s="7">
        <f t="shared" si="271"/>
        <v>0</v>
      </c>
      <c r="Y562" s="7">
        <f t="shared" si="271"/>
        <v>0</v>
      </c>
      <c r="Z562" s="7">
        <f t="shared" si="271"/>
        <v>0</v>
      </c>
      <c r="AA562" s="7">
        <f t="shared" si="271"/>
        <v>0</v>
      </c>
      <c r="AB562" s="7">
        <f t="shared" si="271"/>
        <v>0</v>
      </c>
      <c r="AC562" s="7">
        <f t="shared" si="271"/>
        <v>0</v>
      </c>
      <c r="AD562" s="7">
        <f t="shared" si="271"/>
        <v>0</v>
      </c>
      <c r="AE562" s="7">
        <f t="shared" si="271"/>
        <v>0</v>
      </c>
      <c r="AF562" s="7">
        <f t="shared" si="271"/>
        <v>0</v>
      </c>
      <c r="AG562" s="7">
        <f t="shared" si="271"/>
        <v>0</v>
      </c>
      <c r="AH562" s="7">
        <f t="shared" si="271"/>
        <v>0</v>
      </c>
      <c r="AI562" s="7">
        <f t="shared" si="271"/>
        <v>0</v>
      </c>
      <c r="AJ562" s="7">
        <f t="shared" si="271"/>
        <v>0</v>
      </c>
      <c r="AK562" s="7">
        <f t="shared" si="271"/>
        <v>0</v>
      </c>
      <c r="AL562" s="7">
        <f t="shared" si="271"/>
        <v>0</v>
      </c>
      <c r="AM562" s="7">
        <f t="shared" si="271"/>
        <v>0</v>
      </c>
      <c r="AN562" s="7">
        <f t="shared" si="271"/>
        <v>0</v>
      </c>
    </row>
    <row r="563" spans="1:40">
      <c r="B563" s="151" t="s">
        <v>255</v>
      </c>
      <c r="C563" s="36" t="s">
        <v>72</v>
      </c>
      <c r="D563" s="2"/>
      <c r="E563" s="2"/>
      <c r="F563" s="2"/>
      <c r="G563" s="212">
        <v>-59.16</v>
      </c>
      <c r="H563" s="212">
        <f>-127.098-G563</f>
        <v>-67.938000000000002</v>
      </c>
      <c r="I563" s="212">
        <v>-66.867000000000004</v>
      </c>
      <c r="J563" s="212">
        <f>-133.288-I563</f>
        <v>-66.421000000000006</v>
      </c>
      <c r="K563" s="212">
        <v>0</v>
      </c>
      <c r="L563" s="212">
        <v>0</v>
      </c>
      <c r="M563" s="212">
        <v>-53.082000000000001</v>
      </c>
      <c r="N563" s="212">
        <f>-53.082-M563</f>
        <v>0</v>
      </c>
      <c r="O563" s="212">
        <v>0</v>
      </c>
      <c r="P563" s="212">
        <f>-45.533-O563</f>
        <v>-45.533000000000001</v>
      </c>
      <c r="Q563" s="212">
        <v>-45.540999999999997</v>
      </c>
      <c r="R563" s="212">
        <f>-85.382-Q563</f>
        <v>-39.841000000000008</v>
      </c>
      <c r="S563" s="212">
        <v>0</v>
      </c>
      <c r="T563" s="212">
        <v>0</v>
      </c>
      <c r="U563" s="212">
        <v>0</v>
      </c>
      <c r="V563" s="212">
        <v>0</v>
      </c>
      <c r="W563" s="7">
        <f t="shared" ref="W563:AN563" si="272">W494</f>
        <v>0</v>
      </c>
      <c r="X563" s="7">
        <f t="shared" si="272"/>
        <v>0</v>
      </c>
      <c r="Y563" s="7">
        <f t="shared" si="272"/>
        <v>0</v>
      </c>
      <c r="Z563" s="7">
        <f t="shared" si="272"/>
        <v>0</v>
      </c>
      <c r="AA563" s="7">
        <f t="shared" si="272"/>
        <v>0</v>
      </c>
      <c r="AB563" s="7">
        <f t="shared" si="272"/>
        <v>0</v>
      </c>
      <c r="AC563" s="7">
        <f t="shared" si="272"/>
        <v>0</v>
      </c>
      <c r="AD563" s="7">
        <f t="shared" si="272"/>
        <v>0</v>
      </c>
      <c r="AE563" s="7">
        <f t="shared" si="272"/>
        <v>-34.196988299949361</v>
      </c>
      <c r="AF563" s="7">
        <f t="shared" si="272"/>
        <v>-37.018099346619458</v>
      </c>
      <c r="AG563" s="7">
        <f t="shared" si="272"/>
        <v>-37.768602628149431</v>
      </c>
      <c r="AH563" s="7">
        <f t="shared" si="272"/>
        <v>-40.424488339887304</v>
      </c>
      <c r="AI563" s="7">
        <f t="shared" si="272"/>
        <v>-41.139447991843547</v>
      </c>
      <c r="AJ563" s="7">
        <f t="shared" si="272"/>
        <v>-43.939896876064623</v>
      </c>
      <c r="AK563" s="7">
        <f t="shared" si="272"/>
        <v>-44.668753064599002</v>
      </c>
      <c r="AL563" s="7">
        <f t="shared" si="272"/>
        <v>-46.038610947678762</v>
      </c>
      <c r="AM563" s="7">
        <f t="shared" si="272"/>
        <v>-46.743638062750591</v>
      </c>
      <c r="AN563" s="7">
        <f t="shared" si="272"/>
        <v>-48.166083100454799</v>
      </c>
    </row>
    <row r="564" spans="1:40">
      <c r="B564" s="151" t="s">
        <v>296</v>
      </c>
      <c r="C564" s="36" t="s">
        <v>72</v>
      </c>
      <c r="D564" s="2"/>
      <c r="E564" s="6"/>
      <c r="F564" s="6"/>
      <c r="G564" s="212">
        <v>0</v>
      </c>
      <c r="H564" s="212">
        <v>0</v>
      </c>
      <c r="I564" s="212">
        <v>0</v>
      </c>
      <c r="J564" s="212">
        <v>0</v>
      </c>
      <c r="K564" s="212">
        <v>0</v>
      </c>
      <c r="L564" s="212">
        <v>0</v>
      </c>
      <c r="M564" s="212">
        <v>0</v>
      </c>
      <c r="N564" s="212">
        <v>0</v>
      </c>
      <c r="O564" s="212">
        <v>0</v>
      </c>
      <c r="P564" s="212">
        <v>0</v>
      </c>
      <c r="Q564" s="212">
        <v>0</v>
      </c>
      <c r="R564" s="212">
        <v>0</v>
      </c>
      <c r="S564" s="212">
        <v>0</v>
      </c>
      <c r="T564" s="212">
        <v>0</v>
      </c>
      <c r="U564" s="212">
        <v>0</v>
      </c>
      <c r="V564" s="212">
        <v>0</v>
      </c>
      <c r="W564" s="213">
        <v>0</v>
      </c>
      <c r="X564" s="213">
        <v>0</v>
      </c>
      <c r="Y564" s="213">
        <v>0</v>
      </c>
      <c r="Z564" s="213">
        <v>0</v>
      </c>
      <c r="AA564" s="213">
        <v>0</v>
      </c>
      <c r="AB564" s="213">
        <v>0</v>
      </c>
      <c r="AC564" s="213">
        <v>0</v>
      </c>
      <c r="AD564" s="213">
        <v>0</v>
      </c>
      <c r="AE564" s="213">
        <v>0</v>
      </c>
      <c r="AF564" s="213">
        <v>0</v>
      </c>
      <c r="AG564" s="213">
        <v>0</v>
      </c>
      <c r="AH564" s="213">
        <v>0</v>
      </c>
      <c r="AI564" s="213">
        <v>0</v>
      </c>
      <c r="AJ564" s="213">
        <v>0</v>
      </c>
      <c r="AK564" s="213">
        <v>0</v>
      </c>
      <c r="AL564" s="213">
        <v>0</v>
      </c>
      <c r="AM564" s="213">
        <v>0</v>
      </c>
      <c r="AN564" s="213">
        <v>0</v>
      </c>
    </row>
    <row r="565" spans="1:40">
      <c r="B565" s="151" t="s">
        <v>297</v>
      </c>
      <c r="C565" s="36" t="s">
        <v>72</v>
      </c>
      <c r="D565" s="2"/>
      <c r="E565" s="2"/>
      <c r="F565" s="2"/>
      <c r="G565" s="7">
        <f t="shared" ref="G565:R565" si="273">G417</f>
        <v>135.029</v>
      </c>
      <c r="H565" s="7">
        <f t="shared" si="273"/>
        <v>-98.442000000000007</v>
      </c>
      <c r="I565" s="7">
        <f t="shared" si="273"/>
        <v>97.15300000000002</v>
      </c>
      <c r="J565" s="7">
        <f t="shared" si="273"/>
        <v>-4.2799999999999727</v>
      </c>
      <c r="K565" s="7">
        <f t="shared" si="273"/>
        <v>-3.8849999999999909</v>
      </c>
      <c r="L565" s="7">
        <f t="shared" si="273"/>
        <v>-26.225999999999999</v>
      </c>
      <c r="M565" s="7">
        <f t="shared" si="273"/>
        <v>107.07199999999989</v>
      </c>
      <c r="N565" s="7">
        <f t="shared" si="273"/>
        <v>-64.395999999999844</v>
      </c>
      <c r="O565" s="7">
        <f t="shared" si="273"/>
        <v>-90.574000000000069</v>
      </c>
      <c r="P565" s="7">
        <f t="shared" si="273"/>
        <v>131.46100000000001</v>
      </c>
      <c r="Q565" s="7">
        <f t="shared" si="273"/>
        <v>-3.1169999999999618</v>
      </c>
      <c r="R565" s="7">
        <f t="shared" si="273"/>
        <v>42.680999999999926</v>
      </c>
      <c r="S565" s="212">
        <f>-275.38+340.664</f>
        <v>65.283999999999992</v>
      </c>
      <c r="T565" s="7">
        <f>T417</f>
        <v>-17.743000000000052</v>
      </c>
      <c r="U565" s="212">
        <f>-35+25-145.412</f>
        <v>-155.41200000000001</v>
      </c>
      <c r="V565" s="7">
        <f t="shared" ref="V565:AN565" si="274">V417</f>
        <v>5.3979999999999109</v>
      </c>
      <c r="W565" s="7">
        <f t="shared" si="274"/>
        <v>-285</v>
      </c>
      <c r="X565" s="7">
        <f t="shared" si="274"/>
        <v>0</v>
      </c>
      <c r="Y565" s="7">
        <f t="shared" si="274"/>
        <v>0</v>
      </c>
      <c r="Z565" s="7">
        <f t="shared" si="274"/>
        <v>0</v>
      </c>
      <c r="AA565" s="7">
        <f t="shared" si="274"/>
        <v>0</v>
      </c>
      <c r="AB565" s="7">
        <f t="shared" si="274"/>
        <v>0</v>
      </c>
      <c r="AC565" s="7">
        <f t="shared" si="274"/>
        <v>0</v>
      </c>
      <c r="AD565" s="7">
        <f t="shared" si="274"/>
        <v>0</v>
      </c>
      <c r="AE565" s="7">
        <f t="shared" si="274"/>
        <v>0</v>
      </c>
      <c r="AF565" s="7">
        <f t="shared" si="274"/>
        <v>0</v>
      </c>
      <c r="AG565" s="7">
        <f t="shared" si="274"/>
        <v>0</v>
      </c>
      <c r="AH565" s="7">
        <f t="shared" si="274"/>
        <v>0</v>
      </c>
      <c r="AI565" s="7">
        <f t="shared" si="274"/>
        <v>0</v>
      </c>
      <c r="AJ565" s="7">
        <f t="shared" si="274"/>
        <v>0</v>
      </c>
      <c r="AK565" s="7">
        <f t="shared" si="274"/>
        <v>0</v>
      </c>
      <c r="AL565" s="7">
        <f t="shared" si="274"/>
        <v>0</v>
      </c>
      <c r="AM565" s="7">
        <f t="shared" si="274"/>
        <v>0</v>
      </c>
      <c r="AN565" s="7">
        <f t="shared" si="274"/>
        <v>0</v>
      </c>
    </row>
    <row r="566" spans="1:40">
      <c r="B566" s="151" t="s">
        <v>110</v>
      </c>
      <c r="C566" s="36" t="s">
        <v>72</v>
      </c>
      <c r="D566" s="2"/>
      <c r="E566" s="2"/>
      <c r="F566" s="2"/>
      <c r="G566" s="7">
        <f t="shared" ref="G566:R566" si="275">G567-SUM(G561:G565)</f>
        <v>-20.731999999999999</v>
      </c>
      <c r="H566" s="7">
        <f t="shared" si="275"/>
        <v>-59.702000000000027</v>
      </c>
      <c r="I566" s="7">
        <f t="shared" si="275"/>
        <v>-71.41200000000002</v>
      </c>
      <c r="J566" s="7">
        <f t="shared" si="275"/>
        <v>-55.084000000000032</v>
      </c>
      <c r="K566" s="7">
        <f t="shared" si="275"/>
        <v>15.150999999999989</v>
      </c>
      <c r="L566" s="7">
        <f t="shared" si="275"/>
        <v>-72.353000000000009</v>
      </c>
      <c r="M566" s="7">
        <f t="shared" si="275"/>
        <v>-19.100499999999883</v>
      </c>
      <c r="N566" s="7">
        <f t="shared" si="275"/>
        <v>-33.078500000000162</v>
      </c>
      <c r="O566" s="7">
        <f t="shared" si="275"/>
        <v>-8.9824999999999307</v>
      </c>
      <c r="P566" s="7">
        <f t="shared" si="275"/>
        <v>-24.882500000000007</v>
      </c>
      <c r="Q566" s="7">
        <f t="shared" si="275"/>
        <v>-17.147500000000036</v>
      </c>
      <c r="R566" s="7">
        <f t="shared" si="275"/>
        <v>-11.924499999999924</v>
      </c>
      <c r="S566" s="212">
        <f>-1.547-2.833-0.056</f>
        <v>-4.4359999999999999</v>
      </c>
      <c r="T566" s="7">
        <f>T567-SUM(T558:T565)</f>
        <v>24.16900000000005</v>
      </c>
      <c r="U566" s="212">
        <f>-6.92-4.127</f>
        <v>-11.047000000000001</v>
      </c>
      <c r="V566" s="7">
        <f>V567-SUM(V558:V565)</f>
        <v>-1.0439999999999117</v>
      </c>
      <c r="W566" s="216">
        <v>0</v>
      </c>
      <c r="X566" s="216">
        <v>0</v>
      </c>
      <c r="Y566" s="216">
        <v>0</v>
      </c>
      <c r="Z566" s="216">
        <v>0</v>
      </c>
      <c r="AA566" s="216">
        <v>0</v>
      </c>
      <c r="AB566" s="216">
        <v>0</v>
      </c>
      <c r="AC566" s="216">
        <v>0</v>
      </c>
      <c r="AD566" s="216">
        <v>0</v>
      </c>
      <c r="AE566" s="216">
        <v>0</v>
      </c>
      <c r="AF566" s="216">
        <v>0</v>
      </c>
      <c r="AG566" s="216">
        <v>0</v>
      </c>
      <c r="AH566" s="216">
        <v>0</v>
      </c>
      <c r="AI566" s="216">
        <v>0</v>
      </c>
      <c r="AJ566" s="216">
        <v>0</v>
      </c>
      <c r="AK566" s="216">
        <v>0</v>
      </c>
      <c r="AL566" s="216">
        <v>0</v>
      </c>
      <c r="AM566" s="216">
        <v>0</v>
      </c>
      <c r="AN566" s="216">
        <v>0</v>
      </c>
    </row>
    <row r="567" spans="1:40" s="3" customFormat="1">
      <c r="A567" s="1"/>
      <c r="B567" s="145" t="s">
        <v>298</v>
      </c>
      <c r="C567" s="36" t="s">
        <v>72</v>
      </c>
      <c r="D567" s="2"/>
      <c r="E567" s="4"/>
      <c r="F567" s="4"/>
      <c r="G567" s="215">
        <f>55.382-SUM(G558:G558)</f>
        <v>55.137</v>
      </c>
      <c r="H567" s="215">
        <f>-170.222-SUM(G558:H558)-G567</f>
        <v>-226.08200000000002</v>
      </c>
      <c r="I567" s="215">
        <f>-60.482-SUM(I558:I558)</f>
        <v>-61.119</v>
      </c>
      <c r="J567" s="215">
        <f>-8.247-SUM(I558:J558)-I567</f>
        <v>51.811999999999998</v>
      </c>
      <c r="K567" s="215">
        <f>60.546-SUM(K558:K558)</f>
        <v>60.003</v>
      </c>
      <c r="L567" s="215">
        <f>-37.49-SUM(K558:L558)-K567</f>
        <v>-98.579000000000008</v>
      </c>
      <c r="M567" s="215">
        <f>35.84-SUM(M558:M558)</f>
        <v>34.889500000000005</v>
      </c>
      <c r="N567" s="215">
        <f>-60.684-SUM(M558:N558)-M567</f>
        <v>-97.474500000000006</v>
      </c>
      <c r="O567" s="215">
        <f>-96.474-SUM(O558:O558)</f>
        <v>-99.5565</v>
      </c>
      <c r="P567" s="215">
        <f>-32.346-SUM(O558:P558)-O567</f>
        <v>61.045500000000004</v>
      </c>
      <c r="Q567" s="215">
        <f>-62.68-SUM(Q558:Q558)</f>
        <v>-65.805499999999995</v>
      </c>
      <c r="R567" s="215">
        <f>-68.639-SUM(Q558:R558)-Q567</f>
        <v>-9.0845000000000056</v>
      </c>
      <c r="S567" s="215">
        <f>48.173</f>
        <v>48.173000000000002</v>
      </c>
      <c r="T567" s="215">
        <f>40.499-S567</f>
        <v>-7.6739999999999995</v>
      </c>
      <c r="U567" s="215">
        <v>40.856000000000002</v>
      </c>
      <c r="V567" s="215">
        <f>24.91-U567</f>
        <v>-15.946000000000002</v>
      </c>
      <c r="W567" s="210">
        <f t="shared" ref="W567:AN567" si="276">SUM(W558:W566)</f>
        <v>-300.44370980821918</v>
      </c>
      <c r="X567" s="210">
        <f t="shared" si="276"/>
        <v>-11.280404239932054</v>
      </c>
      <c r="Y567" s="210">
        <f t="shared" si="276"/>
        <v>-11.181148228190075</v>
      </c>
      <c r="Z567" s="210">
        <f t="shared" si="276"/>
        <v>-10.75403858181058</v>
      </c>
      <c r="AA567" s="210">
        <f t="shared" si="276"/>
        <v>-10.229402819888403</v>
      </c>
      <c r="AB567" s="210">
        <f t="shared" si="276"/>
        <v>-9.4215184320240404</v>
      </c>
      <c r="AC567" s="210">
        <f t="shared" si="276"/>
        <v>-8.8306942874042189</v>
      </c>
      <c r="AD567" s="210">
        <f t="shared" si="276"/>
        <v>-7.8766994818097498</v>
      </c>
      <c r="AE567" s="210">
        <f t="shared" si="276"/>
        <v>-41.418479662811777</v>
      </c>
      <c r="AF567" s="210">
        <f t="shared" si="276"/>
        <v>-43.775915080800374</v>
      </c>
      <c r="AG567" s="210">
        <f t="shared" si="276"/>
        <v>-44.379181255863074</v>
      </c>
      <c r="AH567" s="210">
        <f t="shared" si="276"/>
        <v>-46.633333267623286</v>
      </c>
      <c r="AI567" s="210">
        <f t="shared" si="276"/>
        <v>-47.187687495466484</v>
      </c>
      <c r="AJ567" s="210">
        <f t="shared" si="276"/>
        <v>-49.562967125609276</v>
      </c>
      <c r="AK567" s="210">
        <f t="shared" si="276"/>
        <v>-50.163325374618658</v>
      </c>
      <c r="AL567" s="210">
        <f t="shared" si="276"/>
        <v>-51.163686044923303</v>
      </c>
      <c r="AM567" s="210">
        <f t="shared" si="276"/>
        <v>-51.751173096438521</v>
      </c>
      <c r="AN567" s="210">
        <f t="shared" si="276"/>
        <v>-52.82490457986308</v>
      </c>
    </row>
    <row r="568" spans="1:40">
      <c r="B568" s="49"/>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spans="1:40">
      <c r="B569" s="151" t="s">
        <v>299</v>
      </c>
      <c r="C569" s="36" t="s">
        <v>72</v>
      </c>
      <c r="D569" s="2"/>
      <c r="E569" s="2"/>
      <c r="F569" s="2"/>
      <c r="G569" s="7">
        <f t="shared" ref="G569:AN569" si="277">F573</f>
        <v>75.954999999999998</v>
      </c>
      <c r="H569" s="7">
        <f t="shared" si="277"/>
        <v>59.94</v>
      </c>
      <c r="I569" s="7">
        <f t="shared" si="277"/>
        <v>41.573999999999998</v>
      </c>
      <c r="J569" s="7">
        <f t="shared" si="277"/>
        <v>52.835000000000001</v>
      </c>
      <c r="K569" s="7">
        <f t="shared" si="277"/>
        <v>54.223999999999997</v>
      </c>
      <c r="L569" s="7">
        <f t="shared" si="277"/>
        <v>58.076999999999998</v>
      </c>
      <c r="M569" s="7">
        <f t="shared" si="277"/>
        <v>49.94</v>
      </c>
      <c r="N569" s="7">
        <f t="shared" si="277"/>
        <v>74.867000000000004</v>
      </c>
      <c r="O569" s="7">
        <f t="shared" si="277"/>
        <v>48.698</v>
      </c>
      <c r="P569" s="7">
        <f t="shared" si="277"/>
        <v>136.524</v>
      </c>
      <c r="Q569" s="7">
        <f t="shared" si="277"/>
        <v>245.01300000000001</v>
      </c>
      <c r="R569" s="7">
        <f t="shared" si="277"/>
        <v>188.21600000000001</v>
      </c>
      <c r="S569" s="7">
        <f t="shared" si="277"/>
        <v>60.536000000000001</v>
      </c>
      <c r="T569" s="7">
        <f t="shared" si="277"/>
        <v>88.649000000000015</v>
      </c>
      <c r="U569" s="7">
        <f t="shared" si="277"/>
        <v>51.499000000000002</v>
      </c>
      <c r="V569" s="7">
        <f t="shared" si="277"/>
        <v>72.533000000000001</v>
      </c>
      <c r="W569" s="7">
        <f t="shared" si="277"/>
        <v>84.415000000000006</v>
      </c>
      <c r="X569" s="7">
        <f t="shared" si="277"/>
        <v>74.218116468655822</v>
      </c>
      <c r="Y569" s="7">
        <f t="shared" si="277"/>
        <v>93.144162447576775</v>
      </c>
      <c r="Z569" s="7">
        <f t="shared" si="277"/>
        <v>113.57182374343211</v>
      </c>
      <c r="AA569" s="7">
        <f t="shared" si="277"/>
        <v>156.07660339506049</v>
      </c>
      <c r="AB569" s="7">
        <f t="shared" si="277"/>
        <v>199.1708457295075</v>
      </c>
      <c r="AC569" s="7">
        <f t="shared" si="277"/>
        <v>248.56367121330823</v>
      </c>
      <c r="AD569" s="7">
        <f t="shared" si="277"/>
        <v>303.0122668765087</v>
      </c>
      <c r="AE569" s="7">
        <f t="shared" si="277"/>
        <v>354.96929937594575</v>
      </c>
      <c r="AF569" s="7">
        <f t="shared" si="277"/>
        <v>378.22268453480046</v>
      </c>
      <c r="AG569" s="7">
        <f t="shared" si="277"/>
        <v>395.36479726168852</v>
      </c>
      <c r="AH569" s="7">
        <f t="shared" si="277"/>
        <v>417.41718706526871</v>
      </c>
      <c r="AI569" s="7">
        <f t="shared" si="277"/>
        <v>432.5484531118891</v>
      </c>
      <c r="AJ569" s="7">
        <f t="shared" si="277"/>
        <v>454.49931471753291</v>
      </c>
      <c r="AK569" s="7">
        <f t="shared" si="277"/>
        <v>469.15869326862799</v>
      </c>
      <c r="AL569" s="7">
        <f t="shared" si="277"/>
        <v>487.97412698080001</v>
      </c>
      <c r="AM569" s="7">
        <f t="shared" si="277"/>
        <v>501.36315085215699</v>
      </c>
      <c r="AN569" s="7">
        <f t="shared" si="277"/>
        <v>519.31530018710475</v>
      </c>
    </row>
    <row r="570" spans="1:40">
      <c r="B570" s="151" t="s">
        <v>300</v>
      </c>
      <c r="C570" s="36" t="s">
        <v>72</v>
      </c>
      <c r="D570" s="2"/>
      <c r="E570" s="2"/>
      <c r="F570" s="2"/>
      <c r="G570" s="7">
        <f t="shared" ref="G570:AN570" si="278">G567+G556+G548</f>
        <v>-16.014999999999986</v>
      </c>
      <c r="H570" s="7">
        <f t="shared" si="278"/>
        <v>-18.366000000000014</v>
      </c>
      <c r="I570" s="7">
        <f t="shared" si="278"/>
        <v>11.260999999999981</v>
      </c>
      <c r="J570" s="7">
        <f t="shared" si="278"/>
        <v>1.38900000000001</v>
      </c>
      <c r="K570" s="7">
        <f t="shared" si="278"/>
        <v>3.8529999999999802</v>
      </c>
      <c r="L570" s="7">
        <f t="shared" si="278"/>
        <v>-8.136999999999972</v>
      </c>
      <c r="M570" s="7">
        <f t="shared" si="278"/>
        <v>24.926999999999996</v>
      </c>
      <c r="N570" s="7">
        <f t="shared" si="278"/>
        <v>-26.168999999999997</v>
      </c>
      <c r="O570" s="7">
        <f t="shared" si="278"/>
        <v>87.795999999999992</v>
      </c>
      <c r="P570" s="7">
        <f t="shared" si="278"/>
        <v>108.51900000000001</v>
      </c>
      <c r="Q570" s="7">
        <f t="shared" si="278"/>
        <v>-56.796999999999997</v>
      </c>
      <c r="R570" s="7">
        <f t="shared" si="278"/>
        <v>-127.68</v>
      </c>
      <c r="S570" s="7">
        <f t="shared" si="278"/>
        <v>28.11300000000001</v>
      </c>
      <c r="T570" s="7">
        <f t="shared" si="278"/>
        <v>-37.150000000000013</v>
      </c>
      <c r="U570" s="7">
        <f t="shared" si="278"/>
        <v>21.034000000000006</v>
      </c>
      <c r="V570" s="7">
        <f t="shared" si="278"/>
        <v>11.882000000000005</v>
      </c>
      <c r="W570" s="7">
        <f t="shared" si="278"/>
        <v>-10.196883531344184</v>
      </c>
      <c r="X570" s="7">
        <f t="shared" si="278"/>
        <v>18.926045978920953</v>
      </c>
      <c r="Y570" s="7">
        <f t="shared" si="278"/>
        <v>20.427661295855337</v>
      </c>
      <c r="Z570" s="7">
        <f t="shared" si="278"/>
        <v>42.504779651628368</v>
      </c>
      <c r="AA570" s="7">
        <f t="shared" si="278"/>
        <v>43.094242334447003</v>
      </c>
      <c r="AB570" s="7">
        <f t="shared" si="278"/>
        <v>49.392825483800706</v>
      </c>
      <c r="AC570" s="7">
        <f t="shared" si="278"/>
        <v>54.448595663200472</v>
      </c>
      <c r="AD570" s="7">
        <f t="shared" si="278"/>
        <v>51.957032499437055</v>
      </c>
      <c r="AE570" s="7">
        <f t="shared" si="278"/>
        <v>23.253385158854712</v>
      </c>
      <c r="AF570" s="7">
        <f t="shared" si="278"/>
        <v>17.142112726888044</v>
      </c>
      <c r="AG570" s="7">
        <f t="shared" si="278"/>
        <v>22.052389803580184</v>
      </c>
      <c r="AH570" s="7">
        <f t="shared" si="278"/>
        <v>15.131266046620411</v>
      </c>
      <c r="AI570" s="7">
        <f t="shared" si="278"/>
        <v>21.95086160564378</v>
      </c>
      <c r="AJ570" s="7">
        <f t="shared" si="278"/>
        <v>14.659378551095074</v>
      </c>
      <c r="AK570" s="7">
        <f t="shared" si="278"/>
        <v>18.815433712172023</v>
      </c>
      <c r="AL570" s="7">
        <f t="shared" si="278"/>
        <v>13.389023871356983</v>
      </c>
      <c r="AM570" s="7">
        <f t="shared" si="278"/>
        <v>17.952149334947777</v>
      </c>
      <c r="AN570" s="7">
        <f t="shared" si="278"/>
        <v>12.161754605281914</v>
      </c>
    </row>
    <row r="571" spans="1:40">
      <c r="B571" s="151" t="s">
        <v>301</v>
      </c>
      <c r="C571" s="36" t="s">
        <v>72</v>
      </c>
      <c r="D571" s="2"/>
      <c r="E571" s="2"/>
      <c r="F571" s="2"/>
      <c r="G571" s="212">
        <v>0</v>
      </c>
      <c r="H571" s="212">
        <v>0</v>
      </c>
      <c r="I571" s="212">
        <v>0</v>
      </c>
      <c r="J571" s="212">
        <v>0</v>
      </c>
      <c r="K571" s="212">
        <v>0</v>
      </c>
      <c r="L571" s="212">
        <v>0</v>
      </c>
      <c r="M571" s="212">
        <v>0</v>
      </c>
      <c r="N571" s="212">
        <v>0</v>
      </c>
      <c r="O571" s="212">
        <v>0</v>
      </c>
      <c r="P571" s="212">
        <v>0</v>
      </c>
      <c r="Q571" s="212">
        <v>0</v>
      </c>
      <c r="R571" s="212">
        <v>0</v>
      </c>
      <c r="S571" s="212">
        <v>0</v>
      </c>
      <c r="T571" s="213">
        <v>0</v>
      </c>
      <c r="U571" s="212">
        <v>0</v>
      </c>
      <c r="V571" s="213">
        <v>0</v>
      </c>
      <c r="W571" s="213">
        <v>0</v>
      </c>
      <c r="X571" s="213">
        <v>0</v>
      </c>
      <c r="Y571" s="213">
        <v>0</v>
      </c>
      <c r="Z571" s="213">
        <v>0</v>
      </c>
      <c r="AA571" s="213">
        <v>0</v>
      </c>
      <c r="AB571" s="213">
        <v>0</v>
      </c>
      <c r="AC571" s="213">
        <v>0</v>
      </c>
      <c r="AD571" s="213">
        <v>0</v>
      </c>
      <c r="AE571" s="213">
        <v>0</v>
      </c>
      <c r="AF571" s="213">
        <v>0</v>
      </c>
      <c r="AG571" s="213">
        <v>0</v>
      </c>
      <c r="AH571" s="213">
        <v>0</v>
      </c>
      <c r="AI571" s="213">
        <v>0</v>
      </c>
      <c r="AJ571" s="213">
        <v>0</v>
      </c>
      <c r="AK571" s="213">
        <v>0</v>
      </c>
      <c r="AL571" s="213">
        <v>0</v>
      </c>
      <c r="AM571" s="213">
        <v>0</v>
      </c>
      <c r="AN571" s="213">
        <v>0</v>
      </c>
    </row>
    <row r="572" spans="1:40">
      <c r="B572" s="195" t="s">
        <v>177</v>
      </c>
      <c r="C572" s="107"/>
      <c r="D572" s="2"/>
      <c r="E572" s="5"/>
      <c r="F572" s="5"/>
      <c r="G572" s="184" t="s">
        <v>177</v>
      </c>
      <c r="H572" s="184" t="s">
        <v>177</v>
      </c>
      <c r="I572" s="184" t="s">
        <v>177</v>
      </c>
      <c r="J572" s="184" t="s">
        <v>177</v>
      </c>
      <c r="K572" s="184" t="s">
        <v>177</v>
      </c>
      <c r="L572" s="184" t="s">
        <v>177</v>
      </c>
      <c r="M572" s="184" t="s">
        <v>177</v>
      </c>
      <c r="N572" s="184" t="s">
        <v>177</v>
      </c>
      <c r="O572" s="184" t="s">
        <v>177</v>
      </c>
      <c r="P572" s="184" t="s">
        <v>177</v>
      </c>
      <c r="Q572" s="184" t="s">
        <v>177</v>
      </c>
      <c r="R572" s="184" t="s">
        <v>177</v>
      </c>
      <c r="S572" s="184" t="s">
        <v>177</v>
      </c>
      <c r="T572" s="184" t="s">
        <v>177</v>
      </c>
      <c r="U572" s="184" t="s">
        <v>177</v>
      </c>
      <c r="V572" s="184" t="s">
        <v>177</v>
      </c>
      <c r="W572" s="184" t="s">
        <v>177</v>
      </c>
      <c r="X572" s="184" t="s">
        <v>177</v>
      </c>
      <c r="Y572" s="184" t="s">
        <v>177</v>
      </c>
      <c r="Z572" s="184" t="s">
        <v>177</v>
      </c>
      <c r="AA572" s="184" t="s">
        <v>177</v>
      </c>
      <c r="AB572" s="184" t="s">
        <v>177</v>
      </c>
      <c r="AC572" s="184" t="s">
        <v>177</v>
      </c>
      <c r="AD572" s="184" t="s">
        <v>177</v>
      </c>
      <c r="AE572" s="184" t="s">
        <v>177</v>
      </c>
      <c r="AF572" s="184" t="s">
        <v>177</v>
      </c>
      <c r="AG572" s="184" t="s">
        <v>177</v>
      </c>
      <c r="AH572" s="184" t="s">
        <v>177</v>
      </c>
      <c r="AI572" s="184" t="s">
        <v>177</v>
      </c>
      <c r="AJ572" s="184" t="s">
        <v>177</v>
      </c>
      <c r="AK572" s="184" t="s">
        <v>177</v>
      </c>
      <c r="AL572" s="184" t="s">
        <v>177</v>
      </c>
      <c r="AM572" s="184" t="s">
        <v>177</v>
      </c>
      <c r="AN572" s="184" t="s">
        <v>177</v>
      </c>
    </row>
    <row r="573" spans="1:40" s="3" customFormat="1">
      <c r="B573" s="145" t="s">
        <v>302</v>
      </c>
      <c r="C573" s="104" t="s">
        <v>72</v>
      </c>
      <c r="D573" s="4"/>
      <c r="E573" s="4"/>
      <c r="F573" s="215">
        <v>75.954999999999998</v>
      </c>
      <c r="G573" s="215">
        <v>59.94</v>
      </c>
      <c r="H573" s="215">
        <v>41.573999999999998</v>
      </c>
      <c r="I573" s="215">
        <v>52.835000000000001</v>
      </c>
      <c r="J573" s="215">
        <v>54.223999999999997</v>
      </c>
      <c r="K573" s="215">
        <v>58.076999999999998</v>
      </c>
      <c r="L573" s="215">
        <v>49.94</v>
      </c>
      <c r="M573" s="215">
        <v>74.867000000000004</v>
      </c>
      <c r="N573" s="215">
        <v>48.698</v>
      </c>
      <c r="O573" s="215">
        <v>136.524</v>
      </c>
      <c r="P573" s="215">
        <v>245.01300000000001</v>
      </c>
      <c r="Q573" s="215">
        <v>188.21600000000001</v>
      </c>
      <c r="R573" s="215">
        <v>60.536000000000001</v>
      </c>
      <c r="S573" s="215">
        <f>S569+S570</f>
        <v>88.649000000000015</v>
      </c>
      <c r="T573" s="215">
        <v>51.499000000000002</v>
      </c>
      <c r="U573" s="215">
        <v>72.533000000000001</v>
      </c>
      <c r="V573" s="215">
        <v>84.415000000000006</v>
      </c>
      <c r="W573" s="210">
        <f t="shared" ref="W573:AN573" si="279">SUM(W569:W572)</f>
        <v>74.218116468655822</v>
      </c>
      <c r="X573" s="210">
        <f t="shared" si="279"/>
        <v>93.144162447576775</v>
      </c>
      <c r="Y573" s="210">
        <f t="shared" si="279"/>
        <v>113.57182374343211</v>
      </c>
      <c r="Z573" s="210">
        <f t="shared" si="279"/>
        <v>156.07660339506049</v>
      </c>
      <c r="AA573" s="210">
        <f t="shared" si="279"/>
        <v>199.1708457295075</v>
      </c>
      <c r="AB573" s="210">
        <f t="shared" si="279"/>
        <v>248.56367121330823</v>
      </c>
      <c r="AC573" s="210">
        <f t="shared" si="279"/>
        <v>303.0122668765087</v>
      </c>
      <c r="AD573" s="210">
        <f t="shared" si="279"/>
        <v>354.96929937594575</v>
      </c>
      <c r="AE573" s="210">
        <f t="shared" si="279"/>
        <v>378.22268453480046</v>
      </c>
      <c r="AF573" s="210">
        <f t="shared" si="279"/>
        <v>395.36479726168852</v>
      </c>
      <c r="AG573" s="210">
        <f t="shared" si="279"/>
        <v>417.41718706526871</v>
      </c>
      <c r="AH573" s="210">
        <f t="shared" si="279"/>
        <v>432.5484531118891</v>
      </c>
      <c r="AI573" s="210">
        <f t="shared" si="279"/>
        <v>454.49931471753291</v>
      </c>
      <c r="AJ573" s="210">
        <f t="shared" si="279"/>
        <v>469.15869326862799</v>
      </c>
      <c r="AK573" s="210">
        <f t="shared" si="279"/>
        <v>487.97412698080001</v>
      </c>
      <c r="AL573" s="210">
        <f t="shared" si="279"/>
        <v>501.36315085215699</v>
      </c>
      <c r="AM573" s="210">
        <f t="shared" si="279"/>
        <v>519.31530018710475</v>
      </c>
      <c r="AN573" s="210">
        <f t="shared" si="279"/>
        <v>531.47705479238664</v>
      </c>
    </row>
    <row r="574" spans="1:40" s="3" customFormat="1">
      <c r="A574" s="1"/>
      <c r="B574" s="145"/>
      <c r="C574" s="104"/>
      <c r="D574" s="4"/>
      <c r="E574" s="4"/>
      <c r="F574" s="215"/>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c r="AK574" s="210"/>
      <c r="AL574" s="210"/>
      <c r="AM574" s="210"/>
      <c r="AN574" s="210"/>
    </row>
    <row r="575" spans="1:40" s="3" customFormat="1">
      <c r="A575" s="1"/>
      <c r="B575" s="198" t="s">
        <v>303</v>
      </c>
      <c r="C575" s="104"/>
      <c r="D575" s="4"/>
      <c r="E575" s="4"/>
      <c r="F575" s="215"/>
      <c r="G575" s="200">
        <f t="shared" ref="G575:AN575" si="280">G573-SUM(G569:G571)</f>
        <v>0</v>
      </c>
      <c r="H575" s="200">
        <f t="shared" si="280"/>
        <v>0</v>
      </c>
      <c r="I575" s="200">
        <f t="shared" si="280"/>
        <v>0</v>
      </c>
      <c r="J575" s="200">
        <f t="shared" si="280"/>
        <v>0</v>
      </c>
      <c r="K575" s="200">
        <f t="shared" si="280"/>
        <v>0</v>
      </c>
      <c r="L575" s="200">
        <f t="shared" si="280"/>
        <v>0</v>
      </c>
      <c r="M575" s="200">
        <f t="shared" si="280"/>
        <v>0</v>
      </c>
      <c r="N575" s="200">
        <f t="shared" si="280"/>
        <v>0</v>
      </c>
      <c r="O575" s="200">
        <f t="shared" si="280"/>
        <v>3.0000000000001137E-2</v>
      </c>
      <c r="P575" s="200">
        <f t="shared" si="280"/>
        <v>-3.0000000000001137E-2</v>
      </c>
      <c r="Q575" s="200">
        <f t="shared" si="280"/>
        <v>0</v>
      </c>
      <c r="R575" s="200">
        <f t="shared" si="280"/>
        <v>0</v>
      </c>
      <c r="S575" s="200">
        <f t="shared" si="280"/>
        <v>0</v>
      </c>
      <c r="T575" s="200">
        <f t="shared" si="280"/>
        <v>0</v>
      </c>
      <c r="U575" s="200">
        <f t="shared" si="280"/>
        <v>0</v>
      </c>
      <c r="V575" s="200">
        <f t="shared" si="280"/>
        <v>0</v>
      </c>
      <c r="W575" s="200">
        <f t="shared" si="280"/>
        <v>0</v>
      </c>
      <c r="X575" s="200">
        <f t="shared" si="280"/>
        <v>0</v>
      </c>
      <c r="Y575" s="200">
        <f t="shared" si="280"/>
        <v>0</v>
      </c>
      <c r="Z575" s="200">
        <f t="shared" si="280"/>
        <v>0</v>
      </c>
      <c r="AA575" s="200">
        <f t="shared" si="280"/>
        <v>0</v>
      </c>
      <c r="AB575" s="200">
        <f t="shared" si="280"/>
        <v>0</v>
      </c>
      <c r="AC575" s="200">
        <f t="shared" si="280"/>
        <v>0</v>
      </c>
      <c r="AD575" s="200">
        <f t="shared" si="280"/>
        <v>0</v>
      </c>
      <c r="AE575" s="200">
        <f t="shared" si="280"/>
        <v>0</v>
      </c>
      <c r="AF575" s="200">
        <f t="shared" si="280"/>
        <v>0</v>
      </c>
      <c r="AG575" s="200">
        <f t="shared" si="280"/>
        <v>0</v>
      </c>
      <c r="AH575" s="200">
        <f t="shared" si="280"/>
        <v>0</v>
      </c>
      <c r="AI575" s="200">
        <f t="shared" si="280"/>
        <v>0</v>
      </c>
      <c r="AJ575" s="200">
        <f t="shared" si="280"/>
        <v>0</v>
      </c>
      <c r="AK575" s="200">
        <f t="shared" si="280"/>
        <v>0</v>
      </c>
      <c r="AL575" s="200">
        <f t="shared" si="280"/>
        <v>0</v>
      </c>
      <c r="AM575" s="200">
        <f t="shared" si="280"/>
        <v>0</v>
      </c>
      <c r="AN575" s="200">
        <f t="shared" si="280"/>
        <v>0</v>
      </c>
    </row>
    <row r="576" spans="1:40">
      <c r="D576" s="25"/>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spans="2:40">
      <c r="B577" s="129" t="s">
        <v>304</v>
      </c>
      <c r="C577" s="104"/>
      <c r="D577" s="25"/>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spans="2:40">
      <c r="B578" s="174" t="s">
        <v>263</v>
      </c>
      <c r="C578" s="36" t="s">
        <v>72</v>
      </c>
      <c r="D578" s="2"/>
      <c r="E578" s="2"/>
      <c r="F578" s="2"/>
      <c r="G578" s="7">
        <f>G573</f>
        <v>59.94</v>
      </c>
      <c r="H578" s="7">
        <f t="shared" ref="H578:AN578" si="281">MAX(0,H573)</f>
        <v>41.573999999999998</v>
      </c>
      <c r="I578" s="7">
        <f t="shared" si="281"/>
        <v>52.835000000000001</v>
      </c>
      <c r="J578" s="7">
        <f t="shared" si="281"/>
        <v>54.223999999999997</v>
      </c>
      <c r="K578" s="7">
        <f t="shared" si="281"/>
        <v>58.076999999999998</v>
      </c>
      <c r="L578" s="7">
        <f t="shared" si="281"/>
        <v>49.94</v>
      </c>
      <c r="M578" s="7">
        <f t="shared" si="281"/>
        <v>74.867000000000004</v>
      </c>
      <c r="N578" s="7">
        <f t="shared" si="281"/>
        <v>48.698</v>
      </c>
      <c r="O578" s="7">
        <f t="shared" si="281"/>
        <v>136.524</v>
      </c>
      <c r="P578" s="7">
        <f t="shared" si="281"/>
        <v>245.01300000000001</v>
      </c>
      <c r="Q578" s="7">
        <f t="shared" si="281"/>
        <v>188.21600000000001</v>
      </c>
      <c r="R578" s="7">
        <f t="shared" si="281"/>
        <v>60.536000000000001</v>
      </c>
      <c r="S578" s="7">
        <f t="shared" si="281"/>
        <v>88.649000000000015</v>
      </c>
      <c r="T578" s="7">
        <f t="shared" si="281"/>
        <v>51.499000000000002</v>
      </c>
      <c r="U578" s="7">
        <f t="shared" si="281"/>
        <v>72.533000000000001</v>
      </c>
      <c r="V578" s="7">
        <f t="shared" si="281"/>
        <v>84.415000000000006</v>
      </c>
      <c r="W578" s="7">
        <f t="shared" si="281"/>
        <v>74.218116468655822</v>
      </c>
      <c r="X578" s="7">
        <f t="shared" si="281"/>
        <v>93.144162447576775</v>
      </c>
      <c r="Y578" s="7">
        <f t="shared" si="281"/>
        <v>113.57182374343211</v>
      </c>
      <c r="Z578" s="7">
        <f t="shared" si="281"/>
        <v>156.07660339506049</v>
      </c>
      <c r="AA578" s="7">
        <f t="shared" si="281"/>
        <v>199.1708457295075</v>
      </c>
      <c r="AB578" s="7">
        <f t="shared" si="281"/>
        <v>248.56367121330823</v>
      </c>
      <c r="AC578" s="7">
        <f t="shared" si="281"/>
        <v>303.0122668765087</v>
      </c>
      <c r="AD578" s="7">
        <f t="shared" si="281"/>
        <v>354.96929937594575</v>
      </c>
      <c r="AE578" s="7">
        <f t="shared" si="281"/>
        <v>378.22268453480046</v>
      </c>
      <c r="AF578" s="7">
        <f t="shared" si="281"/>
        <v>395.36479726168852</v>
      </c>
      <c r="AG578" s="7">
        <f t="shared" si="281"/>
        <v>417.41718706526871</v>
      </c>
      <c r="AH578" s="7">
        <f t="shared" si="281"/>
        <v>432.5484531118891</v>
      </c>
      <c r="AI578" s="7">
        <f t="shared" si="281"/>
        <v>454.49931471753291</v>
      </c>
      <c r="AJ578" s="7">
        <f t="shared" si="281"/>
        <v>469.15869326862799</v>
      </c>
      <c r="AK578" s="7">
        <f t="shared" si="281"/>
        <v>487.97412698080001</v>
      </c>
      <c r="AL578" s="7">
        <f t="shared" si="281"/>
        <v>501.36315085215699</v>
      </c>
      <c r="AM578" s="7">
        <f t="shared" si="281"/>
        <v>519.31530018710475</v>
      </c>
      <c r="AN578" s="7">
        <f t="shared" si="281"/>
        <v>531.47705479238664</v>
      </c>
    </row>
    <row r="579" spans="2:40">
      <c r="B579" s="174" t="s">
        <v>305</v>
      </c>
      <c r="C579" s="36" t="s">
        <v>72</v>
      </c>
      <c r="D579" s="25"/>
      <c r="E579" s="2"/>
      <c r="F579" s="2"/>
      <c r="G579" s="7">
        <f t="shared" ref="G579:AN579" si="282">G448</f>
        <v>30.597000000000001</v>
      </c>
      <c r="H579" s="7">
        <f t="shared" si="282"/>
        <v>49.292999999999999</v>
      </c>
      <c r="I579" s="7">
        <f t="shared" si="282"/>
        <v>49.36</v>
      </c>
      <c r="J579" s="7">
        <f t="shared" si="282"/>
        <v>42.252000000000002</v>
      </c>
      <c r="K579" s="7">
        <f t="shared" si="282"/>
        <v>46.527000000000001</v>
      </c>
      <c r="L579" s="7">
        <f t="shared" si="282"/>
        <v>33.405000000000001</v>
      </c>
      <c r="M579" s="7">
        <f t="shared" si="282"/>
        <v>31.803999999999998</v>
      </c>
      <c r="N579" s="7">
        <f t="shared" si="282"/>
        <v>25.826000000000001</v>
      </c>
      <c r="O579" s="7">
        <f t="shared" si="282"/>
        <v>30.358000000000001</v>
      </c>
      <c r="P579" s="7">
        <f t="shared" si="282"/>
        <v>50.832999999999998</v>
      </c>
      <c r="Q579" s="7">
        <f t="shared" si="282"/>
        <v>32.188000000000002</v>
      </c>
      <c r="R579" s="7">
        <f t="shared" si="282"/>
        <v>86.878</v>
      </c>
      <c r="S579" s="7">
        <f t="shared" si="282"/>
        <v>24.39</v>
      </c>
      <c r="T579" s="7">
        <f t="shared" si="282"/>
        <v>23.98</v>
      </c>
      <c r="U579" s="7">
        <f t="shared" si="282"/>
        <v>30.812000000000001</v>
      </c>
      <c r="V579" s="7">
        <f t="shared" si="282"/>
        <v>29.821000000000002</v>
      </c>
      <c r="W579" s="7">
        <f t="shared" si="282"/>
        <v>29.946107896501111</v>
      </c>
      <c r="X579" s="7">
        <f t="shared" si="282"/>
        <v>30.573345374695865</v>
      </c>
      <c r="Y579" s="7">
        <f t="shared" si="282"/>
        <v>30.601575534916694</v>
      </c>
      <c r="Z579" s="7">
        <f t="shared" si="282"/>
        <v>31.090482660994219</v>
      </c>
      <c r="AA579" s="7">
        <f t="shared" si="282"/>
        <v>32.210757858732954</v>
      </c>
      <c r="AB579" s="7">
        <f t="shared" si="282"/>
        <v>32.506894529890275</v>
      </c>
      <c r="AC579" s="7">
        <f t="shared" si="282"/>
        <v>33.518825726268098</v>
      </c>
      <c r="AD579" s="7">
        <f t="shared" si="282"/>
        <v>33.826365036198901</v>
      </c>
      <c r="AE579" s="7">
        <f t="shared" si="282"/>
        <v>34.908662391864638</v>
      </c>
      <c r="AF579" s="7">
        <f t="shared" si="282"/>
        <v>35.176320252229239</v>
      </c>
      <c r="AG579" s="7">
        <f t="shared" si="282"/>
        <v>36.327626218242578</v>
      </c>
      <c r="AH579" s="7">
        <f t="shared" si="282"/>
        <v>36.398778781659225</v>
      </c>
      <c r="AI579" s="7">
        <f t="shared" si="282"/>
        <v>37.826303652582908</v>
      </c>
      <c r="AJ579" s="7">
        <f t="shared" si="282"/>
        <v>38.102864015816579</v>
      </c>
      <c r="AK579" s="7">
        <f t="shared" si="282"/>
        <v>39.165776929027508</v>
      </c>
      <c r="AL579" s="7">
        <f t="shared" si="282"/>
        <v>39.442210870117421</v>
      </c>
      <c r="AM579" s="7">
        <f t="shared" si="282"/>
        <v>40.579111846064791</v>
      </c>
      <c r="AN579" s="7">
        <f t="shared" si="282"/>
        <v>40.854626583525864</v>
      </c>
    </row>
    <row r="580" spans="2:40">
      <c r="B580" s="174" t="s">
        <v>225</v>
      </c>
      <c r="C580" s="36" t="s">
        <v>72</v>
      </c>
      <c r="D580" s="25"/>
      <c r="E580" s="2"/>
      <c r="F580" s="2"/>
      <c r="G580" s="7">
        <f t="shared" ref="G580:AN580" si="283">G453</f>
        <v>7.6950000000000003</v>
      </c>
      <c r="H580" s="7">
        <f t="shared" si="283"/>
        <v>6.4589999999999996</v>
      </c>
      <c r="I580" s="7">
        <f t="shared" si="283"/>
        <v>7.95</v>
      </c>
      <c r="J580" s="7">
        <f t="shared" si="283"/>
        <v>6.6280000000000001</v>
      </c>
      <c r="K580" s="7">
        <f t="shared" si="283"/>
        <v>7.9829999999999997</v>
      </c>
      <c r="L580" s="7">
        <f t="shared" si="283"/>
        <v>7.1870000000000003</v>
      </c>
      <c r="M580" s="7">
        <f t="shared" si="283"/>
        <v>7.7149999999999999</v>
      </c>
      <c r="N580" s="7">
        <f t="shared" si="283"/>
        <v>7.5279999999999996</v>
      </c>
      <c r="O580" s="7">
        <f t="shared" si="283"/>
        <v>8.2829999999999995</v>
      </c>
      <c r="P580" s="7">
        <f t="shared" si="283"/>
        <v>8.5820000000000007</v>
      </c>
      <c r="Q580" s="7">
        <f t="shared" si="283"/>
        <v>8.6560000000000006</v>
      </c>
      <c r="R580" s="7">
        <f t="shared" si="283"/>
        <v>8.375</v>
      </c>
      <c r="S580" s="7">
        <f t="shared" si="283"/>
        <v>8.8089999999999993</v>
      </c>
      <c r="T580" s="7">
        <f t="shared" si="283"/>
        <v>8.1110000000000007</v>
      </c>
      <c r="U580" s="7">
        <f t="shared" si="283"/>
        <v>8.7050000000000001</v>
      </c>
      <c r="V580" s="7">
        <f t="shared" si="283"/>
        <v>8.1940000000000008</v>
      </c>
      <c r="W580" s="7">
        <f t="shared" si="283"/>
        <v>8.457902814074032</v>
      </c>
      <c r="X580" s="7">
        <f t="shared" si="283"/>
        <v>8.5171411965042871</v>
      </c>
      <c r="Y580" s="7">
        <f t="shared" si="283"/>
        <v>8.4291695687079393</v>
      </c>
      <c r="Z580" s="7">
        <f t="shared" si="283"/>
        <v>8.4225925116491993</v>
      </c>
      <c r="AA580" s="7">
        <f t="shared" si="283"/>
        <v>8.6265467283066393</v>
      </c>
      <c r="AB580" s="7">
        <f t="shared" si="283"/>
        <v>8.6636658685408108</v>
      </c>
      <c r="AC580" s="7">
        <f t="shared" si="283"/>
        <v>8.9771332678379068</v>
      </c>
      <c r="AD580" s="7">
        <f t="shared" si="283"/>
        <v>9.0139513617391493</v>
      </c>
      <c r="AE580" s="7">
        <f t="shared" si="283"/>
        <v>9.3471559993662563</v>
      </c>
      <c r="AF580" s="7">
        <f t="shared" si="283"/>
        <v>9.3724207041659628</v>
      </c>
      <c r="AG580" s="7">
        <f t="shared" si="283"/>
        <v>9.7253027728509487</v>
      </c>
      <c r="AH580" s="7">
        <f t="shared" si="283"/>
        <v>9.6947901830155363</v>
      </c>
      <c r="AI580" s="7">
        <f t="shared" si="283"/>
        <v>10.12247096846464</v>
      </c>
      <c r="AJ580" s="7">
        <f t="shared" si="283"/>
        <v>10.142998549741204</v>
      </c>
      <c r="AK580" s="7">
        <f t="shared" si="283"/>
        <v>10.523794349666387</v>
      </c>
      <c r="AL580" s="7">
        <f t="shared" si="283"/>
        <v>10.54118857573315</v>
      </c>
      <c r="AM580" s="7">
        <f t="shared" si="283"/>
        <v>10.945828083163065</v>
      </c>
      <c r="AN580" s="7">
        <f t="shared" si="283"/>
        <v>10.959688035803634</v>
      </c>
    </row>
    <row r="581" spans="2:40">
      <c r="B581" s="174" t="s">
        <v>306</v>
      </c>
      <c r="C581" s="36" t="s">
        <v>72</v>
      </c>
      <c r="D581" s="25"/>
      <c r="E581" s="2"/>
      <c r="F581" s="2"/>
      <c r="G581" s="173">
        <v>1.6819999999999999</v>
      </c>
      <c r="H581" s="173">
        <v>0.93</v>
      </c>
      <c r="I581" s="173">
        <v>0</v>
      </c>
      <c r="J581" s="173">
        <v>1.9890000000000001</v>
      </c>
      <c r="K581" s="173">
        <v>5.734</v>
      </c>
      <c r="L581" s="173">
        <v>0</v>
      </c>
      <c r="M581" s="173">
        <v>16.538</v>
      </c>
      <c r="N581" s="173">
        <v>4.431</v>
      </c>
      <c r="O581" s="173">
        <v>0</v>
      </c>
      <c r="P581" s="173">
        <v>1.2E-2</v>
      </c>
      <c r="Q581" s="173">
        <v>0</v>
      </c>
      <c r="R581" s="173">
        <v>7.0000000000000001E-3</v>
      </c>
      <c r="S581" s="173">
        <v>1.7789999999999999</v>
      </c>
      <c r="T581" s="173">
        <v>0</v>
      </c>
      <c r="U581" s="173">
        <v>4.8550000000000004</v>
      </c>
      <c r="V581" s="173">
        <v>29.085999999999999</v>
      </c>
      <c r="W581" s="213">
        <f t="shared" ref="W581:AN581" si="284">V581</f>
        <v>29.085999999999999</v>
      </c>
      <c r="X581" s="213">
        <f t="shared" si="284"/>
        <v>29.085999999999999</v>
      </c>
      <c r="Y581" s="213">
        <f t="shared" si="284"/>
        <v>29.085999999999999</v>
      </c>
      <c r="Z581" s="213">
        <f t="shared" si="284"/>
        <v>29.085999999999999</v>
      </c>
      <c r="AA581" s="213">
        <f t="shared" si="284"/>
        <v>29.085999999999999</v>
      </c>
      <c r="AB581" s="213">
        <f t="shared" si="284"/>
        <v>29.085999999999999</v>
      </c>
      <c r="AC581" s="213">
        <f t="shared" si="284"/>
        <v>29.085999999999999</v>
      </c>
      <c r="AD581" s="213">
        <f t="shared" si="284"/>
        <v>29.085999999999999</v>
      </c>
      <c r="AE581" s="213">
        <f t="shared" si="284"/>
        <v>29.085999999999999</v>
      </c>
      <c r="AF581" s="213">
        <f t="shared" si="284"/>
        <v>29.085999999999999</v>
      </c>
      <c r="AG581" s="213">
        <f t="shared" si="284"/>
        <v>29.085999999999999</v>
      </c>
      <c r="AH581" s="213">
        <f t="shared" si="284"/>
        <v>29.085999999999999</v>
      </c>
      <c r="AI581" s="213">
        <f t="shared" si="284"/>
        <v>29.085999999999999</v>
      </c>
      <c r="AJ581" s="213">
        <f t="shared" si="284"/>
        <v>29.085999999999999</v>
      </c>
      <c r="AK581" s="213">
        <f t="shared" si="284"/>
        <v>29.085999999999999</v>
      </c>
      <c r="AL581" s="213">
        <f t="shared" si="284"/>
        <v>29.085999999999999</v>
      </c>
      <c r="AM581" s="213">
        <f t="shared" si="284"/>
        <v>29.085999999999999</v>
      </c>
      <c r="AN581" s="213">
        <f t="shared" si="284"/>
        <v>29.085999999999999</v>
      </c>
    </row>
    <row r="582" spans="2:40">
      <c r="B582" s="174" t="s">
        <v>307</v>
      </c>
      <c r="C582" s="36" t="s">
        <v>72</v>
      </c>
      <c r="D582" s="25"/>
      <c r="E582" s="2"/>
      <c r="F582" s="212"/>
      <c r="G582" s="212">
        <f>32.987+210.789</f>
        <v>243.77599999999998</v>
      </c>
      <c r="H582" s="212">
        <v>115.687</v>
      </c>
      <c r="I582" s="212">
        <v>10.701000000000001</v>
      </c>
      <c r="J582" s="212">
        <v>11.019</v>
      </c>
      <c r="K582" s="212">
        <v>13.535</v>
      </c>
      <c r="L582" s="212">
        <v>13.516999999999999</v>
      </c>
      <c r="M582" s="212">
        <v>26.173999999999999</v>
      </c>
      <c r="N582" s="212">
        <v>26.646000000000001</v>
      </c>
      <c r="O582" s="212">
        <v>15.25</v>
      </c>
      <c r="P582" s="212">
        <v>0</v>
      </c>
      <c r="Q582" s="212">
        <v>13</v>
      </c>
      <c r="R582" s="212">
        <v>13</v>
      </c>
      <c r="S582" s="212">
        <v>13</v>
      </c>
      <c r="T582" s="212">
        <v>0</v>
      </c>
      <c r="U582" s="212">
        <v>0</v>
      </c>
      <c r="V582" s="212">
        <v>74.055999999999997</v>
      </c>
      <c r="W582" s="687">
        <v>0</v>
      </c>
      <c r="X582" s="213">
        <f t="shared" ref="X582:AN582" si="285">W582</f>
        <v>0</v>
      </c>
      <c r="Y582" s="213">
        <f t="shared" si="285"/>
        <v>0</v>
      </c>
      <c r="Z582" s="213">
        <f t="shared" si="285"/>
        <v>0</v>
      </c>
      <c r="AA582" s="213">
        <f t="shared" si="285"/>
        <v>0</v>
      </c>
      <c r="AB582" s="213">
        <f t="shared" si="285"/>
        <v>0</v>
      </c>
      <c r="AC582" s="213">
        <f t="shared" si="285"/>
        <v>0</v>
      </c>
      <c r="AD582" s="213">
        <f t="shared" si="285"/>
        <v>0</v>
      </c>
      <c r="AE582" s="213">
        <f t="shared" si="285"/>
        <v>0</v>
      </c>
      <c r="AF582" s="213">
        <f t="shared" si="285"/>
        <v>0</v>
      </c>
      <c r="AG582" s="213">
        <f t="shared" si="285"/>
        <v>0</v>
      </c>
      <c r="AH582" s="213">
        <f t="shared" si="285"/>
        <v>0</v>
      </c>
      <c r="AI582" s="213">
        <f t="shared" si="285"/>
        <v>0</v>
      </c>
      <c r="AJ582" s="213">
        <f t="shared" si="285"/>
        <v>0</v>
      </c>
      <c r="AK582" s="213">
        <f t="shared" si="285"/>
        <v>0</v>
      </c>
      <c r="AL582" s="213">
        <f t="shared" si="285"/>
        <v>0</v>
      </c>
      <c r="AM582" s="213">
        <f t="shared" si="285"/>
        <v>0</v>
      </c>
      <c r="AN582" s="213">
        <f t="shared" si="285"/>
        <v>0</v>
      </c>
    </row>
    <row r="583" spans="2:40">
      <c r="B583" s="174" t="s">
        <v>110</v>
      </c>
      <c r="C583" s="36" t="s">
        <v>72</v>
      </c>
      <c r="D583" s="25"/>
      <c r="E583" s="6"/>
      <c r="F583" s="6"/>
      <c r="G583" s="212">
        <v>1.913</v>
      </c>
      <c r="H583" s="212">
        <v>8.5000000000000006E-2</v>
      </c>
      <c r="I583" s="212">
        <f>141.664+0.107</f>
        <v>141.77099999999999</v>
      </c>
      <c r="J583" s="212">
        <f>49.571+53.288</f>
        <v>102.85899999999999</v>
      </c>
      <c r="K583" s="212">
        <f>33.901+127.395</f>
        <v>161.29599999999999</v>
      </c>
      <c r="L583" s="212">
        <f>0.156+175.352</f>
        <v>175.50800000000001</v>
      </c>
      <c r="M583" s="212">
        <f>0.004+148.659</f>
        <v>148.66299999999998</v>
      </c>
      <c r="N583" s="212">
        <f>0.363+212.475</f>
        <v>212.83799999999999</v>
      </c>
      <c r="O583" s="212">
        <f>0.186+91.597+2</f>
        <v>93.783000000000001</v>
      </c>
      <c r="P583" s="212">
        <f>0.489+11.613+2</f>
        <v>14.102</v>
      </c>
      <c r="Q583" s="212">
        <f>8.335</f>
        <v>8.3350000000000009</v>
      </c>
      <c r="R583" s="212">
        <f>17.913+2.48</f>
        <v>20.393000000000001</v>
      </c>
      <c r="S583" s="212">
        <f>0.234</f>
        <v>0.23400000000000001</v>
      </c>
      <c r="T583" s="212">
        <f>0.165</f>
        <v>0.16500000000000001</v>
      </c>
      <c r="U583" s="212">
        <f>35+0.017</f>
        <v>35.017000000000003</v>
      </c>
      <c r="V583" s="212">
        <f>0.017+30</f>
        <v>30.016999999999999</v>
      </c>
      <c r="W583" s="213">
        <f>V583</f>
        <v>30.016999999999999</v>
      </c>
      <c r="X583" s="213">
        <f t="shared" ref="X583:AN583" si="286">W583</f>
        <v>30.016999999999999</v>
      </c>
      <c r="Y583" s="213">
        <f t="shared" si="286"/>
        <v>30.016999999999999</v>
      </c>
      <c r="Z583" s="213">
        <f t="shared" si="286"/>
        <v>30.016999999999999</v>
      </c>
      <c r="AA583" s="213">
        <f t="shared" si="286"/>
        <v>30.016999999999999</v>
      </c>
      <c r="AB583" s="213">
        <f t="shared" si="286"/>
        <v>30.016999999999999</v>
      </c>
      <c r="AC583" s="213">
        <f t="shared" si="286"/>
        <v>30.016999999999999</v>
      </c>
      <c r="AD583" s="213">
        <f t="shared" si="286"/>
        <v>30.016999999999999</v>
      </c>
      <c r="AE583" s="213">
        <f t="shared" si="286"/>
        <v>30.016999999999999</v>
      </c>
      <c r="AF583" s="213">
        <f t="shared" si="286"/>
        <v>30.016999999999999</v>
      </c>
      <c r="AG583" s="213">
        <f t="shared" si="286"/>
        <v>30.016999999999999</v>
      </c>
      <c r="AH583" s="213">
        <f t="shared" si="286"/>
        <v>30.016999999999999</v>
      </c>
      <c r="AI583" s="213">
        <f t="shared" si="286"/>
        <v>30.016999999999999</v>
      </c>
      <c r="AJ583" s="213">
        <f t="shared" si="286"/>
        <v>30.016999999999999</v>
      </c>
      <c r="AK583" s="213">
        <f t="shared" si="286"/>
        <v>30.016999999999999</v>
      </c>
      <c r="AL583" s="213">
        <f t="shared" si="286"/>
        <v>30.016999999999999</v>
      </c>
      <c r="AM583" s="213">
        <f t="shared" si="286"/>
        <v>30.016999999999999</v>
      </c>
      <c r="AN583" s="213">
        <f t="shared" si="286"/>
        <v>30.016999999999999</v>
      </c>
    </row>
    <row r="584" spans="2:40">
      <c r="B584" s="195" t="s">
        <v>177</v>
      </c>
      <c r="C584" s="107"/>
      <c r="D584" s="27"/>
      <c r="E584" s="5"/>
      <c r="F584" s="5"/>
      <c r="G584" s="184" t="s">
        <v>177</v>
      </c>
      <c r="H584" s="184" t="s">
        <v>177</v>
      </c>
      <c r="I584" s="184" t="s">
        <v>177</v>
      </c>
      <c r="J584" s="184" t="s">
        <v>177</v>
      </c>
      <c r="K584" s="184" t="s">
        <v>177</v>
      </c>
      <c r="L584" s="184" t="s">
        <v>177</v>
      </c>
      <c r="M584" s="184" t="s">
        <v>177</v>
      </c>
      <c r="N584" s="184" t="s">
        <v>177</v>
      </c>
      <c r="O584" s="184" t="s">
        <v>177</v>
      </c>
      <c r="P584" s="184" t="s">
        <v>177</v>
      </c>
      <c r="Q584" s="184" t="s">
        <v>177</v>
      </c>
      <c r="R584" s="184" t="s">
        <v>177</v>
      </c>
      <c r="S584" s="184" t="s">
        <v>177</v>
      </c>
      <c r="T584" s="184" t="s">
        <v>177</v>
      </c>
      <c r="U584" s="184" t="s">
        <v>177</v>
      </c>
      <c r="V584" s="184" t="s">
        <v>177</v>
      </c>
      <c r="W584" s="184" t="s">
        <v>177</v>
      </c>
      <c r="X584" s="184" t="s">
        <v>177</v>
      </c>
      <c r="Y584" s="184" t="s">
        <v>177</v>
      </c>
      <c r="Z584" s="184" t="s">
        <v>177</v>
      </c>
      <c r="AA584" s="184" t="s">
        <v>177</v>
      </c>
      <c r="AB584" s="184" t="s">
        <v>177</v>
      </c>
      <c r="AC584" s="184" t="s">
        <v>177</v>
      </c>
      <c r="AD584" s="184" t="s">
        <v>177</v>
      </c>
      <c r="AE584" s="184" t="s">
        <v>177</v>
      </c>
      <c r="AF584" s="184" t="s">
        <v>177</v>
      </c>
      <c r="AG584" s="184" t="s">
        <v>177</v>
      </c>
      <c r="AH584" s="184" t="s">
        <v>177</v>
      </c>
      <c r="AI584" s="184" t="s">
        <v>177</v>
      </c>
      <c r="AJ584" s="184" t="s">
        <v>177</v>
      </c>
      <c r="AK584" s="184" t="s">
        <v>177</v>
      </c>
      <c r="AL584" s="184" t="s">
        <v>177</v>
      </c>
      <c r="AM584" s="184" t="s">
        <v>177</v>
      </c>
      <c r="AN584" s="184" t="s">
        <v>177</v>
      </c>
    </row>
    <row r="585" spans="2:40" s="3" customFormat="1">
      <c r="B585" s="197" t="s">
        <v>308</v>
      </c>
      <c r="C585" s="36" t="s">
        <v>72</v>
      </c>
      <c r="D585" s="26"/>
      <c r="E585" s="4"/>
      <c r="F585" s="4"/>
      <c r="G585" s="210">
        <f t="shared" ref="G585:AN585" si="287">SUM(G578:G584)</f>
        <v>345.60300000000001</v>
      </c>
      <c r="H585" s="210">
        <f t="shared" si="287"/>
        <v>214.02799999999999</v>
      </c>
      <c r="I585" s="210">
        <f t="shared" si="287"/>
        <v>262.61699999999996</v>
      </c>
      <c r="J585" s="210">
        <f t="shared" si="287"/>
        <v>218.971</v>
      </c>
      <c r="K585" s="210">
        <f t="shared" si="287"/>
        <v>293.15199999999999</v>
      </c>
      <c r="L585" s="210">
        <f t="shared" si="287"/>
        <v>279.55700000000002</v>
      </c>
      <c r="M585" s="210">
        <f t="shared" si="287"/>
        <v>305.76099999999997</v>
      </c>
      <c r="N585" s="210">
        <f t="shared" si="287"/>
        <v>325.96699999999998</v>
      </c>
      <c r="O585" s="210">
        <f t="shared" si="287"/>
        <v>284.19799999999998</v>
      </c>
      <c r="P585" s="210">
        <f t="shared" si="287"/>
        <v>318.54199999999997</v>
      </c>
      <c r="Q585" s="210">
        <f t="shared" si="287"/>
        <v>250.39500000000001</v>
      </c>
      <c r="R585" s="210">
        <f t="shared" si="287"/>
        <v>189.18899999999999</v>
      </c>
      <c r="S585" s="210">
        <f t="shared" si="287"/>
        <v>136.86100000000002</v>
      </c>
      <c r="T585" s="210">
        <f t="shared" si="287"/>
        <v>83.75500000000001</v>
      </c>
      <c r="U585" s="210">
        <f t="shared" si="287"/>
        <v>151.922</v>
      </c>
      <c r="V585" s="210">
        <f t="shared" si="287"/>
        <v>255.589</v>
      </c>
      <c r="W585" s="210">
        <f t="shared" si="287"/>
        <v>171.72512717923098</v>
      </c>
      <c r="X585" s="210">
        <f t="shared" si="287"/>
        <v>191.33764901877691</v>
      </c>
      <c r="Y585" s="210">
        <f t="shared" si="287"/>
        <v>211.70556884705672</v>
      </c>
      <c r="Z585" s="210">
        <f t="shared" si="287"/>
        <v>254.69267856770392</v>
      </c>
      <c r="AA585" s="210">
        <f t="shared" si="287"/>
        <v>299.11115031654708</v>
      </c>
      <c r="AB585" s="210">
        <f t="shared" si="287"/>
        <v>348.8372316117393</v>
      </c>
      <c r="AC585" s="210">
        <f t="shared" si="287"/>
        <v>404.61122587061476</v>
      </c>
      <c r="AD585" s="210">
        <f t="shared" si="287"/>
        <v>456.91261577388383</v>
      </c>
      <c r="AE585" s="210">
        <f t="shared" si="287"/>
        <v>481.58150292603136</v>
      </c>
      <c r="AF585" s="210">
        <f t="shared" si="287"/>
        <v>499.01653821808372</v>
      </c>
      <c r="AG585" s="210">
        <f t="shared" si="287"/>
        <v>522.57311605636232</v>
      </c>
      <c r="AH585" s="210">
        <f t="shared" si="287"/>
        <v>537.74502207656394</v>
      </c>
      <c r="AI585" s="210">
        <f t="shared" si="287"/>
        <v>561.55108933858048</v>
      </c>
      <c r="AJ585" s="210">
        <f t="shared" si="287"/>
        <v>576.50755583418584</v>
      </c>
      <c r="AK585" s="210">
        <f t="shared" si="287"/>
        <v>596.76669825949386</v>
      </c>
      <c r="AL585" s="210">
        <f t="shared" si="287"/>
        <v>610.44955029800758</v>
      </c>
      <c r="AM585" s="210">
        <f t="shared" si="287"/>
        <v>629.94324011633273</v>
      </c>
      <c r="AN585" s="210">
        <f t="shared" si="287"/>
        <v>642.39436941171618</v>
      </c>
    </row>
    <row r="586" spans="2:40">
      <c r="B586" s="151"/>
      <c r="D586" s="25"/>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spans="2:40">
      <c r="B587" s="174" t="s">
        <v>309</v>
      </c>
      <c r="C587" s="36" t="s">
        <v>72</v>
      </c>
      <c r="D587" s="25"/>
      <c r="E587" s="2"/>
      <c r="F587" s="2"/>
      <c r="G587" s="7">
        <f t="shared" ref="G587:AN587" si="288">G382</f>
        <v>1447.5419999999999</v>
      </c>
      <c r="H587" s="7">
        <f t="shared" si="288"/>
        <v>1436.2570000000001</v>
      </c>
      <c r="I587" s="7">
        <f t="shared" si="288"/>
        <v>1531.5039999999999</v>
      </c>
      <c r="J587" s="7">
        <f t="shared" si="288"/>
        <v>1528.902</v>
      </c>
      <c r="K587" s="7">
        <f t="shared" si="288"/>
        <v>1441.2570000000001</v>
      </c>
      <c r="L587" s="7">
        <f t="shared" si="288"/>
        <v>1370.7619999999999</v>
      </c>
      <c r="M587" s="7">
        <f t="shared" si="288"/>
        <v>1366.143</v>
      </c>
      <c r="N587" s="7">
        <f t="shared" si="288"/>
        <v>1442.68</v>
      </c>
      <c r="O587" s="7">
        <f t="shared" si="288"/>
        <v>1533.8910000000001</v>
      </c>
      <c r="P587" s="7">
        <f t="shared" si="288"/>
        <v>1652.4760000000001</v>
      </c>
      <c r="Q587" s="7">
        <f t="shared" si="288"/>
        <v>1696.837</v>
      </c>
      <c r="R587" s="7">
        <f t="shared" si="288"/>
        <v>1816.961</v>
      </c>
      <c r="S587" s="7">
        <f t="shared" si="288"/>
        <v>1847.0050000000001</v>
      </c>
      <c r="T587" s="7">
        <f t="shared" si="288"/>
        <v>1877.4079999999999</v>
      </c>
      <c r="U587" s="7">
        <f t="shared" si="288"/>
        <v>1653.049</v>
      </c>
      <c r="V587" s="7">
        <f t="shared" si="288"/>
        <v>1593.41</v>
      </c>
      <c r="W587" s="7">
        <f t="shared" si="288"/>
        <v>1369.2963333333335</v>
      </c>
      <c r="X587" s="7">
        <f t="shared" si="288"/>
        <v>1364.6531222222222</v>
      </c>
      <c r="Y587" s="7">
        <f t="shared" si="288"/>
        <v>1353.4645680148149</v>
      </c>
      <c r="Z587" s="7">
        <f t="shared" si="288"/>
        <v>1342.818177614321</v>
      </c>
      <c r="AA587" s="7">
        <f t="shared" si="288"/>
        <v>1334.1611125418435</v>
      </c>
      <c r="AB587" s="7">
        <f t="shared" si="288"/>
        <v>1325.5304856091154</v>
      </c>
      <c r="AC587" s="7">
        <f t="shared" si="288"/>
        <v>1318.9158293910516</v>
      </c>
      <c r="AD587" s="7">
        <f t="shared" si="288"/>
        <v>1312.24819866487</v>
      </c>
      <c r="AE587" s="7">
        <f t="shared" si="288"/>
        <v>1307.6340886431028</v>
      </c>
      <c r="AF587" s="7">
        <f t="shared" si="288"/>
        <v>1302.8309478355879</v>
      </c>
      <c r="AG587" s="7">
        <f t="shared" si="288"/>
        <v>1300.1211967532076</v>
      </c>
      <c r="AH587" s="7">
        <f t="shared" si="288"/>
        <v>1297.1380690594126</v>
      </c>
      <c r="AI587" s="7">
        <f t="shared" si="288"/>
        <v>1296.2978784582047</v>
      </c>
      <c r="AJ587" s="7">
        <f t="shared" si="288"/>
        <v>1295.0993561995049</v>
      </c>
      <c r="AK587" s="7">
        <f t="shared" si="288"/>
        <v>1295.8284760105225</v>
      </c>
      <c r="AL587" s="7">
        <f t="shared" si="288"/>
        <v>1296.1223358399202</v>
      </c>
      <c r="AM587" s="7">
        <f t="shared" si="288"/>
        <v>1298.401497725237</v>
      </c>
      <c r="AN587" s="7">
        <f t="shared" si="288"/>
        <v>1300.1668896731101</v>
      </c>
    </row>
    <row r="588" spans="2:40">
      <c r="B588" s="174" t="s">
        <v>310</v>
      </c>
      <c r="C588" s="36" t="s">
        <v>72</v>
      </c>
      <c r="D588" s="2"/>
      <c r="E588" s="2"/>
      <c r="F588" s="2"/>
      <c r="G588" s="7">
        <f t="shared" ref="G588:AN588" si="289">G397</f>
        <v>788.63199999999995</v>
      </c>
      <c r="H588" s="7">
        <f t="shared" si="289"/>
        <v>798.40800000000002</v>
      </c>
      <c r="I588" s="7">
        <f t="shared" si="289"/>
        <v>802.87300000000005</v>
      </c>
      <c r="J588" s="7">
        <f t="shared" si="289"/>
        <v>649.53099999999995</v>
      </c>
      <c r="K588" s="7">
        <f t="shared" si="289"/>
        <v>645.79200000000003</v>
      </c>
      <c r="L588" s="7">
        <f t="shared" si="289"/>
        <v>627.06500000000005</v>
      </c>
      <c r="M588" s="7">
        <f t="shared" si="289"/>
        <v>621.12400000000002</v>
      </c>
      <c r="N588" s="7">
        <f t="shared" si="289"/>
        <v>623.89700000000005</v>
      </c>
      <c r="O588" s="7">
        <f t="shared" si="289"/>
        <v>615.57399999999996</v>
      </c>
      <c r="P588" s="7">
        <f t="shared" si="289"/>
        <v>566.553</v>
      </c>
      <c r="Q588" s="7">
        <f t="shared" si="289"/>
        <v>562.86699999999996</v>
      </c>
      <c r="R588" s="7">
        <f t="shared" si="289"/>
        <v>544.60699999999997</v>
      </c>
      <c r="S588" s="7">
        <f t="shared" si="289"/>
        <v>549.87599999999998</v>
      </c>
      <c r="T588" s="7">
        <f t="shared" si="289"/>
        <v>555.81299999999999</v>
      </c>
      <c r="U588" s="7">
        <f t="shared" si="289"/>
        <v>561.56299999999999</v>
      </c>
      <c r="V588" s="7">
        <f t="shared" si="289"/>
        <v>555.255</v>
      </c>
      <c r="W588" s="7">
        <f t="shared" si="289"/>
        <v>552.32954958918231</v>
      </c>
      <c r="X588" s="7">
        <f t="shared" si="289"/>
        <v>549.45965784298244</v>
      </c>
      <c r="Y588" s="7">
        <f t="shared" si="289"/>
        <v>546.70036762602558</v>
      </c>
      <c r="Z588" s="7">
        <f t="shared" si="289"/>
        <v>543.99761658265572</v>
      </c>
      <c r="AA588" s="7">
        <f t="shared" si="289"/>
        <v>541.53383380855007</v>
      </c>
      <c r="AB588" s="7">
        <f t="shared" si="289"/>
        <v>539.06888251200678</v>
      </c>
      <c r="AC588" s="7">
        <f t="shared" si="289"/>
        <v>536.8515794100116</v>
      </c>
      <c r="AD588" s="7">
        <f t="shared" si="289"/>
        <v>534.62853015965368</v>
      </c>
      <c r="AE588" s="7">
        <f t="shared" si="289"/>
        <v>532.66289962926999</v>
      </c>
      <c r="AF588" s="7">
        <f t="shared" si="289"/>
        <v>530.67962384462055</v>
      </c>
      <c r="AG588" s="7">
        <f t="shared" si="289"/>
        <v>528.96344404024865</v>
      </c>
      <c r="AH588" s="7">
        <f t="shared" si="289"/>
        <v>527.22381139695597</v>
      </c>
      <c r="AI588" s="7">
        <f t="shared" si="289"/>
        <v>525.76192683928844</v>
      </c>
      <c r="AJ588" s="7">
        <f t="shared" si="289"/>
        <v>524.27049858133239</v>
      </c>
      <c r="AK588" s="7">
        <f t="shared" si="289"/>
        <v>523.03415918597989</v>
      </c>
      <c r="AL588" s="7">
        <f t="shared" si="289"/>
        <v>521.76230624476489</v>
      </c>
      <c r="AM588" s="7">
        <f t="shared" si="289"/>
        <v>520.75615188747281</v>
      </c>
      <c r="AN588" s="7">
        <f t="shared" si="289"/>
        <v>519.70817664401034</v>
      </c>
    </row>
    <row r="589" spans="2:40">
      <c r="B589" s="174" t="s">
        <v>306</v>
      </c>
      <c r="C589" s="36" t="s">
        <v>72</v>
      </c>
      <c r="D589" s="25"/>
      <c r="E589" s="2"/>
      <c r="F589" s="2"/>
      <c r="G589" s="173">
        <v>0</v>
      </c>
      <c r="H589" s="173">
        <v>4.843</v>
      </c>
      <c r="I589" s="173">
        <v>1.8160000000000001</v>
      </c>
      <c r="J589" s="173">
        <v>6.8769999999999998</v>
      </c>
      <c r="K589" s="173">
        <v>5.6210000000000004</v>
      </c>
      <c r="L589" s="173">
        <v>9.74</v>
      </c>
      <c r="M589" s="173">
        <v>14.314</v>
      </c>
      <c r="N589" s="173">
        <v>19.372</v>
      </c>
      <c r="O589" s="173">
        <v>20.457000000000001</v>
      </c>
      <c r="P589" s="173">
        <v>25.465</v>
      </c>
      <c r="Q589" s="173">
        <v>27.882000000000001</v>
      </c>
      <c r="R589" s="173">
        <v>52.35</v>
      </c>
      <c r="S589" s="173">
        <v>49.493000000000002</v>
      </c>
      <c r="T589" s="173">
        <v>48.750999999999998</v>
      </c>
      <c r="U589" s="173">
        <v>17.757000000000001</v>
      </c>
      <c r="V589" s="173">
        <v>44.423999999999999</v>
      </c>
      <c r="W589" s="213">
        <f t="shared" ref="W589:AN589" si="290">V589</f>
        <v>44.423999999999999</v>
      </c>
      <c r="X589" s="213">
        <f t="shared" si="290"/>
        <v>44.423999999999999</v>
      </c>
      <c r="Y589" s="213">
        <f t="shared" si="290"/>
        <v>44.423999999999999</v>
      </c>
      <c r="Z589" s="213">
        <f t="shared" si="290"/>
        <v>44.423999999999999</v>
      </c>
      <c r="AA589" s="213">
        <f t="shared" si="290"/>
        <v>44.423999999999999</v>
      </c>
      <c r="AB589" s="213">
        <f t="shared" si="290"/>
        <v>44.423999999999999</v>
      </c>
      <c r="AC589" s="213">
        <f t="shared" si="290"/>
        <v>44.423999999999999</v>
      </c>
      <c r="AD589" s="213">
        <f t="shared" si="290"/>
        <v>44.423999999999999</v>
      </c>
      <c r="AE589" s="213">
        <f t="shared" si="290"/>
        <v>44.423999999999999</v>
      </c>
      <c r="AF589" s="213">
        <f t="shared" si="290"/>
        <v>44.423999999999999</v>
      </c>
      <c r="AG589" s="213">
        <f t="shared" si="290"/>
        <v>44.423999999999999</v>
      </c>
      <c r="AH589" s="213">
        <f t="shared" si="290"/>
        <v>44.423999999999999</v>
      </c>
      <c r="AI589" s="213">
        <f t="shared" si="290"/>
        <v>44.423999999999999</v>
      </c>
      <c r="AJ589" s="213">
        <f t="shared" si="290"/>
        <v>44.423999999999999</v>
      </c>
      <c r="AK589" s="213">
        <f t="shared" si="290"/>
        <v>44.423999999999999</v>
      </c>
      <c r="AL589" s="213">
        <f t="shared" si="290"/>
        <v>44.423999999999999</v>
      </c>
      <c r="AM589" s="213">
        <f t="shared" si="290"/>
        <v>44.423999999999999</v>
      </c>
      <c r="AN589" s="213">
        <f t="shared" si="290"/>
        <v>44.423999999999999</v>
      </c>
    </row>
    <row r="590" spans="2:40">
      <c r="B590" s="174" t="s">
        <v>311</v>
      </c>
      <c r="C590" s="36" t="s">
        <v>72</v>
      </c>
      <c r="D590" s="25"/>
      <c r="E590" s="6"/>
      <c r="F590" s="6"/>
      <c r="G590" s="212">
        <v>2.089</v>
      </c>
      <c r="H590" s="212">
        <v>1.5529999999999999</v>
      </c>
      <c r="I590" s="212">
        <v>0</v>
      </c>
      <c r="J590" s="212">
        <v>0</v>
      </c>
      <c r="K590" s="212">
        <v>0</v>
      </c>
      <c r="L590" s="212">
        <v>0</v>
      </c>
      <c r="M590" s="212">
        <v>0</v>
      </c>
      <c r="N590" s="212">
        <v>42.136000000000003</v>
      </c>
      <c r="O590" s="212">
        <v>42.484999999999999</v>
      </c>
      <c r="P590" s="212">
        <v>43.2</v>
      </c>
      <c r="Q590" s="212">
        <v>46.091999999999999</v>
      </c>
      <c r="R590" s="212">
        <v>0</v>
      </c>
      <c r="S590" s="212">
        <v>0</v>
      </c>
      <c r="T590" s="212">
        <v>0</v>
      </c>
      <c r="U590" s="212">
        <v>0</v>
      </c>
      <c r="V590" s="212">
        <v>0</v>
      </c>
      <c r="W590" s="213">
        <f t="shared" ref="W590:AN590" si="291">V590</f>
        <v>0</v>
      </c>
      <c r="X590" s="213">
        <f t="shared" si="291"/>
        <v>0</v>
      </c>
      <c r="Y590" s="213">
        <f t="shared" si="291"/>
        <v>0</v>
      </c>
      <c r="Z590" s="213">
        <f t="shared" si="291"/>
        <v>0</v>
      </c>
      <c r="AA590" s="213">
        <f t="shared" si="291"/>
        <v>0</v>
      </c>
      <c r="AB590" s="213">
        <f t="shared" si="291"/>
        <v>0</v>
      </c>
      <c r="AC590" s="213">
        <f t="shared" si="291"/>
        <v>0</v>
      </c>
      <c r="AD590" s="213">
        <f t="shared" si="291"/>
        <v>0</v>
      </c>
      <c r="AE590" s="213">
        <f t="shared" si="291"/>
        <v>0</v>
      </c>
      <c r="AF590" s="213">
        <f t="shared" si="291"/>
        <v>0</v>
      </c>
      <c r="AG590" s="213">
        <f t="shared" si="291"/>
        <v>0</v>
      </c>
      <c r="AH590" s="213">
        <f t="shared" si="291"/>
        <v>0</v>
      </c>
      <c r="AI590" s="213">
        <f t="shared" si="291"/>
        <v>0</v>
      </c>
      <c r="AJ590" s="213">
        <f t="shared" si="291"/>
        <v>0</v>
      </c>
      <c r="AK590" s="213">
        <f t="shared" si="291"/>
        <v>0</v>
      </c>
      <c r="AL590" s="213">
        <f t="shared" si="291"/>
        <v>0</v>
      </c>
      <c r="AM590" s="213">
        <f t="shared" si="291"/>
        <v>0</v>
      </c>
      <c r="AN590" s="213">
        <f t="shared" si="291"/>
        <v>0</v>
      </c>
    </row>
    <row r="591" spans="2:40">
      <c r="B591" s="174" t="s">
        <v>312</v>
      </c>
      <c r="C591" s="36" t="s">
        <v>72</v>
      </c>
      <c r="D591" s="25"/>
      <c r="E591" s="6"/>
      <c r="F591" s="6"/>
      <c r="G591" s="212">
        <v>43.4</v>
      </c>
      <c r="H591" s="212">
        <v>40.659999999999997</v>
      </c>
      <c r="I591" s="212">
        <v>58.667000000000002</v>
      </c>
      <c r="J591" s="212">
        <v>72.400000000000006</v>
      </c>
      <c r="K591" s="212">
        <v>74.557000000000002</v>
      </c>
      <c r="L591" s="212">
        <v>124.36799999999999</v>
      </c>
      <c r="M591" s="212">
        <v>124.38</v>
      </c>
      <c r="N591" s="212">
        <v>119.72</v>
      </c>
      <c r="O591" s="212">
        <v>111.42</v>
      </c>
      <c r="P591" s="212">
        <v>108.803</v>
      </c>
      <c r="Q591" s="212">
        <v>108.812</v>
      </c>
      <c r="R591" s="212">
        <v>78.8</v>
      </c>
      <c r="S591" s="212">
        <v>79.813999999999993</v>
      </c>
      <c r="T591" s="212">
        <v>78.724999999999994</v>
      </c>
      <c r="U591" s="212">
        <v>80.486999999999995</v>
      </c>
      <c r="V591" s="212">
        <v>20.75</v>
      </c>
      <c r="W591" s="213">
        <f t="shared" ref="W591:AN591" si="292">V591</f>
        <v>20.75</v>
      </c>
      <c r="X591" s="213">
        <f t="shared" si="292"/>
        <v>20.75</v>
      </c>
      <c r="Y591" s="213">
        <f t="shared" si="292"/>
        <v>20.75</v>
      </c>
      <c r="Z591" s="213">
        <f t="shared" si="292"/>
        <v>20.75</v>
      </c>
      <c r="AA591" s="213">
        <f t="shared" si="292"/>
        <v>20.75</v>
      </c>
      <c r="AB591" s="213">
        <f t="shared" si="292"/>
        <v>20.75</v>
      </c>
      <c r="AC591" s="213">
        <f t="shared" si="292"/>
        <v>20.75</v>
      </c>
      <c r="AD591" s="213">
        <f t="shared" si="292"/>
        <v>20.75</v>
      </c>
      <c r="AE591" s="213">
        <f t="shared" si="292"/>
        <v>20.75</v>
      </c>
      <c r="AF591" s="213">
        <f t="shared" si="292"/>
        <v>20.75</v>
      </c>
      <c r="AG591" s="213">
        <f t="shared" si="292"/>
        <v>20.75</v>
      </c>
      <c r="AH591" s="213">
        <f t="shared" si="292"/>
        <v>20.75</v>
      </c>
      <c r="AI591" s="213">
        <f t="shared" si="292"/>
        <v>20.75</v>
      </c>
      <c r="AJ591" s="213">
        <f t="shared" si="292"/>
        <v>20.75</v>
      </c>
      <c r="AK591" s="213">
        <f t="shared" si="292"/>
        <v>20.75</v>
      </c>
      <c r="AL591" s="213">
        <f t="shared" si="292"/>
        <v>20.75</v>
      </c>
      <c r="AM591" s="213">
        <f t="shared" si="292"/>
        <v>20.75</v>
      </c>
      <c r="AN591" s="213">
        <f t="shared" si="292"/>
        <v>20.75</v>
      </c>
    </row>
    <row r="592" spans="2:40">
      <c r="B592" s="174" t="s">
        <v>313</v>
      </c>
      <c r="C592" s="36" t="s">
        <v>72</v>
      </c>
      <c r="D592" s="25"/>
      <c r="E592" s="6"/>
      <c r="F592" s="6"/>
      <c r="G592" s="212">
        <v>0</v>
      </c>
      <c r="H592" s="212">
        <v>0</v>
      </c>
      <c r="I592" s="212">
        <v>51.262</v>
      </c>
      <c r="J592" s="212">
        <v>51.966999999999999</v>
      </c>
      <c r="K592" s="212">
        <v>53.164999999999999</v>
      </c>
      <c r="L592" s="212">
        <v>126.755</v>
      </c>
      <c r="M592" s="212">
        <v>123.88200000000001</v>
      </c>
      <c r="N592" s="212">
        <v>126.41200000000001</v>
      </c>
      <c r="O592" s="212">
        <v>122.143</v>
      </c>
      <c r="P592" s="212">
        <v>122.538</v>
      </c>
      <c r="Q592" s="212">
        <v>122.693</v>
      </c>
      <c r="R592" s="212">
        <v>98.578999999999994</v>
      </c>
      <c r="S592" s="212">
        <v>119.886</v>
      </c>
      <c r="T592" s="212">
        <v>113.907</v>
      </c>
      <c r="U592" s="212">
        <v>125.84</v>
      </c>
      <c r="V592" s="212">
        <v>113.02500000000001</v>
      </c>
      <c r="W592" s="213">
        <f t="shared" ref="W592:AN592" si="293">V592</f>
        <v>113.02500000000001</v>
      </c>
      <c r="X592" s="213">
        <f t="shared" si="293"/>
        <v>113.02500000000001</v>
      </c>
      <c r="Y592" s="213">
        <f t="shared" si="293"/>
        <v>113.02500000000001</v>
      </c>
      <c r="Z592" s="213">
        <f t="shared" si="293"/>
        <v>113.02500000000001</v>
      </c>
      <c r="AA592" s="213">
        <f t="shared" si="293"/>
        <v>113.02500000000001</v>
      </c>
      <c r="AB592" s="213">
        <f t="shared" si="293"/>
        <v>113.02500000000001</v>
      </c>
      <c r="AC592" s="213">
        <f t="shared" si="293"/>
        <v>113.02500000000001</v>
      </c>
      <c r="AD592" s="213">
        <f t="shared" si="293"/>
        <v>113.02500000000001</v>
      </c>
      <c r="AE592" s="213">
        <f t="shared" si="293"/>
        <v>113.02500000000001</v>
      </c>
      <c r="AF592" s="213">
        <f t="shared" si="293"/>
        <v>113.02500000000001</v>
      </c>
      <c r="AG592" s="213">
        <f t="shared" si="293"/>
        <v>113.02500000000001</v>
      </c>
      <c r="AH592" s="213">
        <f t="shared" si="293"/>
        <v>113.02500000000001</v>
      </c>
      <c r="AI592" s="213">
        <f t="shared" si="293"/>
        <v>113.02500000000001</v>
      </c>
      <c r="AJ592" s="213">
        <f t="shared" si="293"/>
        <v>113.02500000000001</v>
      </c>
      <c r="AK592" s="213">
        <f t="shared" si="293"/>
        <v>113.02500000000001</v>
      </c>
      <c r="AL592" s="213">
        <f t="shared" si="293"/>
        <v>113.02500000000001</v>
      </c>
      <c r="AM592" s="213">
        <f t="shared" si="293"/>
        <v>113.02500000000001</v>
      </c>
      <c r="AN592" s="213">
        <f t="shared" si="293"/>
        <v>113.02500000000001</v>
      </c>
    </row>
    <row r="593" spans="1:40">
      <c r="B593" s="174" t="s">
        <v>110</v>
      </c>
      <c r="C593" s="36" t="s">
        <v>72</v>
      </c>
      <c r="D593" s="25"/>
      <c r="E593" s="6"/>
      <c r="F593" s="6"/>
      <c r="G593" s="212">
        <v>48.768000000000001</v>
      </c>
      <c r="H593" s="212">
        <v>56.201000000000001</v>
      </c>
      <c r="I593" s="212">
        <f>10.222+54.631+77</f>
        <v>141.85300000000001</v>
      </c>
      <c r="J593" s="212">
        <f>227+10.574+23.1</f>
        <v>260.67400000000004</v>
      </c>
      <c r="K593" s="212">
        <f>11.094+2.25+207</f>
        <v>220.34399999999999</v>
      </c>
      <c r="L593" s="212">
        <f>233+11.605+4.109</f>
        <v>248.714</v>
      </c>
      <c r="M593" s="212">
        <f>12.176+2+4.843+181</f>
        <v>200.01900000000001</v>
      </c>
      <c r="N593" s="212">
        <f>17.183+12.737+11.598+2</f>
        <v>43.518000000000001</v>
      </c>
      <c r="O593" s="212">
        <f>13.363+5.3</f>
        <v>18.663</v>
      </c>
      <c r="P593" s="212">
        <f>13.978+11.943</f>
        <v>25.920999999999999</v>
      </c>
      <c r="Q593" s="212">
        <f>14.27+8.732</f>
        <v>23.001999999999999</v>
      </c>
      <c r="R593" s="212">
        <f>0.55</f>
        <v>0.55000000000000004</v>
      </c>
      <c r="S593" s="212">
        <f>16.371</f>
        <v>16.370999999999999</v>
      </c>
      <c r="T593" s="212">
        <f>0.721+0.604</f>
        <v>1.325</v>
      </c>
      <c r="U593" s="212">
        <f>2.708+16.914</f>
        <v>19.622</v>
      </c>
      <c r="V593" s="212">
        <f>19.911+2.634</f>
        <v>22.545000000000002</v>
      </c>
      <c r="W593" s="213">
        <f t="shared" ref="W593:AN593" si="294">V593</f>
        <v>22.545000000000002</v>
      </c>
      <c r="X593" s="213">
        <f t="shared" si="294"/>
        <v>22.545000000000002</v>
      </c>
      <c r="Y593" s="213">
        <f t="shared" si="294"/>
        <v>22.545000000000002</v>
      </c>
      <c r="Z593" s="213">
        <f t="shared" si="294"/>
        <v>22.545000000000002</v>
      </c>
      <c r="AA593" s="213">
        <f t="shared" si="294"/>
        <v>22.545000000000002</v>
      </c>
      <c r="AB593" s="213">
        <f t="shared" si="294"/>
        <v>22.545000000000002</v>
      </c>
      <c r="AC593" s="213">
        <f t="shared" si="294"/>
        <v>22.545000000000002</v>
      </c>
      <c r="AD593" s="213">
        <f t="shared" si="294"/>
        <v>22.545000000000002</v>
      </c>
      <c r="AE593" s="213">
        <f t="shared" si="294"/>
        <v>22.545000000000002</v>
      </c>
      <c r="AF593" s="213">
        <f t="shared" si="294"/>
        <v>22.545000000000002</v>
      </c>
      <c r="AG593" s="213">
        <f t="shared" si="294"/>
        <v>22.545000000000002</v>
      </c>
      <c r="AH593" s="213">
        <f t="shared" si="294"/>
        <v>22.545000000000002</v>
      </c>
      <c r="AI593" s="213">
        <f t="shared" si="294"/>
        <v>22.545000000000002</v>
      </c>
      <c r="AJ593" s="213">
        <f t="shared" si="294"/>
        <v>22.545000000000002</v>
      </c>
      <c r="AK593" s="213">
        <f t="shared" si="294"/>
        <v>22.545000000000002</v>
      </c>
      <c r="AL593" s="213">
        <f t="shared" si="294"/>
        <v>22.545000000000002</v>
      </c>
      <c r="AM593" s="213">
        <f t="shared" si="294"/>
        <v>22.545000000000002</v>
      </c>
      <c r="AN593" s="213">
        <f t="shared" si="294"/>
        <v>22.545000000000002</v>
      </c>
    </row>
    <row r="594" spans="1:40">
      <c r="B594" s="195" t="s">
        <v>177</v>
      </c>
      <c r="C594" s="107"/>
      <c r="D594" s="27"/>
      <c r="E594" s="5"/>
      <c r="F594" s="5"/>
      <c r="G594" s="184" t="s">
        <v>177</v>
      </c>
      <c r="H594" s="184" t="s">
        <v>177</v>
      </c>
      <c r="I594" s="184" t="s">
        <v>177</v>
      </c>
      <c r="J594" s="184" t="s">
        <v>177</v>
      </c>
      <c r="K594" s="184" t="s">
        <v>177</v>
      </c>
      <c r="L594" s="184" t="s">
        <v>177</v>
      </c>
      <c r="M594" s="184" t="s">
        <v>177</v>
      </c>
      <c r="N594" s="184" t="s">
        <v>177</v>
      </c>
      <c r="O594" s="184" t="s">
        <v>177</v>
      </c>
      <c r="P594" s="184" t="s">
        <v>177</v>
      </c>
      <c r="Q594" s="184" t="s">
        <v>177</v>
      </c>
      <c r="R594" s="184" t="s">
        <v>177</v>
      </c>
      <c r="S594" s="184" t="s">
        <v>177</v>
      </c>
      <c r="T594" s="184" t="s">
        <v>177</v>
      </c>
      <c r="U594" s="184" t="s">
        <v>177</v>
      </c>
      <c r="V594" s="184" t="s">
        <v>177</v>
      </c>
      <c r="W594" s="184" t="s">
        <v>177</v>
      </c>
      <c r="X594" s="184" t="s">
        <v>177</v>
      </c>
      <c r="Y594" s="184" t="s">
        <v>177</v>
      </c>
      <c r="Z594" s="184" t="s">
        <v>177</v>
      </c>
      <c r="AA594" s="184" t="s">
        <v>177</v>
      </c>
      <c r="AB594" s="184" t="s">
        <v>177</v>
      </c>
      <c r="AC594" s="184" t="s">
        <v>177</v>
      </c>
      <c r="AD594" s="184" t="s">
        <v>177</v>
      </c>
      <c r="AE594" s="184" t="s">
        <v>177</v>
      </c>
      <c r="AF594" s="184" t="s">
        <v>177</v>
      </c>
      <c r="AG594" s="184" t="s">
        <v>177</v>
      </c>
      <c r="AH594" s="184" t="s">
        <v>177</v>
      </c>
      <c r="AI594" s="184" t="s">
        <v>177</v>
      </c>
      <c r="AJ594" s="184" t="s">
        <v>177</v>
      </c>
      <c r="AK594" s="184" t="s">
        <v>177</v>
      </c>
      <c r="AL594" s="184" t="s">
        <v>177</v>
      </c>
      <c r="AM594" s="184" t="s">
        <v>177</v>
      </c>
      <c r="AN594" s="184" t="s">
        <v>177</v>
      </c>
    </row>
    <row r="595" spans="1:40">
      <c r="B595" s="197" t="s">
        <v>314</v>
      </c>
      <c r="C595" s="36" t="s">
        <v>72</v>
      </c>
      <c r="D595" s="25"/>
      <c r="E595" s="2"/>
      <c r="F595" s="2"/>
      <c r="G595" s="210">
        <f t="shared" ref="G595:AN595" si="295">SUM(G587:G594)</f>
        <v>2330.431</v>
      </c>
      <c r="H595" s="210">
        <f t="shared" si="295"/>
        <v>2337.9219999999996</v>
      </c>
      <c r="I595" s="210">
        <f t="shared" si="295"/>
        <v>2587.9749999999999</v>
      </c>
      <c r="J595" s="210">
        <f t="shared" si="295"/>
        <v>2570.3510000000001</v>
      </c>
      <c r="K595" s="210">
        <f t="shared" si="295"/>
        <v>2440.7359999999999</v>
      </c>
      <c r="L595" s="210">
        <f t="shared" si="295"/>
        <v>2507.404</v>
      </c>
      <c r="M595" s="210">
        <f t="shared" si="295"/>
        <v>2449.8620000000001</v>
      </c>
      <c r="N595" s="210">
        <f t="shared" si="295"/>
        <v>2417.7349999999997</v>
      </c>
      <c r="O595" s="210">
        <f t="shared" si="295"/>
        <v>2464.6330000000003</v>
      </c>
      <c r="P595" s="210">
        <f t="shared" si="295"/>
        <v>2544.9559999999997</v>
      </c>
      <c r="Q595" s="210">
        <f t="shared" si="295"/>
        <v>2588.1849999999999</v>
      </c>
      <c r="R595" s="210">
        <f t="shared" si="295"/>
        <v>2591.8470000000007</v>
      </c>
      <c r="S595" s="210">
        <f t="shared" si="295"/>
        <v>2662.4450000000002</v>
      </c>
      <c r="T595" s="210">
        <f t="shared" si="295"/>
        <v>2675.9290000000001</v>
      </c>
      <c r="U595" s="210">
        <f t="shared" si="295"/>
        <v>2458.3180000000002</v>
      </c>
      <c r="V595" s="210">
        <f t="shared" si="295"/>
        <v>2349.4090000000001</v>
      </c>
      <c r="W595" s="210">
        <f t="shared" si="295"/>
        <v>2122.3698829225159</v>
      </c>
      <c r="X595" s="210">
        <f t="shared" si="295"/>
        <v>2114.8567800652049</v>
      </c>
      <c r="Y595" s="210">
        <f t="shared" si="295"/>
        <v>2100.9089356408404</v>
      </c>
      <c r="Z595" s="210">
        <f t="shared" si="295"/>
        <v>2087.5597941969768</v>
      </c>
      <c r="AA595" s="210">
        <f t="shared" si="295"/>
        <v>2076.4389463503935</v>
      </c>
      <c r="AB595" s="210">
        <f t="shared" si="295"/>
        <v>2065.3433681211222</v>
      </c>
      <c r="AC595" s="210">
        <f t="shared" si="295"/>
        <v>2056.5114088010632</v>
      </c>
      <c r="AD595" s="210">
        <f t="shared" si="295"/>
        <v>2047.6207288245237</v>
      </c>
      <c r="AE595" s="210">
        <f t="shared" si="295"/>
        <v>2041.0409882723729</v>
      </c>
      <c r="AF595" s="210">
        <f t="shared" si="295"/>
        <v>2034.2545716802088</v>
      </c>
      <c r="AG595" s="210">
        <f t="shared" si="295"/>
        <v>2029.8286407934565</v>
      </c>
      <c r="AH595" s="210">
        <f t="shared" si="295"/>
        <v>2025.1058804563686</v>
      </c>
      <c r="AI595" s="210">
        <f t="shared" si="295"/>
        <v>2022.8038052974932</v>
      </c>
      <c r="AJ595" s="210">
        <f t="shared" si="295"/>
        <v>2020.1138547808373</v>
      </c>
      <c r="AK595" s="210">
        <f t="shared" si="295"/>
        <v>2019.6066351965026</v>
      </c>
      <c r="AL595" s="210">
        <f t="shared" si="295"/>
        <v>2018.6286420846852</v>
      </c>
      <c r="AM595" s="210">
        <f t="shared" si="295"/>
        <v>2019.9016496127101</v>
      </c>
      <c r="AN595" s="210">
        <f t="shared" si="295"/>
        <v>2020.6190663171205</v>
      </c>
    </row>
    <row r="596" spans="1:40">
      <c r="B596" s="197"/>
      <c r="D596" s="25"/>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spans="1:40" s="3" customFormat="1">
      <c r="B597" s="145" t="s">
        <v>315</v>
      </c>
      <c r="C597" s="104"/>
      <c r="D597" s="26"/>
      <c r="E597" s="4"/>
      <c r="F597" s="4"/>
      <c r="G597" s="210">
        <f t="shared" ref="G597:AN597" si="296">G595+G585</f>
        <v>2676.0340000000001</v>
      </c>
      <c r="H597" s="210">
        <f t="shared" si="296"/>
        <v>2551.9499999999994</v>
      </c>
      <c r="I597" s="210">
        <f t="shared" si="296"/>
        <v>2850.5919999999996</v>
      </c>
      <c r="J597" s="210">
        <f t="shared" si="296"/>
        <v>2789.3220000000001</v>
      </c>
      <c r="K597" s="210">
        <f t="shared" si="296"/>
        <v>2733.8879999999999</v>
      </c>
      <c r="L597" s="210">
        <f t="shared" si="296"/>
        <v>2786.9610000000002</v>
      </c>
      <c r="M597" s="210">
        <f t="shared" si="296"/>
        <v>2755.623</v>
      </c>
      <c r="N597" s="210">
        <f t="shared" si="296"/>
        <v>2743.7019999999998</v>
      </c>
      <c r="O597" s="210">
        <f t="shared" si="296"/>
        <v>2748.8310000000001</v>
      </c>
      <c r="P597" s="210">
        <f t="shared" si="296"/>
        <v>2863.4979999999996</v>
      </c>
      <c r="Q597" s="210">
        <f t="shared" si="296"/>
        <v>2838.58</v>
      </c>
      <c r="R597" s="210">
        <f t="shared" si="296"/>
        <v>2781.0360000000005</v>
      </c>
      <c r="S597" s="210">
        <f t="shared" si="296"/>
        <v>2799.306</v>
      </c>
      <c r="T597" s="210">
        <f t="shared" si="296"/>
        <v>2759.6840000000002</v>
      </c>
      <c r="U597" s="210">
        <f t="shared" si="296"/>
        <v>2610.2400000000002</v>
      </c>
      <c r="V597" s="210">
        <f t="shared" si="296"/>
        <v>2604.998</v>
      </c>
      <c r="W597" s="210">
        <f t="shared" si="296"/>
        <v>2294.095010101747</v>
      </c>
      <c r="X597" s="210">
        <f t="shared" si="296"/>
        <v>2306.194429083982</v>
      </c>
      <c r="Y597" s="210">
        <f t="shared" si="296"/>
        <v>2312.6145044878972</v>
      </c>
      <c r="Z597" s="210">
        <f t="shared" si="296"/>
        <v>2342.2524727646805</v>
      </c>
      <c r="AA597" s="210">
        <f t="shared" si="296"/>
        <v>2375.5500966669406</v>
      </c>
      <c r="AB597" s="210">
        <f t="shared" si="296"/>
        <v>2414.1805997328615</v>
      </c>
      <c r="AC597" s="210">
        <f t="shared" si="296"/>
        <v>2461.122634671678</v>
      </c>
      <c r="AD597" s="210">
        <f t="shared" si="296"/>
        <v>2504.5333445984074</v>
      </c>
      <c r="AE597" s="210">
        <f t="shared" si="296"/>
        <v>2522.6224911984045</v>
      </c>
      <c r="AF597" s="210">
        <f t="shared" si="296"/>
        <v>2533.2711098982927</v>
      </c>
      <c r="AG597" s="210">
        <f t="shared" si="296"/>
        <v>2552.4017568498189</v>
      </c>
      <c r="AH597" s="210">
        <f t="shared" si="296"/>
        <v>2562.8509025329327</v>
      </c>
      <c r="AI597" s="210">
        <f t="shared" si="296"/>
        <v>2584.3548946360738</v>
      </c>
      <c r="AJ597" s="210">
        <f t="shared" si="296"/>
        <v>2596.6214106150233</v>
      </c>
      <c r="AK597" s="210">
        <f t="shared" si="296"/>
        <v>2616.3733334559965</v>
      </c>
      <c r="AL597" s="210">
        <f t="shared" si="296"/>
        <v>2629.0781923826926</v>
      </c>
      <c r="AM597" s="210">
        <f t="shared" si="296"/>
        <v>2649.8448897290427</v>
      </c>
      <c r="AN597" s="210">
        <f t="shared" si="296"/>
        <v>2663.0134357288366</v>
      </c>
    </row>
    <row r="598" spans="1:40">
      <c r="B598" s="49"/>
      <c r="D598" s="25"/>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spans="1:40">
      <c r="B599" s="151" t="s">
        <v>316</v>
      </c>
      <c r="C599" s="36" t="s">
        <v>72</v>
      </c>
      <c r="D599" s="25"/>
      <c r="E599" s="2"/>
      <c r="F599" s="2"/>
      <c r="G599" s="7">
        <f t="shared" ref="G599:AN599" si="297">-MIN(0,G573)</f>
        <v>0</v>
      </c>
      <c r="H599" s="7">
        <f t="shared" si="297"/>
        <v>0</v>
      </c>
      <c r="I599" s="7">
        <f t="shared" si="297"/>
        <v>0</v>
      </c>
      <c r="J599" s="7">
        <f t="shared" si="297"/>
        <v>0</v>
      </c>
      <c r="K599" s="7">
        <f t="shared" si="297"/>
        <v>0</v>
      </c>
      <c r="L599" s="7">
        <f t="shared" si="297"/>
        <v>0</v>
      </c>
      <c r="M599" s="7">
        <f t="shared" si="297"/>
        <v>0</v>
      </c>
      <c r="N599" s="7">
        <f t="shared" si="297"/>
        <v>0</v>
      </c>
      <c r="O599" s="7">
        <f t="shared" si="297"/>
        <v>0</v>
      </c>
      <c r="P599" s="7">
        <f t="shared" si="297"/>
        <v>0</v>
      </c>
      <c r="Q599" s="7">
        <f t="shared" si="297"/>
        <v>0</v>
      </c>
      <c r="R599" s="7">
        <f t="shared" si="297"/>
        <v>0</v>
      </c>
      <c r="S599" s="7">
        <f t="shared" si="297"/>
        <v>0</v>
      </c>
      <c r="T599" s="7">
        <f t="shared" si="297"/>
        <v>0</v>
      </c>
      <c r="U599" s="7">
        <f t="shared" si="297"/>
        <v>0</v>
      </c>
      <c r="V599" s="7">
        <f t="shared" si="297"/>
        <v>0</v>
      </c>
      <c r="W599" s="7">
        <f t="shared" si="297"/>
        <v>0</v>
      </c>
      <c r="X599" s="7">
        <f t="shared" si="297"/>
        <v>0</v>
      </c>
      <c r="Y599" s="7">
        <f t="shared" si="297"/>
        <v>0</v>
      </c>
      <c r="Z599" s="7">
        <f t="shared" si="297"/>
        <v>0</v>
      </c>
      <c r="AA599" s="7">
        <f t="shared" si="297"/>
        <v>0</v>
      </c>
      <c r="AB599" s="7">
        <f t="shared" si="297"/>
        <v>0</v>
      </c>
      <c r="AC599" s="7">
        <f t="shared" si="297"/>
        <v>0</v>
      </c>
      <c r="AD599" s="7">
        <f t="shared" si="297"/>
        <v>0</v>
      </c>
      <c r="AE599" s="7">
        <f t="shared" si="297"/>
        <v>0</v>
      </c>
      <c r="AF599" s="7">
        <f t="shared" si="297"/>
        <v>0</v>
      </c>
      <c r="AG599" s="7">
        <f t="shared" si="297"/>
        <v>0</v>
      </c>
      <c r="AH599" s="7">
        <f t="shared" si="297"/>
        <v>0</v>
      </c>
      <c r="AI599" s="7">
        <f t="shared" si="297"/>
        <v>0</v>
      </c>
      <c r="AJ599" s="7">
        <f t="shared" si="297"/>
        <v>0</v>
      </c>
      <c r="AK599" s="7">
        <f t="shared" si="297"/>
        <v>0</v>
      </c>
      <c r="AL599" s="7">
        <f t="shared" si="297"/>
        <v>0</v>
      </c>
      <c r="AM599" s="7">
        <f t="shared" si="297"/>
        <v>0</v>
      </c>
      <c r="AN599" s="7">
        <f t="shared" si="297"/>
        <v>0</v>
      </c>
    </row>
    <row r="600" spans="1:40">
      <c r="B600" s="151" t="s">
        <v>317</v>
      </c>
      <c r="C600" s="36" t="s">
        <v>72</v>
      </c>
      <c r="D600" s="25"/>
      <c r="E600" s="2"/>
      <c r="F600" s="2"/>
      <c r="G600" s="7">
        <f t="shared" ref="G600:AN600" si="298">G459</f>
        <v>171.95599999999999</v>
      </c>
      <c r="H600" s="7">
        <f t="shared" si="298"/>
        <v>228.11199999999999</v>
      </c>
      <c r="I600" s="7">
        <f t="shared" si="298"/>
        <v>211.71600000000001</v>
      </c>
      <c r="J600" s="7">
        <f t="shared" si="298"/>
        <v>221.84200000000001</v>
      </c>
      <c r="K600" s="7">
        <f t="shared" si="298"/>
        <v>178.72499999999999</v>
      </c>
      <c r="L600" s="7">
        <f t="shared" si="298"/>
        <v>200.16499999999999</v>
      </c>
      <c r="M600" s="7">
        <f t="shared" si="298"/>
        <v>175.291</v>
      </c>
      <c r="N600" s="7">
        <f t="shared" si="298"/>
        <v>187.19900000000001</v>
      </c>
      <c r="O600" s="7">
        <f t="shared" si="298"/>
        <v>204.57599999999999</v>
      </c>
      <c r="P600" s="7">
        <f t="shared" si="298"/>
        <v>215.99700000000001</v>
      </c>
      <c r="Q600" s="7">
        <f t="shared" si="298"/>
        <v>237.035</v>
      </c>
      <c r="R600" s="7">
        <f t="shared" si="298"/>
        <v>226.79599999999999</v>
      </c>
      <c r="S600" s="7">
        <f t="shared" si="298"/>
        <v>196.47200000000001</v>
      </c>
      <c r="T600" s="7">
        <f t="shared" si="298"/>
        <v>143.82400000000001</v>
      </c>
      <c r="U600" s="7">
        <f t="shared" si="298"/>
        <v>134.30699999999999</v>
      </c>
      <c r="V600" s="7">
        <f t="shared" si="298"/>
        <v>150.96700000000001</v>
      </c>
      <c r="W600" s="7">
        <f t="shared" si="298"/>
        <v>152.64400152173911</v>
      </c>
      <c r="X600" s="7">
        <f t="shared" si="298"/>
        <v>153.71310623204423</v>
      </c>
      <c r="Y600" s="7">
        <f t="shared" si="298"/>
        <v>152.1254382743478</v>
      </c>
      <c r="Z600" s="7">
        <f t="shared" si="298"/>
        <v>152.00673883670328</v>
      </c>
      <c r="AA600" s="7">
        <f t="shared" si="298"/>
        <v>155.68760257351741</v>
      </c>
      <c r="AB600" s="7">
        <f t="shared" si="298"/>
        <v>156.35751025902096</v>
      </c>
      <c r="AC600" s="7">
        <f t="shared" si="298"/>
        <v>162.01481316580072</v>
      </c>
      <c r="AD600" s="7">
        <f t="shared" si="298"/>
        <v>162.67928771759352</v>
      </c>
      <c r="AE600" s="7">
        <f t="shared" si="298"/>
        <v>168.69279843426531</v>
      </c>
      <c r="AF600" s="7">
        <f t="shared" si="298"/>
        <v>169.14876319558596</v>
      </c>
      <c r="AG600" s="7">
        <f t="shared" si="298"/>
        <v>175.51740235040256</v>
      </c>
      <c r="AH600" s="7">
        <f t="shared" si="298"/>
        <v>174.96672638359922</v>
      </c>
      <c r="AI600" s="7">
        <f t="shared" si="298"/>
        <v>182.6852953835031</v>
      </c>
      <c r="AJ600" s="7">
        <f t="shared" si="298"/>
        <v>183.05576690776837</v>
      </c>
      <c r="AK600" s="7">
        <f t="shared" si="298"/>
        <v>189.92817912874219</v>
      </c>
      <c r="AL600" s="7">
        <f t="shared" si="298"/>
        <v>190.24210142467905</v>
      </c>
      <c r="AM600" s="7">
        <f t="shared" si="298"/>
        <v>197.544832958211</v>
      </c>
      <c r="AN600" s="7">
        <f t="shared" si="298"/>
        <v>197.79497045428602</v>
      </c>
    </row>
    <row r="601" spans="1:40">
      <c r="B601" s="151" t="s">
        <v>318</v>
      </c>
      <c r="C601" s="36" t="s">
        <v>72</v>
      </c>
      <c r="D601" s="25"/>
      <c r="E601" s="2"/>
      <c r="F601" s="2"/>
      <c r="G601" s="173">
        <v>4.3479999999999999</v>
      </c>
      <c r="H601" s="173">
        <v>14.653</v>
      </c>
      <c r="I601" s="173">
        <v>4.8710000000000004</v>
      </c>
      <c r="J601" s="173">
        <v>0.77600000000000002</v>
      </c>
      <c r="K601" s="173">
        <v>2.6320000000000001</v>
      </c>
      <c r="L601" s="173">
        <v>16.256</v>
      </c>
      <c r="M601" s="173">
        <v>0.82299999999999995</v>
      </c>
      <c r="N601" s="173">
        <v>9.4E-2</v>
      </c>
      <c r="O601" s="173">
        <v>23.245000000000001</v>
      </c>
      <c r="P601" s="173">
        <v>42.848999999999997</v>
      </c>
      <c r="Q601" s="173">
        <v>18.998999999999999</v>
      </c>
      <c r="R601" s="173">
        <v>34.707000000000001</v>
      </c>
      <c r="S601" s="173">
        <v>0.20300000000000001</v>
      </c>
      <c r="T601" s="173">
        <v>10.943</v>
      </c>
      <c r="U601" s="173">
        <v>0</v>
      </c>
      <c r="V601" s="173">
        <v>0</v>
      </c>
      <c r="W601" s="213">
        <f t="shared" ref="W601:AN601" si="299">V601</f>
        <v>0</v>
      </c>
      <c r="X601" s="213">
        <f t="shared" si="299"/>
        <v>0</v>
      </c>
      <c r="Y601" s="213">
        <f t="shared" si="299"/>
        <v>0</v>
      </c>
      <c r="Z601" s="213">
        <f t="shared" si="299"/>
        <v>0</v>
      </c>
      <c r="AA601" s="213">
        <f t="shared" si="299"/>
        <v>0</v>
      </c>
      <c r="AB601" s="213">
        <f t="shared" si="299"/>
        <v>0</v>
      </c>
      <c r="AC601" s="213">
        <f t="shared" si="299"/>
        <v>0</v>
      </c>
      <c r="AD601" s="213">
        <f t="shared" si="299"/>
        <v>0</v>
      </c>
      <c r="AE601" s="213">
        <f t="shared" si="299"/>
        <v>0</v>
      </c>
      <c r="AF601" s="213">
        <f t="shared" si="299"/>
        <v>0</v>
      </c>
      <c r="AG601" s="213">
        <f t="shared" si="299"/>
        <v>0</v>
      </c>
      <c r="AH601" s="213">
        <f t="shared" si="299"/>
        <v>0</v>
      </c>
      <c r="AI601" s="213">
        <f t="shared" si="299"/>
        <v>0</v>
      </c>
      <c r="AJ601" s="213">
        <f t="shared" si="299"/>
        <v>0</v>
      </c>
      <c r="AK601" s="213">
        <f t="shared" si="299"/>
        <v>0</v>
      </c>
      <c r="AL601" s="213">
        <f t="shared" si="299"/>
        <v>0</v>
      </c>
      <c r="AM601" s="213">
        <f t="shared" si="299"/>
        <v>0</v>
      </c>
      <c r="AN601" s="213">
        <f t="shared" si="299"/>
        <v>0</v>
      </c>
    </row>
    <row r="602" spans="1:40">
      <c r="B602" s="151" t="s">
        <v>199</v>
      </c>
      <c r="C602" s="36" t="s">
        <v>72</v>
      </c>
      <c r="D602" s="25"/>
      <c r="E602" s="6"/>
      <c r="F602" s="6"/>
      <c r="G602" s="7">
        <f t="shared" ref="G602:AN602" si="300">G408</f>
        <v>0</v>
      </c>
      <c r="H602" s="7">
        <f t="shared" si="300"/>
        <v>0</v>
      </c>
      <c r="I602" s="7">
        <f t="shared" si="300"/>
        <v>0.47</v>
      </c>
      <c r="J602" s="7">
        <f t="shared" si="300"/>
        <v>0.48499999999999999</v>
      </c>
      <c r="K602" s="7">
        <f t="shared" si="300"/>
        <v>0.504</v>
      </c>
      <c r="L602" s="7">
        <f t="shared" si="300"/>
        <v>3.0139999999999998</v>
      </c>
      <c r="M602" s="7">
        <f t="shared" si="300"/>
        <v>3.3090000000000002</v>
      </c>
      <c r="N602" s="7">
        <f t="shared" si="300"/>
        <v>3.5760000000000001</v>
      </c>
      <c r="O602" s="7">
        <f t="shared" si="300"/>
        <v>3.6469999999999998</v>
      </c>
      <c r="P602" s="7">
        <f t="shared" si="300"/>
        <v>3.0449999999999999</v>
      </c>
      <c r="Q602" s="7">
        <f t="shared" si="300"/>
        <v>2.254</v>
      </c>
      <c r="R602" s="7">
        <f t="shared" si="300"/>
        <v>3.2850000000000001</v>
      </c>
      <c r="S602" s="7">
        <f t="shared" si="300"/>
        <v>7.4710000000000001</v>
      </c>
      <c r="T602" s="7">
        <f t="shared" si="300"/>
        <v>6.8090000000000002</v>
      </c>
      <c r="U602" s="7">
        <f t="shared" si="300"/>
        <v>12.084</v>
      </c>
      <c r="V602" s="7">
        <f t="shared" si="300"/>
        <v>7.9240000000000004</v>
      </c>
      <c r="W602" s="7">
        <f t="shared" si="300"/>
        <v>7.9240000000000004</v>
      </c>
      <c r="X602" s="7">
        <f t="shared" si="300"/>
        <v>7.9240000000000004</v>
      </c>
      <c r="Y602" s="7">
        <f t="shared" si="300"/>
        <v>7.9240000000000004</v>
      </c>
      <c r="Z602" s="7">
        <f t="shared" si="300"/>
        <v>7.9240000000000004</v>
      </c>
      <c r="AA602" s="7">
        <f t="shared" si="300"/>
        <v>7.9240000000000004</v>
      </c>
      <c r="AB602" s="7">
        <f t="shared" si="300"/>
        <v>7.9240000000000004</v>
      </c>
      <c r="AC602" s="7">
        <f t="shared" si="300"/>
        <v>7.9240000000000004</v>
      </c>
      <c r="AD602" s="7">
        <f t="shared" si="300"/>
        <v>7.9240000000000004</v>
      </c>
      <c r="AE602" s="7">
        <f t="shared" si="300"/>
        <v>7.9240000000000004</v>
      </c>
      <c r="AF602" s="7">
        <f t="shared" si="300"/>
        <v>7.9240000000000004</v>
      </c>
      <c r="AG602" s="7">
        <f t="shared" si="300"/>
        <v>7.9240000000000004</v>
      </c>
      <c r="AH602" s="7">
        <f t="shared" si="300"/>
        <v>7.9240000000000004</v>
      </c>
      <c r="AI602" s="7">
        <f t="shared" si="300"/>
        <v>7.9240000000000004</v>
      </c>
      <c r="AJ602" s="7">
        <f t="shared" si="300"/>
        <v>7.9240000000000004</v>
      </c>
      <c r="AK602" s="7">
        <f t="shared" si="300"/>
        <v>7.9240000000000004</v>
      </c>
      <c r="AL602" s="7">
        <f t="shared" si="300"/>
        <v>7.9240000000000004</v>
      </c>
      <c r="AM602" s="7">
        <f t="shared" si="300"/>
        <v>7.9240000000000004</v>
      </c>
      <c r="AN602" s="7">
        <f t="shared" si="300"/>
        <v>7.9240000000000004</v>
      </c>
    </row>
    <row r="603" spans="1:40">
      <c r="B603" s="151" t="s">
        <v>319</v>
      </c>
      <c r="C603" s="36" t="s">
        <v>72</v>
      </c>
      <c r="D603" s="25"/>
      <c r="E603" s="6"/>
      <c r="F603" s="6"/>
      <c r="G603" s="7">
        <f t="shared" ref="G603:AN603" si="301">G410</f>
        <v>0</v>
      </c>
      <c r="H603" s="7">
        <f t="shared" si="301"/>
        <v>49.127000000000002</v>
      </c>
      <c r="I603" s="7">
        <f t="shared" si="301"/>
        <v>54.259</v>
      </c>
      <c r="J603" s="7">
        <f t="shared" si="301"/>
        <v>302.50900000000001</v>
      </c>
      <c r="K603" s="7">
        <f t="shared" si="301"/>
        <v>138.37</v>
      </c>
      <c r="L603" s="7">
        <f t="shared" si="301"/>
        <v>48.030999999999999</v>
      </c>
      <c r="M603" s="7">
        <f t="shared" si="301"/>
        <v>0</v>
      </c>
      <c r="N603" s="7">
        <f t="shared" si="301"/>
        <v>78</v>
      </c>
      <c r="O603" s="7">
        <f t="shared" si="301"/>
        <v>49.713000000000001</v>
      </c>
      <c r="P603" s="7">
        <f t="shared" si="301"/>
        <v>45.814</v>
      </c>
      <c r="Q603" s="7">
        <f t="shared" si="301"/>
        <v>45.814</v>
      </c>
      <c r="R603" s="7">
        <f t="shared" si="301"/>
        <v>241.11600000000001</v>
      </c>
      <c r="S603" s="7">
        <f t="shared" si="301"/>
        <v>0</v>
      </c>
      <c r="T603" s="7">
        <f t="shared" si="301"/>
        <v>0</v>
      </c>
      <c r="U603" s="7">
        <f t="shared" si="301"/>
        <v>0</v>
      </c>
      <c r="V603" s="7">
        <f t="shared" si="301"/>
        <v>175</v>
      </c>
      <c r="W603" s="7">
        <f t="shared" si="301"/>
        <v>175</v>
      </c>
      <c r="X603" s="7">
        <f t="shared" si="301"/>
        <v>0</v>
      </c>
      <c r="Y603" s="7">
        <f t="shared" si="301"/>
        <v>0</v>
      </c>
      <c r="Z603" s="7">
        <f t="shared" si="301"/>
        <v>0</v>
      </c>
      <c r="AA603" s="7">
        <f t="shared" si="301"/>
        <v>0</v>
      </c>
      <c r="AB603" s="7">
        <f t="shared" si="301"/>
        <v>0</v>
      </c>
      <c r="AC603" s="7">
        <f t="shared" si="301"/>
        <v>0</v>
      </c>
      <c r="AD603" s="7">
        <f t="shared" si="301"/>
        <v>0</v>
      </c>
      <c r="AE603" s="7">
        <f t="shared" si="301"/>
        <v>0</v>
      </c>
      <c r="AF603" s="7">
        <f t="shared" si="301"/>
        <v>0</v>
      </c>
      <c r="AG603" s="7">
        <f t="shared" si="301"/>
        <v>0</v>
      </c>
      <c r="AH603" s="7">
        <f t="shared" si="301"/>
        <v>0</v>
      </c>
      <c r="AI603" s="7">
        <f t="shared" si="301"/>
        <v>0</v>
      </c>
      <c r="AJ603" s="7">
        <f t="shared" si="301"/>
        <v>0</v>
      </c>
      <c r="AK603" s="7">
        <f t="shared" si="301"/>
        <v>0</v>
      </c>
      <c r="AL603" s="7">
        <f t="shared" si="301"/>
        <v>0</v>
      </c>
      <c r="AM603" s="7">
        <f t="shared" si="301"/>
        <v>0</v>
      </c>
      <c r="AN603" s="7">
        <f t="shared" si="301"/>
        <v>0</v>
      </c>
    </row>
    <row r="604" spans="1:40">
      <c r="B604" s="151" t="s">
        <v>110</v>
      </c>
      <c r="C604" s="36" t="s">
        <v>72</v>
      </c>
      <c r="D604" s="25"/>
      <c r="E604" s="6"/>
      <c r="F604" s="6"/>
      <c r="G604" s="212">
        <f>0.025+18.272</f>
        <v>18.296999999999997</v>
      </c>
      <c r="H604" s="212">
        <v>0.78400000000000003</v>
      </c>
      <c r="I604" s="212">
        <f>3.136+148.754</f>
        <v>151.88999999999999</v>
      </c>
      <c r="J604" s="212">
        <f>6.113+153.165</f>
        <v>159.27799999999999</v>
      </c>
      <c r="K604" s="212">
        <f>3.562+5.041</f>
        <v>8.6029999999999998</v>
      </c>
      <c r="L604" s="212">
        <v>2.0880000000000001</v>
      </c>
      <c r="M604" s="212">
        <f>1.457+0.251</f>
        <v>1.7080000000000002</v>
      </c>
      <c r="N604" s="212">
        <f>0.012</f>
        <v>1.2E-2</v>
      </c>
      <c r="O604" s="212">
        <f>0.2+39.815</f>
        <v>40.015000000000001</v>
      </c>
      <c r="P604" s="212">
        <f>0.017+39.815</f>
        <v>39.832000000000001</v>
      </c>
      <c r="Q604" s="212">
        <f>0.465+39.815</f>
        <v>40.28</v>
      </c>
      <c r="R604" s="212">
        <f>0.366</f>
        <v>0.36599999999999999</v>
      </c>
      <c r="S604" s="212">
        <f>0.466</f>
        <v>0.46600000000000003</v>
      </c>
      <c r="T604" s="212">
        <f>0.547+246.408</f>
        <v>246.95499999999998</v>
      </c>
      <c r="U604" s="212">
        <v>1.83</v>
      </c>
      <c r="V604" s="212">
        <f>0.505+0</f>
        <v>0.505</v>
      </c>
      <c r="W604" s="216">
        <f t="shared" ref="W604:AN604" si="302">V604</f>
        <v>0.505</v>
      </c>
      <c r="X604" s="216">
        <f t="shared" si="302"/>
        <v>0.505</v>
      </c>
      <c r="Y604" s="216">
        <f t="shared" si="302"/>
        <v>0.505</v>
      </c>
      <c r="Z604" s="216">
        <f t="shared" si="302"/>
        <v>0.505</v>
      </c>
      <c r="AA604" s="216">
        <f t="shared" si="302"/>
        <v>0.505</v>
      </c>
      <c r="AB604" s="216">
        <f t="shared" si="302"/>
        <v>0.505</v>
      </c>
      <c r="AC604" s="216">
        <f t="shared" si="302"/>
        <v>0.505</v>
      </c>
      <c r="AD604" s="216">
        <f t="shared" si="302"/>
        <v>0.505</v>
      </c>
      <c r="AE604" s="216">
        <f t="shared" si="302"/>
        <v>0.505</v>
      </c>
      <c r="AF604" s="216">
        <f t="shared" si="302"/>
        <v>0.505</v>
      </c>
      <c r="AG604" s="216">
        <f t="shared" si="302"/>
        <v>0.505</v>
      </c>
      <c r="AH604" s="216">
        <f t="shared" si="302"/>
        <v>0.505</v>
      </c>
      <c r="AI604" s="216">
        <f t="shared" si="302"/>
        <v>0.505</v>
      </c>
      <c r="AJ604" s="216">
        <f t="shared" si="302"/>
        <v>0.505</v>
      </c>
      <c r="AK604" s="216">
        <f t="shared" si="302"/>
        <v>0.505</v>
      </c>
      <c r="AL604" s="216">
        <f t="shared" si="302"/>
        <v>0.505</v>
      </c>
      <c r="AM604" s="216">
        <f t="shared" si="302"/>
        <v>0.505</v>
      </c>
      <c r="AN604" s="216">
        <f t="shared" si="302"/>
        <v>0.505</v>
      </c>
    </row>
    <row r="605" spans="1:40">
      <c r="B605" s="195" t="s">
        <v>177</v>
      </c>
      <c r="C605" s="107"/>
      <c r="D605" s="27"/>
      <c r="E605" s="5"/>
      <c r="F605" s="5"/>
      <c r="G605" s="184" t="s">
        <v>177</v>
      </c>
      <c r="H605" s="184" t="s">
        <v>177</v>
      </c>
      <c r="I605" s="184" t="s">
        <v>177</v>
      </c>
      <c r="J605" s="184" t="s">
        <v>177</v>
      </c>
      <c r="K605" s="184" t="s">
        <v>177</v>
      </c>
      <c r="L605" s="184" t="s">
        <v>177</v>
      </c>
      <c r="M605" s="184" t="s">
        <v>177</v>
      </c>
      <c r="N605" s="184" t="s">
        <v>177</v>
      </c>
      <c r="O605" s="184" t="s">
        <v>177</v>
      </c>
      <c r="P605" s="184" t="s">
        <v>177</v>
      </c>
      <c r="Q605" s="184" t="s">
        <v>177</v>
      </c>
      <c r="R605" s="184" t="s">
        <v>177</v>
      </c>
      <c r="S605" s="184" t="s">
        <v>177</v>
      </c>
      <c r="T605" s="184" t="s">
        <v>177</v>
      </c>
      <c r="U605" s="184" t="s">
        <v>177</v>
      </c>
      <c r="V605" s="184" t="s">
        <v>177</v>
      </c>
      <c r="W605" s="184" t="s">
        <v>177</v>
      </c>
      <c r="X605" s="184" t="s">
        <v>177</v>
      </c>
      <c r="Y605" s="184" t="s">
        <v>177</v>
      </c>
      <c r="Z605" s="184" t="s">
        <v>177</v>
      </c>
      <c r="AA605" s="184" t="s">
        <v>177</v>
      </c>
      <c r="AB605" s="184" t="s">
        <v>177</v>
      </c>
      <c r="AC605" s="184" t="s">
        <v>177</v>
      </c>
      <c r="AD605" s="184" t="s">
        <v>177</v>
      </c>
      <c r="AE605" s="184" t="s">
        <v>177</v>
      </c>
      <c r="AF605" s="184" t="s">
        <v>177</v>
      </c>
      <c r="AG605" s="184" t="s">
        <v>177</v>
      </c>
      <c r="AH605" s="184" t="s">
        <v>177</v>
      </c>
      <c r="AI605" s="184" t="s">
        <v>177</v>
      </c>
      <c r="AJ605" s="184" t="s">
        <v>177</v>
      </c>
      <c r="AK605" s="184" t="s">
        <v>177</v>
      </c>
      <c r="AL605" s="184" t="s">
        <v>177</v>
      </c>
      <c r="AM605" s="184" t="s">
        <v>177</v>
      </c>
      <c r="AN605" s="184" t="s">
        <v>177</v>
      </c>
    </row>
    <row r="606" spans="1:40" s="3" customFormat="1">
      <c r="B606" s="145" t="s">
        <v>320</v>
      </c>
      <c r="C606" s="36" t="s">
        <v>72</v>
      </c>
      <c r="D606" s="26"/>
      <c r="E606" s="4"/>
      <c r="F606" s="4"/>
      <c r="G606" s="210">
        <f t="shared" ref="G606:AN606" si="303">SUM(G599:G605)</f>
        <v>194.601</v>
      </c>
      <c r="H606" s="210">
        <f t="shared" si="303"/>
        <v>292.67599999999999</v>
      </c>
      <c r="I606" s="210">
        <f t="shared" si="303"/>
        <v>423.20600000000002</v>
      </c>
      <c r="J606" s="210">
        <f t="shared" si="303"/>
        <v>684.8900000000001</v>
      </c>
      <c r="K606" s="210">
        <f t="shared" si="303"/>
        <v>328.834</v>
      </c>
      <c r="L606" s="210">
        <f t="shared" si="303"/>
        <v>269.55400000000003</v>
      </c>
      <c r="M606" s="210">
        <f t="shared" si="303"/>
        <v>181.131</v>
      </c>
      <c r="N606" s="210">
        <f t="shared" si="303"/>
        <v>268.88100000000003</v>
      </c>
      <c r="O606" s="210">
        <f t="shared" si="303"/>
        <v>321.19599999999997</v>
      </c>
      <c r="P606" s="210">
        <f t="shared" si="303"/>
        <v>347.53700000000003</v>
      </c>
      <c r="Q606" s="210">
        <f t="shared" si="303"/>
        <v>344.38200000000006</v>
      </c>
      <c r="R606" s="210">
        <f t="shared" si="303"/>
        <v>506.27</v>
      </c>
      <c r="S606" s="210">
        <f t="shared" si="303"/>
        <v>204.61200000000002</v>
      </c>
      <c r="T606" s="210">
        <f t="shared" si="303"/>
        <v>408.53100000000001</v>
      </c>
      <c r="U606" s="210">
        <f t="shared" si="303"/>
        <v>148.221</v>
      </c>
      <c r="V606" s="210">
        <f t="shared" si="303"/>
        <v>334.39600000000002</v>
      </c>
      <c r="W606" s="210">
        <f t="shared" si="303"/>
        <v>336.07300152173912</v>
      </c>
      <c r="X606" s="210">
        <f t="shared" si="303"/>
        <v>162.14210623204423</v>
      </c>
      <c r="Y606" s="210">
        <f t="shared" si="303"/>
        <v>160.5544382743478</v>
      </c>
      <c r="Z606" s="210">
        <f t="shared" si="303"/>
        <v>160.43573883670328</v>
      </c>
      <c r="AA606" s="210">
        <f t="shared" si="303"/>
        <v>164.11660257351741</v>
      </c>
      <c r="AB606" s="210">
        <f t="shared" si="303"/>
        <v>164.78651025902096</v>
      </c>
      <c r="AC606" s="210">
        <f t="shared" si="303"/>
        <v>170.44381316580072</v>
      </c>
      <c r="AD606" s="210">
        <f t="shared" si="303"/>
        <v>171.10828771759353</v>
      </c>
      <c r="AE606" s="210">
        <f t="shared" si="303"/>
        <v>177.12179843426532</v>
      </c>
      <c r="AF606" s="210">
        <f t="shared" si="303"/>
        <v>177.57776319558596</v>
      </c>
      <c r="AG606" s="210">
        <f t="shared" si="303"/>
        <v>183.94640235040256</v>
      </c>
      <c r="AH606" s="210">
        <f t="shared" si="303"/>
        <v>183.39572638359923</v>
      </c>
      <c r="AI606" s="210">
        <f t="shared" si="303"/>
        <v>191.11429538350311</v>
      </c>
      <c r="AJ606" s="210">
        <f t="shared" si="303"/>
        <v>191.48476690776837</v>
      </c>
      <c r="AK606" s="210">
        <f t="shared" si="303"/>
        <v>198.35717912874219</v>
      </c>
      <c r="AL606" s="210">
        <f t="shared" si="303"/>
        <v>198.67110142467905</v>
      </c>
      <c r="AM606" s="210">
        <f t="shared" si="303"/>
        <v>205.97383295821101</v>
      </c>
      <c r="AN606" s="210">
        <f t="shared" si="303"/>
        <v>206.22397045428602</v>
      </c>
    </row>
    <row r="607" spans="1:40">
      <c r="A607" s="3"/>
      <c r="B607" s="49"/>
      <c r="D607" s="25"/>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1:40">
      <c r="A608" s="3"/>
      <c r="B608" s="151" t="s">
        <v>321</v>
      </c>
      <c r="C608" s="36" t="s">
        <v>72</v>
      </c>
      <c r="D608" s="25"/>
      <c r="E608" s="2"/>
      <c r="F608" s="173"/>
      <c r="G608" s="173">
        <v>79.903999999999996</v>
      </c>
      <c r="H608" s="173">
        <v>70.16</v>
      </c>
      <c r="I608" s="173">
        <v>71.677999999999997</v>
      </c>
      <c r="J608" s="173">
        <v>45.174999999999997</v>
      </c>
      <c r="K608" s="173">
        <v>50.34</v>
      </c>
      <c r="L608" s="173">
        <v>51.975000000000001</v>
      </c>
      <c r="M608" s="173">
        <v>47.256</v>
      </c>
      <c r="N608" s="173">
        <v>60.591000000000001</v>
      </c>
      <c r="O608" s="173">
        <v>56.517000000000003</v>
      </c>
      <c r="P608" s="173">
        <v>56.1</v>
      </c>
      <c r="Q608" s="173">
        <v>57.947000000000003</v>
      </c>
      <c r="R608" s="173">
        <v>210.739</v>
      </c>
      <c r="S608" s="173">
        <v>211.197</v>
      </c>
      <c r="T608" s="173">
        <v>207.69200000000001</v>
      </c>
      <c r="U608" s="173">
        <v>166.92400000000001</v>
      </c>
      <c r="V608" s="173">
        <v>170.245</v>
      </c>
      <c r="W608" s="213">
        <f t="shared" ref="W608:AN608" si="304">V608</f>
        <v>170.245</v>
      </c>
      <c r="X608" s="213">
        <f t="shared" si="304"/>
        <v>170.245</v>
      </c>
      <c r="Y608" s="213">
        <f t="shared" si="304"/>
        <v>170.245</v>
      </c>
      <c r="Z608" s="213">
        <f t="shared" si="304"/>
        <v>170.245</v>
      </c>
      <c r="AA608" s="213">
        <f t="shared" si="304"/>
        <v>170.245</v>
      </c>
      <c r="AB608" s="213">
        <f t="shared" si="304"/>
        <v>170.245</v>
      </c>
      <c r="AC608" s="213">
        <f t="shared" si="304"/>
        <v>170.245</v>
      </c>
      <c r="AD608" s="213">
        <f t="shared" si="304"/>
        <v>170.245</v>
      </c>
      <c r="AE608" s="213">
        <f t="shared" si="304"/>
        <v>170.245</v>
      </c>
      <c r="AF608" s="213">
        <f t="shared" si="304"/>
        <v>170.245</v>
      </c>
      <c r="AG608" s="213">
        <f t="shared" si="304"/>
        <v>170.245</v>
      </c>
      <c r="AH608" s="213">
        <f t="shared" si="304"/>
        <v>170.245</v>
      </c>
      <c r="AI608" s="213">
        <f t="shared" si="304"/>
        <v>170.245</v>
      </c>
      <c r="AJ608" s="213">
        <f t="shared" si="304"/>
        <v>170.245</v>
      </c>
      <c r="AK608" s="213">
        <f t="shared" si="304"/>
        <v>170.245</v>
      </c>
      <c r="AL608" s="213">
        <f t="shared" si="304"/>
        <v>170.245</v>
      </c>
      <c r="AM608" s="213">
        <f t="shared" si="304"/>
        <v>170.245</v>
      </c>
      <c r="AN608" s="213">
        <f t="shared" si="304"/>
        <v>170.245</v>
      </c>
    </row>
    <row r="609" spans="1:40">
      <c r="A609" s="3"/>
      <c r="B609" s="151" t="s">
        <v>322</v>
      </c>
      <c r="C609" s="36" t="s">
        <v>72</v>
      </c>
      <c r="D609" s="25"/>
      <c r="E609" s="2"/>
      <c r="F609" s="2"/>
      <c r="G609" s="7">
        <f t="shared" ref="G609:AN609" si="305">G409</f>
        <v>0</v>
      </c>
      <c r="H609" s="7">
        <f t="shared" si="305"/>
        <v>0</v>
      </c>
      <c r="I609" s="7">
        <f t="shared" si="305"/>
        <v>51.146999999999998</v>
      </c>
      <c r="J609" s="7">
        <f t="shared" si="305"/>
        <v>52.188000000000002</v>
      </c>
      <c r="K609" s="7">
        <f t="shared" si="305"/>
        <v>53.726999999999997</v>
      </c>
      <c r="L609" s="7">
        <f t="shared" si="305"/>
        <v>115.79300000000001</v>
      </c>
      <c r="M609" s="7">
        <f t="shared" si="305"/>
        <v>114.164</v>
      </c>
      <c r="N609" s="7">
        <f t="shared" si="305"/>
        <v>117.53</v>
      </c>
      <c r="O609" s="7">
        <f t="shared" si="305"/>
        <v>114.70099999999999</v>
      </c>
      <c r="P609" s="7">
        <f t="shared" si="305"/>
        <v>116.84</v>
      </c>
      <c r="Q609" s="7">
        <f t="shared" si="305"/>
        <v>119.008</v>
      </c>
      <c r="R609" s="7">
        <f t="shared" si="305"/>
        <v>118.14700000000001</v>
      </c>
      <c r="S609" s="7">
        <f t="shared" si="305"/>
        <v>135.541</v>
      </c>
      <c r="T609" s="7">
        <f t="shared" si="305"/>
        <v>130.154</v>
      </c>
      <c r="U609" s="7">
        <f t="shared" si="305"/>
        <v>138.952</v>
      </c>
      <c r="V609" s="7">
        <f t="shared" si="305"/>
        <v>146.304</v>
      </c>
      <c r="W609" s="7">
        <f t="shared" si="305"/>
        <v>146.304</v>
      </c>
      <c r="X609" s="7">
        <f t="shared" si="305"/>
        <v>146.304</v>
      </c>
      <c r="Y609" s="7">
        <f t="shared" si="305"/>
        <v>146.304</v>
      </c>
      <c r="Z609" s="7">
        <f t="shared" si="305"/>
        <v>146.304</v>
      </c>
      <c r="AA609" s="7">
        <f t="shared" si="305"/>
        <v>146.304</v>
      </c>
      <c r="AB609" s="7">
        <f t="shared" si="305"/>
        <v>146.304</v>
      </c>
      <c r="AC609" s="7">
        <f t="shared" si="305"/>
        <v>146.304</v>
      </c>
      <c r="AD609" s="7">
        <f t="shared" si="305"/>
        <v>146.304</v>
      </c>
      <c r="AE609" s="7">
        <f t="shared" si="305"/>
        <v>146.304</v>
      </c>
      <c r="AF609" s="7">
        <f t="shared" si="305"/>
        <v>146.304</v>
      </c>
      <c r="AG609" s="7">
        <f t="shared" si="305"/>
        <v>146.304</v>
      </c>
      <c r="AH609" s="7">
        <f t="shared" si="305"/>
        <v>146.304</v>
      </c>
      <c r="AI609" s="7">
        <f t="shared" si="305"/>
        <v>146.304</v>
      </c>
      <c r="AJ609" s="7">
        <f t="shared" si="305"/>
        <v>146.304</v>
      </c>
      <c r="AK609" s="7">
        <f t="shared" si="305"/>
        <v>146.304</v>
      </c>
      <c r="AL609" s="7">
        <f t="shared" si="305"/>
        <v>146.304</v>
      </c>
      <c r="AM609" s="7">
        <f t="shared" si="305"/>
        <v>146.304</v>
      </c>
      <c r="AN609" s="7">
        <f t="shared" si="305"/>
        <v>146.304</v>
      </c>
    </row>
    <row r="610" spans="1:40">
      <c r="A610" s="3"/>
      <c r="B610" s="151" t="s">
        <v>323</v>
      </c>
      <c r="C610" s="36" t="s">
        <v>72</v>
      </c>
      <c r="D610" s="25"/>
      <c r="E610" s="2"/>
      <c r="F610" s="2"/>
      <c r="G610" s="7">
        <f t="shared" ref="G610:AN610" si="306">G411</f>
        <v>643.48199999999997</v>
      </c>
      <c r="H610" s="7">
        <f t="shared" si="306"/>
        <v>495.91300000000001</v>
      </c>
      <c r="I610" s="7">
        <f t="shared" si="306"/>
        <v>536.31700000000001</v>
      </c>
      <c r="J610" s="7">
        <f t="shared" si="306"/>
        <v>282.73099999999999</v>
      </c>
      <c r="K610" s="7">
        <f t="shared" si="306"/>
        <v>441.42700000000002</v>
      </c>
      <c r="L610" s="7">
        <f t="shared" si="306"/>
        <v>440.964</v>
      </c>
      <c r="M610" s="7">
        <f t="shared" si="306"/>
        <v>597.40099999999995</v>
      </c>
      <c r="N610" s="7">
        <f t="shared" si="306"/>
        <v>451.37200000000001</v>
      </c>
      <c r="O610" s="7">
        <f t="shared" si="306"/>
        <v>391.84300000000002</v>
      </c>
      <c r="P610" s="7">
        <f t="shared" si="306"/>
        <v>525.66600000000005</v>
      </c>
      <c r="Q610" s="7">
        <f t="shared" si="306"/>
        <v>521.17200000000003</v>
      </c>
      <c r="R610" s="7">
        <f t="shared" si="306"/>
        <v>368.38099999999997</v>
      </c>
      <c r="S610" s="7">
        <f t="shared" si="306"/>
        <v>678.178</v>
      </c>
      <c r="T610" s="7">
        <f t="shared" si="306"/>
        <v>666.48400000000004</v>
      </c>
      <c r="U610" s="7">
        <f t="shared" si="306"/>
        <v>562.90200000000004</v>
      </c>
      <c r="V610" s="7">
        <f t="shared" si="306"/>
        <v>390.108</v>
      </c>
      <c r="W610" s="7">
        <f t="shared" si="306"/>
        <v>105.108</v>
      </c>
      <c r="X610" s="7">
        <f t="shared" si="306"/>
        <v>280.108</v>
      </c>
      <c r="Y610" s="7">
        <f t="shared" si="306"/>
        <v>280.108</v>
      </c>
      <c r="Z610" s="7">
        <f t="shared" si="306"/>
        <v>280.108</v>
      </c>
      <c r="AA610" s="7">
        <f t="shared" si="306"/>
        <v>280.108</v>
      </c>
      <c r="AB610" s="7">
        <f t="shared" si="306"/>
        <v>280.108</v>
      </c>
      <c r="AC610" s="7">
        <f t="shared" si="306"/>
        <v>280.108</v>
      </c>
      <c r="AD610" s="7">
        <f t="shared" si="306"/>
        <v>280.108</v>
      </c>
      <c r="AE610" s="7">
        <f t="shared" si="306"/>
        <v>280.108</v>
      </c>
      <c r="AF610" s="7">
        <f t="shared" si="306"/>
        <v>280.108</v>
      </c>
      <c r="AG610" s="7">
        <f t="shared" si="306"/>
        <v>280.108</v>
      </c>
      <c r="AH610" s="7">
        <f t="shared" si="306"/>
        <v>280.108</v>
      </c>
      <c r="AI610" s="7">
        <f t="shared" si="306"/>
        <v>280.108</v>
      </c>
      <c r="AJ610" s="7">
        <f t="shared" si="306"/>
        <v>280.108</v>
      </c>
      <c r="AK610" s="7">
        <f t="shared" si="306"/>
        <v>280.108</v>
      </c>
      <c r="AL610" s="7">
        <f t="shared" si="306"/>
        <v>280.108</v>
      </c>
      <c r="AM610" s="7">
        <f t="shared" si="306"/>
        <v>280.108</v>
      </c>
      <c r="AN610" s="7">
        <f t="shared" si="306"/>
        <v>280.108</v>
      </c>
    </row>
    <row r="611" spans="1:40">
      <c r="A611" s="3"/>
      <c r="B611" s="151" t="s">
        <v>110</v>
      </c>
      <c r="C611" s="36" t="s">
        <v>72</v>
      </c>
      <c r="D611" s="25"/>
      <c r="E611" s="6"/>
      <c r="F611" s="6"/>
      <c r="G611" s="212">
        <f>2.007+26.87+555.269</f>
        <v>584.14599999999996</v>
      </c>
      <c r="H611" s="212">
        <f>1.512+30.913+504.804</f>
        <v>537.22899999999993</v>
      </c>
      <c r="I611" s="212">
        <f>1.416+39.815+22.77+295.352</f>
        <v>359.35299999999995</v>
      </c>
      <c r="J611" s="212">
        <f>10.569+39.815+24.375+214.972</f>
        <v>289.73099999999999</v>
      </c>
      <c r="K611" s="212">
        <f>12.141+39.815+20.789+219.996</f>
        <v>292.74099999999999</v>
      </c>
      <c r="L611" s="212">
        <f>20.317+36.31+7.528+207.436</f>
        <v>271.59100000000001</v>
      </c>
      <c r="M611" s="212">
        <f>22.136+32.866+2.366+207.436</f>
        <v>264.80399999999997</v>
      </c>
      <c r="N611" s="212">
        <f>24.557+29.501+219.996</f>
        <v>274.05400000000003</v>
      </c>
      <c r="O611" s="212">
        <f>19.846+260.051</f>
        <v>279.89699999999999</v>
      </c>
      <c r="P611" s="212">
        <f>19.097+5.617+262.444</f>
        <v>287.15800000000002</v>
      </c>
      <c r="Q611" s="212">
        <f>19.611+8.479+262.444</f>
        <v>290.53399999999999</v>
      </c>
      <c r="R611" s="212">
        <f>7.178+20.052+246.408</f>
        <v>273.63799999999998</v>
      </c>
      <c r="S611" s="212">
        <f>2.568+11.611+246.408</f>
        <v>260.58699999999999</v>
      </c>
      <c r="T611" s="212">
        <f>5.027+11.372</f>
        <v>16.399000000000001</v>
      </c>
      <c r="U611" s="212">
        <f>1.56+12.741</f>
        <v>14.301</v>
      </c>
      <c r="V611" s="212">
        <f>0.556+18.355</f>
        <v>18.911000000000001</v>
      </c>
      <c r="W611" s="213">
        <f t="shared" ref="W611:AN611" si="307">V611</f>
        <v>18.911000000000001</v>
      </c>
      <c r="X611" s="213">
        <f t="shared" si="307"/>
        <v>18.911000000000001</v>
      </c>
      <c r="Y611" s="213">
        <f t="shared" si="307"/>
        <v>18.911000000000001</v>
      </c>
      <c r="Z611" s="213">
        <f t="shared" si="307"/>
        <v>18.911000000000001</v>
      </c>
      <c r="AA611" s="213">
        <f t="shared" si="307"/>
        <v>18.911000000000001</v>
      </c>
      <c r="AB611" s="213">
        <f t="shared" si="307"/>
        <v>18.911000000000001</v>
      </c>
      <c r="AC611" s="213">
        <f t="shared" si="307"/>
        <v>18.911000000000001</v>
      </c>
      <c r="AD611" s="213">
        <f t="shared" si="307"/>
        <v>18.911000000000001</v>
      </c>
      <c r="AE611" s="213">
        <f t="shared" si="307"/>
        <v>18.911000000000001</v>
      </c>
      <c r="AF611" s="213">
        <f t="shared" si="307"/>
        <v>18.911000000000001</v>
      </c>
      <c r="AG611" s="213">
        <f t="shared" si="307"/>
        <v>18.911000000000001</v>
      </c>
      <c r="AH611" s="213">
        <f t="shared" si="307"/>
        <v>18.911000000000001</v>
      </c>
      <c r="AI611" s="213">
        <f t="shared" si="307"/>
        <v>18.911000000000001</v>
      </c>
      <c r="AJ611" s="213">
        <f t="shared" si="307"/>
        <v>18.911000000000001</v>
      </c>
      <c r="AK611" s="213">
        <f t="shared" si="307"/>
        <v>18.911000000000001</v>
      </c>
      <c r="AL611" s="213">
        <f t="shared" si="307"/>
        <v>18.911000000000001</v>
      </c>
      <c r="AM611" s="213">
        <f t="shared" si="307"/>
        <v>18.911000000000001</v>
      </c>
      <c r="AN611" s="213">
        <f t="shared" si="307"/>
        <v>18.911000000000001</v>
      </c>
    </row>
    <row r="612" spans="1:40">
      <c r="A612" s="3"/>
      <c r="B612" s="195" t="s">
        <v>177</v>
      </c>
      <c r="C612" s="107"/>
      <c r="D612" s="27"/>
      <c r="E612" s="5"/>
      <c r="F612" s="5"/>
      <c r="G612" s="184" t="s">
        <v>177</v>
      </c>
      <c r="H612" s="184" t="s">
        <v>177</v>
      </c>
      <c r="I612" s="184" t="s">
        <v>177</v>
      </c>
      <c r="J612" s="184" t="s">
        <v>177</v>
      </c>
      <c r="K612" s="184" t="s">
        <v>177</v>
      </c>
      <c r="L612" s="184" t="s">
        <v>177</v>
      </c>
      <c r="M612" s="184" t="s">
        <v>177</v>
      </c>
      <c r="N612" s="184" t="s">
        <v>177</v>
      </c>
      <c r="O612" s="184" t="s">
        <v>177</v>
      </c>
      <c r="P612" s="184" t="s">
        <v>177</v>
      </c>
      <c r="Q612" s="184" t="s">
        <v>177</v>
      </c>
      <c r="R612" s="184" t="s">
        <v>177</v>
      </c>
      <c r="S612" s="184" t="s">
        <v>177</v>
      </c>
      <c r="T612" s="184" t="s">
        <v>177</v>
      </c>
      <c r="U612" s="184" t="s">
        <v>177</v>
      </c>
      <c r="V612" s="184" t="s">
        <v>177</v>
      </c>
      <c r="W612" s="184" t="s">
        <v>177</v>
      </c>
      <c r="X612" s="184" t="s">
        <v>177</v>
      </c>
      <c r="Y612" s="184" t="s">
        <v>177</v>
      </c>
      <c r="Z612" s="184" t="s">
        <v>177</v>
      </c>
      <c r="AA612" s="184" t="s">
        <v>177</v>
      </c>
      <c r="AB612" s="184" t="s">
        <v>177</v>
      </c>
      <c r="AC612" s="184" t="s">
        <v>177</v>
      </c>
      <c r="AD612" s="184" t="s">
        <v>177</v>
      </c>
      <c r="AE612" s="184" t="s">
        <v>177</v>
      </c>
      <c r="AF612" s="184" t="s">
        <v>177</v>
      </c>
      <c r="AG612" s="184" t="s">
        <v>177</v>
      </c>
      <c r="AH612" s="184" t="s">
        <v>177</v>
      </c>
      <c r="AI612" s="184" t="s">
        <v>177</v>
      </c>
      <c r="AJ612" s="184" t="s">
        <v>177</v>
      </c>
      <c r="AK612" s="184" t="s">
        <v>177</v>
      </c>
      <c r="AL612" s="184" t="s">
        <v>177</v>
      </c>
      <c r="AM612" s="184" t="s">
        <v>177</v>
      </c>
      <c r="AN612" s="184" t="s">
        <v>177</v>
      </c>
    </row>
    <row r="613" spans="1:40" s="3" customFormat="1">
      <c r="B613" s="145" t="s">
        <v>324</v>
      </c>
      <c r="C613" s="36" t="s">
        <v>72</v>
      </c>
      <c r="D613" s="26"/>
      <c r="E613" s="4"/>
      <c r="F613" s="4"/>
      <c r="G613" s="210">
        <f t="shared" ref="G613:AN613" si="308">SUM(G608:G612)</f>
        <v>1307.5319999999999</v>
      </c>
      <c r="H613" s="210">
        <f t="shared" si="308"/>
        <v>1103.3019999999999</v>
      </c>
      <c r="I613" s="210">
        <f t="shared" si="308"/>
        <v>1018.495</v>
      </c>
      <c r="J613" s="210">
        <f t="shared" si="308"/>
        <v>669.82500000000005</v>
      </c>
      <c r="K613" s="210">
        <f t="shared" si="308"/>
        <v>838.23500000000001</v>
      </c>
      <c r="L613" s="210">
        <f t="shared" si="308"/>
        <v>880.32299999999998</v>
      </c>
      <c r="M613" s="210">
        <f t="shared" si="308"/>
        <v>1023.6249999999999</v>
      </c>
      <c r="N613" s="210">
        <f t="shared" si="308"/>
        <v>903.54700000000003</v>
      </c>
      <c r="O613" s="210">
        <f t="shared" si="308"/>
        <v>842.95800000000008</v>
      </c>
      <c r="P613" s="210">
        <f t="shared" si="308"/>
        <v>985.76400000000001</v>
      </c>
      <c r="Q613" s="210">
        <f t="shared" si="308"/>
        <v>988.66099999999994</v>
      </c>
      <c r="R613" s="210">
        <f t="shared" si="308"/>
        <v>970.90499999999997</v>
      </c>
      <c r="S613" s="210">
        <f t="shared" si="308"/>
        <v>1285.5029999999999</v>
      </c>
      <c r="T613" s="210">
        <f t="shared" si="308"/>
        <v>1020.729</v>
      </c>
      <c r="U613" s="210">
        <f t="shared" si="308"/>
        <v>883.07900000000006</v>
      </c>
      <c r="V613" s="210">
        <f t="shared" si="308"/>
        <v>725.56799999999998</v>
      </c>
      <c r="W613" s="210">
        <f t="shared" si="308"/>
        <v>440.56799999999998</v>
      </c>
      <c r="X613" s="210">
        <f t="shared" si="308"/>
        <v>615.56799999999998</v>
      </c>
      <c r="Y613" s="210">
        <f t="shared" si="308"/>
        <v>615.56799999999998</v>
      </c>
      <c r="Z613" s="210">
        <f t="shared" si="308"/>
        <v>615.56799999999998</v>
      </c>
      <c r="AA613" s="210">
        <f t="shared" si="308"/>
        <v>615.56799999999998</v>
      </c>
      <c r="AB613" s="210">
        <f t="shared" si="308"/>
        <v>615.56799999999998</v>
      </c>
      <c r="AC613" s="210">
        <f t="shared" si="308"/>
        <v>615.56799999999998</v>
      </c>
      <c r="AD613" s="210">
        <f t="shared" si="308"/>
        <v>615.56799999999998</v>
      </c>
      <c r="AE613" s="210">
        <f t="shared" si="308"/>
        <v>615.56799999999998</v>
      </c>
      <c r="AF613" s="210">
        <f t="shared" si="308"/>
        <v>615.56799999999998</v>
      </c>
      <c r="AG613" s="210">
        <f t="shared" si="308"/>
        <v>615.56799999999998</v>
      </c>
      <c r="AH613" s="210">
        <f t="shared" si="308"/>
        <v>615.56799999999998</v>
      </c>
      <c r="AI613" s="210">
        <f t="shared" si="308"/>
        <v>615.56799999999998</v>
      </c>
      <c r="AJ613" s="210">
        <f t="shared" si="308"/>
        <v>615.56799999999998</v>
      </c>
      <c r="AK613" s="210">
        <f t="shared" si="308"/>
        <v>615.56799999999998</v>
      </c>
      <c r="AL613" s="210">
        <f t="shared" si="308"/>
        <v>615.56799999999998</v>
      </c>
      <c r="AM613" s="210">
        <f t="shared" si="308"/>
        <v>615.56799999999998</v>
      </c>
      <c r="AN613" s="210">
        <f t="shared" si="308"/>
        <v>615.56799999999998</v>
      </c>
    </row>
    <row r="614" spans="1:40">
      <c r="B614" s="49"/>
      <c r="D614" s="25"/>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spans="1:40" s="3" customFormat="1">
      <c r="B615" s="145" t="s">
        <v>325</v>
      </c>
      <c r="C615" s="36" t="s">
        <v>72</v>
      </c>
      <c r="D615" s="26"/>
      <c r="E615" s="4"/>
      <c r="F615" s="4"/>
      <c r="G615" s="210">
        <f t="shared" ref="G615:AN615" si="309">G613+G606</f>
        <v>1502.1329999999998</v>
      </c>
      <c r="H615" s="210">
        <f t="shared" si="309"/>
        <v>1395.9779999999998</v>
      </c>
      <c r="I615" s="210">
        <f t="shared" si="309"/>
        <v>1441.701</v>
      </c>
      <c r="J615" s="210">
        <f t="shared" si="309"/>
        <v>1354.7150000000001</v>
      </c>
      <c r="K615" s="210">
        <f t="shared" si="309"/>
        <v>1167.069</v>
      </c>
      <c r="L615" s="210">
        <f t="shared" si="309"/>
        <v>1149.877</v>
      </c>
      <c r="M615" s="210">
        <f t="shared" si="309"/>
        <v>1204.7559999999999</v>
      </c>
      <c r="N615" s="210">
        <f t="shared" si="309"/>
        <v>1172.4280000000001</v>
      </c>
      <c r="O615" s="210">
        <f t="shared" si="309"/>
        <v>1164.154</v>
      </c>
      <c r="P615" s="210">
        <f t="shared" si="309"/>
        <v>1333.3009999999999</v>
      </c>
      <c r="Q615" s="210">
        <f t="shared" si="309"/>
        <v>1333.0430000000001</v>
      </c>
      <c r="R615" s="210">
        <f t="shared" si="309"/>
        <v>1477.175</v>
      </c>
      <c r="S615" s="210">
        <f t="shared" si="309"/>
        <v>1490.115</v>
      </c>
      <c r="T615" s="210">
        <f t="shared" si="309"/>
        <v>1429.26</v>
      </c>
      <c r="U615" s="210">
        <f t="shared" si="309"/>
        <v>1031.3000000000002</v>
      </c>
      <c r="V615" s="210">
        <f t="shared" si="309"/>
        <v>1059.9639999999999</v>
      </c>
      <c r="W615" s="210">
        <f t="shared" si="309"/>
        <v>776.6410015217391</v>
      </c>
      <c r="X615" s="210">
        <f t="shared" si="309"/>
        <v>777.71010623204415</v>
      </c>
      <c r="Y615" s="210">
        <f t="shared" si="309"/>
        <v>776.12243827434781</v>
      </c>
      <c r="Z615" s="210">
        <f t="shared" si="309"/>
        <v>776.00373883670329</v>
      </c>
      <c r="AA615" s="210">
        <f t="shared" si="309"/>
        <v>779.6846025735174</v>
      </c>
      <c r="AB615" s="210">
        <f t="shared" si="309"/>
        <v>780.35451025902091</v>
      </c>
      <c r="AC615" s="210">
        <f t="shared" si="309"/>
        <v>786.01181316580073</v>
      </c>
      <c r="AD615" s="210">
        <f t="shared" si="309"/>
        <v>786.67628771759348</v>
      </c>
      <c r="AE615" s="210">
        <f t="shared" si="309"/>
        <v>792.6897984342653</v>
      </c>
      <c r="AF615" s="210">
        <f t="shared" si="309"/>
        <v>793.14576319558591</v>
      </c>
      <c r="AG615" s="210">
        <f t="shared" si="309"/>
        <v>799.51440235040252</v>
      </c>
      <c r="AH615" s="210">
        <f t="shared" si="309"/>
        <v>798.96372638359924</v>
      </c>
      <c r="AI615" s="210">
        <f t="shared" si="309"/>
        <v>806.68229538350306</v>
      </c>
      <c r="AJ615" s="210">
        <f t="shared" si="309"/>
        <v>807.05276690776839</v>
      </c>
      <c r="AK615" s="210">
        <f t="shared" si="309"/>
        <v>813.92517912874223</v>
      </c>
      <c r="AL615" s="210">
        <f t="shared" si="309"/>
        <v>814.23910142467901</v>
      </c>
      <c r="AM615" s="210">
        <f t="shared" si="309"/>
        <v>821.54183295821099</v>
      </c>
      <c r="AN615" s="210">
        <f t="shared" si="309"/>
        <v>821.791970454286</v>
      </c>
    </row>
    <row r="616" spans="1:40">
      <c r="B616" s="49"/>
      <c r="D616" s="25"/>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spans="1:40">
      <c r="B617" s="151" t="s">
        <v>326</v>
      </c>
      <c r="C617" s="36" t="s">
        <v>72</v>
      </c>
      <c r="D617" s="25"/>
      <c r="E617" s="2"/>
      <c r="F617" s="2"/>
      <c r="G617" s="212">
        <v>1163.576</v>
      </c>
      <c r="H617" s="212">
        <v>1126.9960000000001</v>
      </c>
      <c r="I617" s="212">
        <v>1110.018</v>
      </c>
      <c r="J617" s="212">
        <v>1288.287</v>
      </c>
      <c r="K617" s="212">
        <v>1339.819</v>
      </c>
      <c r="L617" s="212">
        <v>1338.223</v>
      </c>
      <c r="M617" s="212">
        <v>1339.278</v>
      </c>
      <c r="N617" s="212">
        <v>1340.556</v>
      </c>
      <c r="O617" s="212">
        <v>1342.1869999999999</v>
      </c>
      <c r="P617" s="212">
        <v>1343.027</v>
      </c>
      <c r="Q617" s="212">
        <v>1344.79</v>
      </c>
      <c r="R617" s="212">
        <v>1342.4359999999999</v>
      </c>
      <c r="S617" s="212">
        <v>1343.0170000000001</v>
      </c>
      <c r="T617" s="212">
        <v>1343.627</v>
      </c>
      <c r="U617" s="212">
        <v>1573.9159999999999</v>
      </c>
      <c r="V617" s="212">
        <v>1573.414</v>
      </c>
      <c r="W617" s="7">
        <f t="shared" ref="W617:AN617" si="310">V617+W472+W477</f>
        <v>1573.414</v>
      </c>
      <c r="X617" s="7">
        <f t="shared" si="310"/>
        <v>1573.414</v>
      </c>
      <c r="Y617" s="7">
        <f t="shared" si="310"/>
        <v>1573.414</v>
      </c>
      <c r="Z617" s="7">
        <f t="shared" si="310"/>
        <v>1573.414</v>
      </c>
      <c r="AA617" s="7">
        <f t="shared" si="310"/>
        <v>1573.414</v>
      </c>
      <c r="AB617" s="7">
        <f t="shared" si="310"/>
        <v>1573.414</v>
      </c>
      <c r="AC617" s="7">
        <f t="shared" si="310"/>
        <v>1573.414</v>
      </c>
      <c r="AD617" s="7">
        <f t="shared" si="310"/>
        <v>1573.414</v>
      </c>
      <c r="AE617" s="7">
        <f t="shared" si="310"/>
        <v>1573.414</v>
      </c>
      <c r="AF617" s="7">
        <f t="shared" si="310"/>
        <v>1573.414</v>
      </c>
      <c r="AG617" s="7">
        <f t="shared" si="310"/>
        <v>1573.414</v>
      </c>
      <c r="AH617" s="7">
        <f t="shared" si="310"/>
        <v>1573.414</v>
      </c>
      <c r="AI617" s="7">
        <f t="shared" si="310"/>
        <v>1573.414</v>
      </c>
      <c r="AJ617" s="7">
        <f t="shared" si="310"/>
        <v>1573.414</v>
      </c>
      <c r="AK617" s="7">
        <f t="shared" si="310"/>
        <v>1573.414</v>
      </c>
      <c r="AL617" s="7">
        <f t="shared" si="310"/>
        <v>1573.414</v>
      </c>
      <c r="AM617" s="7">
        <f t="shared" si="310"/>
        <v>1573.414</v>
      </c>
      <c r="AN617" s="7">
        <f t="shared" si="310"/>
        <v>1573.414</v>
      </c>
    </row>
    <row r="618" spans="1:40">
      <c r="B618" s="151" t="s">
        <v>327</v>
      </c>
      <c r="C618" s="36" t="s">
        <v>72</v>
      </c>
      <c r="D618" s="25"/>
      <c r="E618" s="6"/>
      <c r="F618" s="6"/>
      <c r="G618" s="212">
        <v>-73.397000000000006</v>
      </c>
      <c r="H618" s="212">
        <v>-48.564999999999998</v>
      </c>
      <c r="I618" s="212">
        <v>-39.786000000000001</v>
      </c>
      <c r="J618" s="212">
        <v>-33.320999999999998</v>
      </c>
      <c r="K618" s="212">
        <v>-31.056999999999999</v>
      </c>
      <c r="L618" s="212">
        <v>-22.978999999999999</v>
      </c>
      <c r="M618" s="212">
        <v>-23.451000000000001</v>
      </c>
      <c r="N618" s="212">
        <v>-4.4450000000000003</v>
      </c>
      <c r="O618" s="212">
        <v>-15.522</v>
      </c>
      <c r="P618" s="212">
        <v>-10.435</v>
      </c>
      <c r="Q618" s="212">
        <v>-13.863</v>
      </c>
      <c r="R618" s="212">
        <v>-7.45</v>
      </c>
      <c r="S618" s="212">
        <v>-8.7720000000000002</v>
      </c>
      <c r="T618" s="212">
        <v>-11.311999999999999</v>
      </c>
      <c r="U618" s="212">
        <v>-5.1669999999999998</v>
      </c>
      <c r="V618" s="212">
        <v>-44.722000000000001</v>
      </c>
      <c r="W618" s="7">
        <f t="shared" ref="W618:AN618" si="311">V618</f>
        <v>-44.722000000000001</v>
      </c>
      <c r="X618" s="7">
        <f t="shared" si="311"/>
        <v>-44.722000000000001</v>
      </c>
      <c r="Y618" s="7">
        <f t="shared" si="311"/>
        <v>-44.722000000000001</v>
      </c>
      <c r="Z618" s="7">
        <f t="shared" si="311"/>
        <v>-44.722000000000001</v>
      </c>
      <c r="AA618" s="7">
        <f t="shared" si="311"/>
        <v>-44.722000000000001</v>
      </c>
      <c r="AB618" s="7">
        <f t="shared" si="311"/>
        <v>-44.722000000000001</v>
      </c>
      <c r="AC618" s="7">
        <f t="shared" si="311"/>
        <v>-44.722000000000001</v>
      </c>
      <c r="AD618" s="7">
        <f t="shared" si="311"/>
        <v>-44.722000000000001</v>
      </c>
      <c r="AE618" s="7">
        <f t="shared" si="311"/>
        <v>-44.722000000000001</v>
      </c>
      <c r="AF618" s="7">
        <f t="shared" si="311"/>
        <v>-44.722000000000001</v>
      </c>
      <c r="AG618" s="7">
        <f t="shared" si="311"/>
        <v>-44.722000000000001</v>
      </c>
      <c r="AH618" s="7">
        <f t="shared" si="311"/>
        <v>-44.722000000000001</v>
      </c>
      <c r="AI618" s="7">
        <f t="shared" si="311"/>
        <v>-44.722000000000001</v>
      </c>
      <c r="AJ618" s="7">
        <f t="shared" si="311"/>
        <v>-44.722000000000001</v>
      </c>
      <c r="AK618" s="7">
        <f t="shared" si="311"/>
        <v>-44.722000000000001</v>
      </c>
      <c r="AL618" s="7">
        <f t="shared" si="311"/>
        <v>-44.722000000000001</v>
      </c>
      <c r="AM618" s="7">
        <f t="shared" si="311"/>
        <v>-44.722000000000001</v>
      </c>
      <c r="AN618" s="7">
        <f t="shared" si="311"/>
        <v>-44.722000000000001</v>
      </c>
    </row>
    <row r="619" spans="1:40">
      <c r="B619" s="151" t="s">
        <v>328</v>
      </c>
      <c r="C619" s="36" t="s">
        <v>72</v>
      </c>
      <c r="D619" s="25"/>
      <c r="E619" s="2"/>
      <c r="F619" s="2"/>
      <c r="G619" s="212">
        <v>83.721999999999994</v>
      </c>
      <c r="H619" s="212">
        <v>77.540999999999997</v>
      </c>
      <c r="I619" s="212">
        <v>338.65899999999999</v>
      </c>
      <c r="J619" s="212">
        <v>179.64099999999999</v>
      </c>
      <c r="K619" s="212">
        <v>258.05700000000002</v>
      </c>
      <c r="L619" s="212">
        <v>321.83999999999997</v>
      </c>
      <c r="M619" s="212">
        <v>235.04</v>
      </c>
      <c r="N619" s="212">
        <v>235.16300000000001</v>
      </c>
      <c r="O619" s="212">
        <v>258.012</v>
      </c>
      <c r="P619" s="212">
        <v>197.60499999999999</v>
      </c>
      <c r="Q619" s="212">
        <v>174.61</v>
      </c>
      <c r="R619" s="212">
        <v>-31.125</v>
      </c>
      <c r="S619" s="212">
        <v>-25.053999999999998</v>
      </c>
      <c r="T619" s="212">
        <v>-1.891</v>
      </c>
      <c r="U619" s="212">
        <v>10.191000000000001</v>
      </c>
      <c r="V619" s="212">
        <v>16.341999999999999</v>
      </c>
      <c r="W619" s="7">
        <f t="shared" ref="W619:AN619" si="312">V619+W563+W368</f>
        <v>-11.237991419992472</v>
      </c>
      <c r="X619" s="7">
        <f t="shared" si="312"/>
        <v>-0.20767714806266824</v>
      </c>
      <c r="Y619" s="7">
        <f t="shared" si="312"/>
        <v>7.8000662135492895</v>
      </c>
      <c r="Z619" s="7">
        <f t="shared" si="312"/>
        <v>37.556733927977234</v>
      </c>
      <c r="AA619" s="7">
        <f t="shared" si="312"/>
        <v>67.173494093423216</v>
      </c>
      <c r="AB619" s="7">
        <f t="shared" si="312"/>
        <v>105.13408947384046</v>
      </c>
      <c r="AC619" s="7">
        <f t="shared" si="312"/>
        <v>146.41882150587699</v>
      </c>
      <c r="AD619" s="7">
        <f t="shared" si="312"/>
        <v>189.16505688081369</v>
      </c>
      <c r="AE619" s="7">
        <f t="shared" si="312"/>
        <v>201.24069276413866</v>
      </c>
      <c r="AF619" s="7">
        <f t="shared" si="312"/>
        <v>211.43334670270599</v>
      </c>
      <c r="AG619" s="7">
        <f t="shared" si="312"/>
        <v>224.19535449941569</v>
      </c>
      <c r="AH619" s="7">
        <f t="shared" si="312"/>
        <v>235.19517614933284</v>
      </c>
      <c r="AI619" s="7">
        <f t="shared" si="312"/>
        <v>248.98059925257007</v>
      </c>
      <c r="AJ619" s="7">
        <f t="shared" si="312"/>
        <v>260.87664370725423</v>
      </c>
      <c r="AK619" s="7">
        <f t="shared" si="312"/>
        <v>273.75615432725368</v>
      </c>
      <c r="AL619" s="7">
        <f t="shared" si="312"/>
        <v>286.14709095801317</v>
      </c>
      <c r="AM619" s="7">
        <f t="shared" si="312"/>
        <v>299.61105677083106</v>
      </c>
      <c r="AN619" s="7">
        <f t="shared" si="312"/>
        <v>312.52946527455015</v>
      </c>
    </row>
    <row r="620" spans="1:40">
      <c r="B620" s="151" t="s">
        <v>329</v>
      </c>
      <c r="C620" s="36" t="s">
        <v>72</v>
      </c>
      <c r="D620" s="2"/>
      <c r="E620" s="2"/>
      <c r="F620" s="2"/>
      <c r="G620" s="212">
        <v>0</v>
      </c>
      <c r="H620" s="212">
        <v>0</v>
      </c>
      <c r="I620" s="212">
        <v>0</v>
      </c>
      <c r="J620" s="212">
        <v>0</v>
      </c>
      <c r="K620" s="212">
        <v>0</v>
      </c>
      <c r="L620" s="212">
        <v>0</v>
      </c>
      <c r="M620" s="212">
        <v>0</v>
      </c>
      <c r="N620" s="212">
        <v>0</v>
      </c>
      <c r="O620" s="212">
        <v>0</v>
      </c>
      <c r="P620" s="212">
        <v>0</v>
      </c>
      <c r="Q620" s="212">
        <v>0</v>
      </c>
      <c r="R620" s="212">
        <v>0</v>
      </c>
      <c r="S620" s="212">
        <v>0</v>
      </c>
      <c r="T620" s="212">
        <v>0</v>
      </c>
      <c r="U620" s="212">
        <v>0</v>
      </c>
      <c r="V620" s="212">
        <v>0</v>
      </c>
      <c r="W620" s="216">
        <v>0</v>
      </c>
      <c r="X620" s="216">
        <v>0</v>
      </c>
      <c r="Y620" s="216">
        <v>0</v>
      </c>
      <c r="Z620" s="216">
        <v>0</v>
      </c>
      <c r="AA620" s="216">
        <v>0</v>
      </c>
      <c r="AB620" s="216">
        <v>0</v>
      </c>
      <c r="AC620" s="216">
        <v>0</v>
      </c>
      <c r="AD620" s="216">
        <v>0</v>
      </c>
      <c r="AE620" s="216">
        <v>0</v>
      </c>
      <c r="AF620" s="216">
        <v>0</v>
      </c>
      <c r="AG620" s="216">
        <v>0</v>
      </c>
      <c r="AH620" s="216">
        <v>0</v>
      </c>
      <c r="AI620" s="216">
        <v>0</v>
      </c>
      <c r="AJ620" s="216">
        <v>0</v>
      </c>
      <c r="AK620" s="216">
        <v>0</v>
      </c>
      <c r="AL620" s="216">
        <v>0</v>
      </c>
      <c r="AM620" s="216">
        <v>0</v>
      </c>
      <c r="AN620" s="216">
        <v>0</v>
      </c>
    </row>
    <row r="621" spans="1:40">
      <c r="B621" s="195" t="s">
        <v>177</v>
      </c>
      <c r="C621" s="107"/>
      <c r="D621" s="27"/>
      <c r="E621" s="5"/>
      <c r="F621" s="5"/>
      <c r="G621" s="184" t="s">
        <v>177</v>
      </c>
      <c r="H621" s="184" t="s">
        <v>177</v>
      </c>
      <c r="I621" s="184" t="s">
        <v>177</v>
      </c>
      <c r="J621" s="184" t="s">
        <v>177</v>
      </c>
      <c r="K621" s="184" t="s">
        <v>177</v>
      </c>
      <c r="L621" s="184" t="s">
        <v>177</v>
      </c>
      <c r="M621" s="184" t="s">
        <v>177</v>
      </c>
      <c r="N621" s="184" t="s">
        <v>177</v>
      </c>
      <c r="O621" s="184" t="s">
        <v>177</v>
      </c>
      <c r="P621" s="184" t="s">
        <v>177</v>
      </c>
      <c r="Q621" s="184" t="s">
        <v>177</v>
      </c>
      <c r="R621" s="184" t="s">
        <v>177</v>
      </c>
      <c r="S621" s="184" t="s">
        <v>177</v>
      </c>
      <c r="T621" s="184" t="s">
        <v>177</v>
      </c>
      <c r="U621" s="184" t="s">
        <v>177</v>
      </c>
      <c r="V621" s="184" t="s">
        <v>177</v>
      </c>
      <c r="W621" s="184" t="s">
        <v>177</v>
      </c>
      <c r="X621" s="184" t="s">
        <v>177</v>
      </c>
      <c r="Y621" s="184" t="s">
        <v>177</v>
      </c>
      <c r="Z621" s="184" t="s">
        <v>177</v>
      </c>
      <c r="AA621" s="184" t="s">
        <v>177</v>
      </c>
      <c r="AB621" s="184" t="s">
        <v>177</v>
      </c>
      <c r="AC621" s="184" t="s">
        <v>177</v>
      </c>
      <c r="AD621" s="184" t="s">
        <v>177</v>
      </c>
      <c r="AE621" s="184" t="s">
        <v>177</v>
      </c>
      <c r="AF621" s="184" t="s">
        <v>177</v>
      </c>
      <c r="AG621" s="184" t="s">
        <v>177</v>
      </c>
      <c r="AH621" s="184" t="s">
        <v>177</v>
      </c>
      <c r="AI621" s="184" t="s">
        <v>177</v>
      </c>
      <c r="AJ621" s="184" t="s">
        <v>177</v>
      </c>
      <c r="AK621" s="184" t="s">
        <v>177</v>
      </c>
      <c r="AL621" s="184" t="s">
        <v>177</v>
      </c>
      <c r="AM621" s="184" t="s">
        <v>177</v>
      </c>
      <c r="AN621" s="184" t="s">
        <v>177</v>
      </c>
    </row>
    <row r="622" spans="1:40" s="3" customFormat="1">
      <c r="B622" s="145" t="s">
        <v>330</v>
      </c>
      <c r="C622" s="36" t="s">
        <v>72</v>
      </c>
      <c r="D622" s="26"/>
      <c r="E622" s="4"/>
      <c r="F622" s="4"/>
      <c r="G622" s="210">
        <f t="shared" ref="G622:AN622" si="313">SUM(G617:G621)</f>
        <v>1173.9010000000001</v>
      </c>
      <c r="H622" s="210">
        <f t="shared" si="313"/>
        <v>1155.972</v>
      </c>
      <c r="I622" s="210">
        <f t="shared" si="313"/>
        <v>1408.8910000000001</v>
      </c>
      <c r="J622" s="210">
        <f t="shared" si="313"/>
        <v>1434.6070000000002</v>
      </c>
      <c r="K622" s="210">
        <f t="shared" si="313"/>
        <v>1566.819</v>
      </c>
      <c r="L622" s="210">
        <f t="shared" si="313"/>
        <v>1637.0839999999998</v>
      </c>
      <c r="M622" s="210">
        <f t="shared" si="313"/>
        <v>1550.867</v>
      </c>
      <c r="N622" s="210">
        <f t="shared" si="313"/>
        <v>1571.2740000000001</v>
      </c>
      <c r="O622" s="210">
        <f t="shared" si="313"/>
        <v>1584.6769999999999</v>
      </c>
      <c r="P622" s="210">
        <f t="shared" si="313"/>
        <v>1530.1970000000001</v>
      </c>
      <c r="Q622" s="210">
        <f t="shared" si="313"/>
        <v>1505.5369999999998</v>
      </c>
      <c r="R622" s="210">
        <f t="shared" si="313"/>
        <v>1303.8609999999999</v>
      </c>
      <c r="S622" s="210">
        <f t="shared" si="313"/>
        <v>1309.191</v>
      </c>
      <c r="T622" s="210">
        <f t="shared" si="313"/>
        <v>1330.424</v>
      </c>
      <c r="U622" s="210">
        <f t="shared" si="313"/>
        <v>1578.94</v>
      </c>
      <c r="V622" s="210">
        <f t="shared" si="313"/>
        <v>1545.0340000000001</v>
      </c>
      <c r="W622" s="210">
        <f t="shared" si="313"/>
        <v>1517.4540085800074</v>
      </c>
      <c r="X622" s="210">
        <f t="shared" si="313"/>
        <v>1528.4843228519373</v>
      </c>
      <c r="Y622" s="210">
        <f t="shared" si="313"/>
        <v>1536.4920662135494</v>
      </c>
      <c r="Z622" s="210">
        <f t="shared" si="313"/>
        <v>1566.2487339279774</v>
      </c>
      <c r="AA622" s="210">
        <f t="shared" si="313"/>
        <v>1595.8654940934232</v>
      </c>
      <c r="AB622" s="210">
        <f t="shared" si="313"/>
        <v>1633.8260894738405</v>
      </c>
      <c r="AC622" s="210">
        <f t="shared" si="313"/>
        <v>1675.1108215058771</v>
      </c>
      <c r="AD622" s="210">
        <f t="shared" si="313"/>
        <v>1717.8570568808136</v>
      </c>
      <c r="AE622" s="210">
        <f t="shared" si="313"/>
        <v>1729.9326927641387</v>
      </c>
      <c r="AF622" s="210">
        <f t="shared" si="313"/>
        <v>1740.1253467027059</v>
      </c>
      <c r="AG622" s="210">
        <f t="shared" si="313"/>
        <v>1752.8873544994158</v>
      </c>
      <c r="AH622" s="210">
        <f t="shared" si="313"/>
        <v>1763.8871761493328</v>
      </c>
      <c r="AI622" s="210">
        <f t="shared" si="313"/>
        <v>1777.6725992525701</v>
      </c>
      <c r="AJ622" s="210">
        <f t="shared" si="313"/>
        <v>1789.5686437072543</v>
      </c>
      <c r="AK622" s="210">
        <f t="shared" si="313"/>
        <v>1802.4481543272536</v>
      </c>
      <c r="AL622" s="210">
        <f t="shared" si="313"/>
        <v>1814.8390909580132</v>
      </c>
      <c r="AM622" s="210">
        <f t="shared" si="313"/>
        <v>1828.3030567708311</v>
      </c>
      <c r="AN622" s="210">
        <f t="shared" si="313"/>
        <v>1841.2214652745502</v>
      </c>
    </row>
    <row r="623" spans="1:40">
      <c r="B623" s="198" t="s">
        <v>303</v>
      </c>
      <c r="C623" s="108"/>
      <c r="D623" s="199"/>
      <c r="E623" s="200"/>
      <c r="F623" s="200"/>
      <c r="G623" s="200">
        <f t="shared" ref="G623:AN623" si="314">G622+G615-G597</f>
        <v>0</v>
      </c>
      <c r="H623" s="200">
        <f t="shared" si="314"/>
        <v>0</v>
      </c>
      <c r="I623" s="200">
        <f t="shared" si="314"/>
        <v>0</v>
      </c>
      <c r="J623" s="200">
        <f t="shared" si="314"/>
        <v>0</v>
      </c>
      <c r="K623" s="200">
        <f t="shared" si="314"/>
        <v>0</v>
      </c>
      <c r="L623" s="200">
        <f t="shared" si="314"/>
        <v>0</v>
      </c>
      <c r="M623" s="200">
        <f t="shared" si="314"/>
        <v>0</v>
      </c>
      <c r="N623" s="200">
        <f t="shared" si="314"/>
        <v>0</v>
      </c>
      <c r="O623" s="200">
        <f t="shared" si="314"/>
        <v>0</v>
      </c>
      <c r="P623" s="200">
        <f t="shared" si="314"/>
        <v>0</v>
      </c>
      <c r="Q623" s="200">
        <f t="shared" si="314"/>
        <v>0</v>
      </c>
      <c r="R623" s="200">
        <f t="shared" si="314"/>
        <v>0</v>
      </c>
      <c r="S623" s="200">
        <f t="shared" si="314"/>
        <v>0</v>
      </c>
      <c r="T623" s="200">
        <f t="shared" si="314"/>
        <v>0</v>
      </c>
      <c r="U623" s="200">
        <f t="shared" si="314"/>
        <v>0</v>
      </c>
      <c r="V623" s="200">
        <f t="shared" si="314"/>
        <v>0</v>
      </c>
      <c r="W623" s="200">
        <f t="shared" si="314"/>
        <v>0</v>
      </c>
      <c r="X623" s="200">
        <f t="shared" si="314"/>
        <v>0</v>
      </c>
      <c r="Y623" s="200">
        <f t="shared" si="314"/>
        <v>0</v>
      </c>
      <c r="Z623" s="200">
        <f t="shared" si="314"/>
        <v>0</v>
      </c>
      <c r="AA623" s="200">
        <f t="shared" si="314"/>
        <v>0</v>
      </c>
      <c r="AB623" s="200">
        <f t="shared" si="314"/>
        <v>0</v>
      </c>
      <c r="AC623" s="200">
        <f t="shared" si="314"/>
        <v>0</v>
      </c>
      <c r="AD623" s="200">
        <f t="shared" si="314"/>
        <v>0</v>
      </c>
      <c r="AE623" s="200">
        <f t="shared" si="314"/>
        <v>0</v>
      </c>
      <c r="AF623" s="200">
        <f t="shared" si="314"/>
        <v>0</v>
      </c>
      <c r="AG623" s="200">
        <f t="shared" si="314"/>
        <v>0</v>
      </c>
      <c r="AH623" s="200">
        <f t="shared" si="314"/>
        <v>0</v>
      </c>
      <c r="AI623" s="200">
        <f t="shared" si="314"/>
        <v>0</v>
      </c>
      <c r="AJ623" s="200">
        <f t="shared" si="314"/>
        <v>0</v>
      </c>
      <c r="AK623" s="200">
        <f t="shared" si="314"/>
        <v>0</v>
      </c>
      <c r="AL623" s="200">
        <f t="shared" si="314"/>
        <v>0</v>
      </c>
      <c r="AM623" s="200">
        <f t="shared" si="314"/>
        <v>0</v>
      </c>
      <c r="AN623" s="200">
        <f t="shared" si="314"/>
        <v>0</v>
      </c>
    </row>
    <row r="625" spans="1:40" s="157" customFormat="1">
      <c r="A625" s="157" t="s">
        <v>7</v>
      </c>
      <c r="B625" s="158" t="s">
        <v>331</v>
      </c>
      <c r="C625" s="159"/>
      <c r="E625" s="160"/>
      <c r="F625" s="160"/>
      <c r="G625" s="160"/>
      <c r="H625" s="160"/>
      <c r="I625" s="160"/>
      <c r="J625" s="160"/>
      <c r="K625" s="160"/>
      <c r="L625" s="160"/>
      <c r="M625" s="160"/>
      <c r="N625" s="160"/>
      <c r="O625" s="160"/>
      <c r="P625" s="160"/>
      <c r="Q625" s="160"/>
      <c r="R625" s="160"/>
      <c r="S625" s="160"/>
      <c r="T625" s="160"/>
      <c r="U625" s="160"/>
      <c r="V625" s="160"/>
      <c r="W625" s="160"/>
      <c r="X625" s="160"/>
      <c r="Y625" s="160"/>
      <c r="Z625" s="160"/>
      <c r="AA625" s="160"/>
      <c r="AB625" s="160"/>
      <c r="AC625" s="160"/>
      <c r="AD625" s="160"/>
      <c r="AE625" s="160"/>
      <c r="AF625" s="160"/>
      <c r="AG625" s="160"/>
      <c r="AH625" s="160"/>
      <c r="AI625" s="160"/>
      <c r="AJ625" s="160"/>
      <c r="AK625" s="160"/>
      <c r="AL625" s="160"/>
      <c r="AM625" s="160"/>
      <c r="AN625" s="160"/>
    </row>
    <row r="627" spans="1:40">
      <c r="B627" s="49" t="s">
        <v>332</v>
      </c>
      <c r="C627" s="36" t="s">
        <v>333</v>
      </c>
      <c r="D627" s="8">
        <f ca="1">TODAY()</f>
        <v>46280</v>
      </c>
    </row>
    <row r="628" spans="1:40">
      <c r="B628" s="49" t="s">
        <v>334</v>
      </c>
      <c r="C628" s="1"/>
      <c r="D628" s="653">
        <f>_xlfn.XLOOKUP("A",$10:$10,$485:$485,,,-1)</f>
        <v>1103.0550470000001</v>
      </c>
    </row>
    <row r="630" spans="1:40">
      <c r="B630" s="129" t="s">
        <v>335</v>
      </c>
    </row>
    <row r="631" spans="1:40">
      <c r="B631" s="171" t="s">
        <v>336</v>
      </c>
    </row>
    <row r="632" spans="1:40">
      <c r="B632" s="174" t="s">
        <v>337</v>
      </c>
      <c r="C632" s="36" t="s">
        <v>88</v>
      </c>
      <c r="D632" s="258"/>
    </row>
    <row r="633" spans="1:40">
      <c r="B633" s="174" t="s">
        <v>157</v>
      </c>
      <c r="C633" s="36" t="s">
        <v>88</v>
      </c>
      <c r="D633" s="258">
        <v>0.3</v>
      </c>
    </row>
    <row r="634" spans="1:40">
      <c r="B634" s="197" t="s">
        <v>338</v>
      </c>
      <c r="C634" s="36" t="s">
        <v>88</v>
      </c>
      <c r="D634" s="259">
        <f>D632*(1-D633)</f>
        <v>0</v>
      </c>
    </row>
    <row r="635" spans="1:40">
      <c r="B635" s="151"/>
      <c r="D635" s="36"/>
    </row>
    <row r="636" spans="1:40">
      <c r="B636" s="171" t="s">
        <v>339</v>
      </c>
      <c r="D636" s="36"/>
    </row>
    <row r="637" spans="1:40">
      <c r="B637" s="174" t="s">
        <v>340</v>
      </c>
      <c r="C637" s="36" t="s">
        <v>88</v>
      </c>
      <c r="D637" s="258">
        <v>0.05</v>
      </c>
    </row>
    <row r="638" spans="1:40">
      <c r="B638" s="174" t="s">
        <v>341</v>
      </c>
      <c r="C638" s="36" t="s">
        <v>88</v>
      </c>
      <c r="D638" s="257">
        <v>1.35</v>
      </c>
    </row>
    <row r="639" spans="1:40">
      <c r="B639" s="174" t="s">
        <v>342</v>
      </c>
      <c r="C639" s="36" t="s">
        <v>88</v>
      </c>
      <c r="D639" s="258">
        <v>0.06</v>
      </c>
    </row>
    <row r="640" spans="1:40">
      <c r="B640" s="197" t="s">
        <v>343</v>
      </c>
      <c r="C640" s="36" t="s">
        <v>88</v>
      </c>
      <c r="D640" s="259">
        <f>D637+D638*D639</f>
        <v>0.13100000000000001</v>
      </c>
    </row>
    <row r="641" spans="2:40">
      <c r="B641" s="151"/>
      <c r="D641" s="36"/>
    </row>
    <row r="642" spans="2:40">
      <c r="B642" s="171" t="s">
        <v>344</v>
      </c>
      <c r="D642" s="36"/>
    </row>
    <row r="643" spans="2:40">
      <c r="B643" s="174" t="s">
        <v>345</v>
      </c>
      <c r="C643" s="36" t="s">
        <v>88</v>
      </c>
      <c r="D643" s="36"/>
    </row>
    <row r="644" spans="2:40">
      <c r="B644" s="197" t="s">
        <v>346</v>
      </c>
      <c r="C644" s="36" t="s">
        <v>88</v>
      </c>
      <c r="D644" s="36"/>
    </row>
    <row r="645" spans="2:40">
      <c r="B645" s="197"/>
      <c r="D645" s="36"/>
    </row>
    <row r="646" spans="2:40">
      <c r="B646" s="129" t="s">
        <v>347</v>
      </c>
      <c r="D646" s="36"/>
    </row>
    <row r="647" spans="2:40">
      <c r="B647" s="151" t="s">
        <v>348</v>
      </c>
      <c r="C647" s="36" t="s">
        <v>82</v>
      </c>
      <c r="D647" s="36"/>
      <c r="E647" s="2">
        <f t="shared" ref="E647:AN647" ca="1" si="315">IF(E4&lt;$D$627,0,1/(1+$D$640)^((E4-$D$627)/365.5))</f>
        <v>0</v>
      </c>
      <c r="F647" s="2">
        <f t="shared" ca="1" si="315"/>
        <v>0</v>
      </c>
      <c r="G647" s="2">
        <f t="shared" ca="1" si="315"/>
        <v>0</v>
      </c>
      <c r="H647" s="2">
        <f t="shared" ca="1" si="315"/>
        <v>0</v>
      </c>
      <c r="I647" s="2">
        <f t="shared" ca="1" si="315"/>
        <v>0</v>
      </c>
      <c r="J647" s="2">
        <f t="shared" ca="1" si="315"/>
        <v>0</v>
      </c>
      <c r="K647" s="2">
        <f t="shared" ca="1" si="315"/>
        <v>0</v>
      </c>
      <c r="L647" s="2">
        <f t="shared" ca="1" si="315"/>
        <v>0</v>
      </c>
      <c r="M647" s="2">
        <f t="shared" ca="1" si="315"/>
        <v>0</v>
      </c>
      <c r="N647" s="2">
        <f t="shared" ca="1" si="315"/>
        <v>0</v>
      </c>
      <c r="O647" s="2">
        <f t="shared" ca="1" si="315"/>
        <v>0</v>
      </c>
      <c r="P647" s="2">
        <f t="shared" ca="1" si="315"/>
        <v>0</v>
      </c>
      <c r="Q647" s="2">
        <f t="shared" ca="1" si="315"/>
        <v>0</v>
      </c>
      <c r="R647" s="2">
        <f t="shared" ca="1" si="315"/>
        <v>0</v>
      </c>
      <c r="S647" s="2">
        <f t="shared" ca="1" si="315"/>
        <v>0</v>
      </c>
      <c r="T647" s="2">
        <f t="shared" ca="1" si="315"/>
        <v>0</v>
      </c>
      <c r="U647" s="2">
        <f t="shared" ca="1" si="315"/>
        <v>0</v>
      </c>
      <c r="V647" s="2">
        <f t="shared" ca="1" si="315"/>
        <v>0</v>
      </c>
      <c r="W647" s="2">
        <f t="shared" ca="1" si="315"/>
        <v>0.96460351620192875</v>
      </c>
      <c r="X647" s="2">
        <f t="shared" ca="1" si="315"/>
        <v>0.90755617305757574</v>
      </c>
      <c r="Y647" s="2">
        <f t="shared" ca="1" si="315"/>
        <v>0.85302031077280849</v>
      </c>
      <c r="Z647" s="2">
        <f t="shared" ca="1" si="315"/>
        <v>0.8023018136472051</v>
      </c>
      <c r="AA647" s="2">
        <f t="shared" ca="1" si="315"/>
        <v>0.75409077997369267</v>
      </c>
      <c r="AB647" s="2">
        <f t="shared" ca="1" si="315"/>
        <v>0.70949331089485657</v>
      </c>
      <c r="AC647" s="2">
        <f t="shared" ca="1" si="315"/>
        <v>0.66685922317269564</v>
      </c>
      <c r="AD647" s="2">
        <f t="shared" ca="1" si="315"/>
        <v>0.62742069086970365</v>
      </c>
      <c r="AE647" s="2">
        <f t="shared" ca="1" si="315"/>
        <v>0.58971842030213517</v>
      </c>
      <c r="AF647" s="2">
        <f t="shared" ca="1" si="315"/>
        <v>0.55484205035691181</v>
      </c>
      <c r="AG647" s="2">
        <f t="shared" ca="1" si="315"/>
        <v>0.52150109522228927</v>
      </c>
      <c r="AH647" s="2">
        <f t="shared" ca="1" si="315"/>
        <v>0.4904939181773863</v>
      </c>
      <c r="AI647" s="2">
        <f t="shared" ca="1" si="315"/>
        <v>0.46101969986744062</v>
      </c>
      <c r="AJ647" s="2">
        <f t="shared" ca="1" si="315"/>
        <v>0.43375466446906358</v>
      </c>
      <c r="AK647" s="2">
        <f t="shared" ca="1" si="315"/>
        <v>0.40768995867001057</v>
      </c>
      <c r="AL647" s="2">
        <f t="shared" ca="1" si="315"/>
        <v>0.38357888238000198</v>
      </c>
      <c r="AM647" s="2">
        <f t="shared" ca="1" si="315"/>
        <v>0.36052928421094887</v>
      </c>
      <c r="AN647" s="2">
        <f t="shared" ca="1" si="315"/>
        <v>0.33920732400189602</v>
      </c>
    </row>
    <row r="648" spans="2:40">
      <c r="B648" s="151" t="s">
        <v>349</v>
      </c>
      <c r="C648" s="36" t="s">
        <v>85</v>
      </c>
      <c r="D648" s="36"/>
      <c r="E648" s="2">
        <f t="shared" ref="E648:AN648" si="316">(E548+E556+E565+E566+E558+E559+E560)/E485</f>
        <v>0</v>
      </c>
      <c r="F648" s="2">
        <f t="shared" si="316"/>
        <v>0</v>
      </c>
      <c r="G648" s="2">
        <f t="shared" si="316"/>
        <v>5.4429171923751248E-2</v>
      </c>
      <c r="H648" s="2">
        <f t="shared" si="316"/>
        <v>6.7482592868739033E-2</v>
      </c>
      <c r="I648" s="2">
        <f t="shared" si="316"/>
        <v>0.13747218088451099</v>
      </c>
      <c r="J648" s="2">
        <f t="shared" si="316"/>
        <v>-0.17855461350572988</v>
      </c>
      <c r="K648" s="2">
        <f t="shared" si="316"/>
        <v>-7.7458032782303676E-2</v>
      </c>
      <c r="L648" s="2">
        <f t="shared" si="316"/>
        <v>-3.5039223205322677E-2</v>
      </c>
      <c r="M648" s="2">
        <f t="shared" si="316"/>
        <v>7.9990243792186375E-2</v>
      </c>
      <c r="N648" s="2">
        <f t="shared" si="316"/>
        <v>-5.783833033430319E-2</v>
      </c>
      <c r="O648" s="2">
        <f t="shared" si="316"/>
        <v>9.4642866357944139E-2</v>
      </c>
      <c r="P648" s="2">
        <f t="shared" si="316"/>
        <v>0.18649438115070857</v>
      </c>
      <c r="Q648" s="2">
        <f t="shared" si="316"/>
        <v>-2.6270538222528783E-2</v>
      </c>
      <c r="R648" s="2">
        <f t="shared" si="316"/>
        <v>-0.12512937148264136</v>
      </c>
      <c r="S648" s="2">
        <f t="shared" si="316"/>
        <v>3.6980804218614619E-2</v>
      </c>
      <c r="T648" s="2">
        <f t="shared" si="316"/>
        <v>-4.8868383905009534E-2</v>
      </c>
      <c r="U648" s="2">
        <f t="shared" si="316"/>
        <v>-0.1885608524848171</v>
      </c>
      <c r="V648" s="2">
        <f t="shared" si="316"/>
        <v>1.0771901214101431E-2</v>
      </c>
      <c r="W648" s="2">
        <f t="shared" si="316"/>
        <v>-9.2442200043205587E-3</v>
      </c>
      <c r="X648" s="2">
        <f t="shared" si="316"/>
        <v>1.7157843600275873E-2</v>
      </c>
      <c r="Y648" s="2">
        <f t="shared" si="316"/>
        <v>1.8519167607648268E-2</v>
      </c>
      <c r="Z648" s="2">
        <f t="shared" si="316"/>
        <v>3.8533688565434182E-2</v>
      </c>
      <c r="AA648" s="2">
        <f t="shared" si="316"/>
        <v>3.9068079559266999E-2</v>
      </c>
      <c r="AB648" s="2">
        <f t="shared" si="316"/>
        <v>4.4778205419698056E-2</v>
      </c>
      <c r="AC648" s="2">
        <f t="shared" si="316"/>
        <v>4.9361630510902761E-2</v>
      </c>
      <c r="AD648" s="2">
        <f t="shared" si="316"/>
        <v>4.710284644519383E-2</v>
      </c>
      <c r="AE648" s="2">
        <f t="shared" si="316"/>
        <v>5.2082961421601723E-2</v>
      </c>
      <c r="AF648" s="2">
        <f t="shared" si="316"/>
        <v>4.9100189714745494E-2</v>
      </c>
      <c r="AG648" s="2">
        <f t="shared" si="316"/>
        <v>5.4232100740961124E-2</v>
      </c>
      <c r="AH648" s="2">
        <f t="shared" si="316"/>
        <v>5.0365350793329641E-2</v>
      </c>
      <c r="AI648" s="2">
        <f t="shared" si="316"/>
        <v>5.7195975639724651E-2</v>
      </c>
      <c r="AJ648" s="2">
        <f t="shared" si="316"/>
        <v>5.3124525005831091E-2</v>
      </c>
      <c r="AK648" s="2">
        <f t="shared" si="316"/>
        <v>5.7553054083230179E-2</v>
      </c>
      <c r="AL648" s="2">
        <f t="shared" si="316"/>
        <v>5.3875493322533829E-2</v>
      </c>
      <c r="AM648" s="2">
        <f t="shared" si="316"/>
        <v>5.8651458577387162E-2</v>
      </c>
      <c r="AN648" s="2">
        <f t="shared" si="316"/>
        <v>5.4691593016877524E-2</v>
      </c>
    </row>
    <row r="649" spans="2:40">
      <c r="B649" s="151" t="s">
        <v>350</v>
      </c>
      <c r="C649" s="36" t="s">
        <v>85</v>
      </c>
      <c r="D649" s="260">
        <f ca="1">SUM(I649:AN649)</f>
        <v>0.42125012186969346</v>
      </c>
      <c r="E649" s="2">
        <f t="shared" ref="E649:AN649" ca="1" si="317">E647*E648</f>
        <v>0</v>
      </c>
      <c r="F649" s="2">
        <f t="shared" ca="1" si="317"/>
        <v>0</v>
      </c>
      <c r="G649" s="2">
        <f t="shared" ca="1" si="317"/>
        <v>0</v>
      </c>
      <c r="H649" s="2">
        <f t="shared" ca="1" si="317"/>
        <v>0</v>
      </c>
      <c r="I649" s="2">
        <f t="shared" ca="1" si="317"/>
        <v>0</v>
      </c>
      <c r="J649" s="2">
        <f t="shared" ca="1" si="317"/>
        <v>0</v>
      </c>
      <c r="K649" s="2">
        <f t="shared" ca="1" si="317"/>
        <v>0</v>
      </c>
      <c r="L649" s="2">
        <f t="shared" ca="1" si="317"/>
        <v>0</v>
      </c>
      <c r="M649" s="2">
        <f t="shared" ca="1" si="317"/>
        <v>0</v>
      </c>
      <c r="N649" s="2">
        <f t="shared" ca="1" si="317"/>
        <v>0</v>
      </c>
      <c r="O649" s="2">
        <f t="shared" ca="1" si="317"/>
        <v>0</v>
      </c>
      <c r="P649" s="2">
        <f t="shared" ca="1" si="317"/>
        <v>0</v>
      </c>
      <c r="Q649" s="2">
        <f t="shared" ca="1" si="317"/>
        <v>0</v>
      </c>
      <c r="R649" s="2">
        <f t="shared" ca="1" si="317"/>
        <v>0</v>
      </c>
      <c r="S649" s="2">
        <f t="shared" ca="1" si="317"/>
        <v>0</v>
      </c>
      <c r="T649" s="2">
        <f t="shared" ca="1" si="317"/>
        <v>0</v>
      </c>
      <c r="U649" s="2">
        <f t="shared" ca="1" si="317"/>
        <v>0</v>
      </c>
      <c r="V649" s="2">
        <f t="shared" ca="1" si="317"/>
        <v>0</v>
      </c>
      <c r="W649" s="2">
        <f t="shared" ca="1" si="317"/>
        <v>-8.9170071207118201E-3</v>
      </c>
      <c r="X649" s="2">
        <f t="shared" ca="1" si="317"/>
        <v>1.5571706875786788E-2</v>
      </c>
      <c r="Y649" s="2">
        <f t="shared" ca="1" si="317"/>
        <v>1.5797226107929854E-2</v>
      </c>
      <c r="Z649" s="2">
        <f t="shared" ca="1" si="317"/>
        <v>3.0915648222564412E-2</v>
      </c>
      <c r="AA649" s="2">
        <f t="shared" ca="1" si="317"/>
        <v>2.9460878586921931E-2</v>
      </c>
      <c r="AB649" s="2">
        <f t="shared" ca="1" si="317"/>
        <v>3.1769837219151581E-2</v>
      </c>
      <c r="AC649" s="2">
        <f t="shared" ca="1" si="317"/>
        <v>3.2917258577038248E-2</v>
      </c>
      <c r="AD649" s="2">
        <f t="shared" ca="1" si="317"/>
        <v>2.9553300458573076E-2</v>
      </c>
      <c r="AE649" s="2">
        <f t="shared" ca="1" si="317"/>
        <v>3.0714281734204017E-2</v>
      </c>
      <c r="AF649" s="2">
        <f t="shared" ca="1" si="317"/>
        <v>2.7242849934242742E-2</v>
      </c>
      <c r="AG649" s="2">
        <f t="shared" ca="1" si="317"/>
        <v>2.8282099932616753E-2</v>
      </c>
      <c r="AH649" s="2">
        <f t="shared" ca="1" si="317"/>
        <v>2.4703898250998786E-2</v>
      </c>
      <c r="AI649" s="2">
        <f t="shared" ca="1" si="317"/>
        <v>2.6368471523051305E-2</v>
      </c>
      <c r="AJ649" s="2">
        <f t="shared" ca="1" si="317"/>
        <v>2.3043010518982644E-2</v>
      </c>
      <c r="AK649" s="2">
        <f t="shared" ca="1" si="317"/>
        <v>2.3463802240524995E-2</v>
      </c>
      <c r="AL649" s="2">
        <f t="shared" ca="1" si="317"/>
        <v>2.0665501516328785E-2</v>
      </c>
      <c r="AM649" s="2">
        <f t="shared" ca="1" si="317"/>
        <v>2.1145568378833513E-2</v>
      </c>
      <c r="AN649" s="2">
        <f t="shared" ca="1" si="317"/>
        <v>1.8551788912655808E-2</v>
      </c>
    </row>
    <row r="650" spans="2:40">
      <c r="B650" s="151" t="s">
        <v>351</v>
      </c>
      <c r="C650" s="36" t="s">
        <v>185</v>
      </c>
      <c r="D650" s="261">
        <v>10</v>
      </c>
    </row>
    <row r="651" spans="2:40">
      <c r="B651" s="151" t="s">
        <v>352</v>
      </c>
      <c r="C651" s="36" t="s">
        <v>85</v>
      </c>
      <c r="D651" s="260">
        <f ca="1">(D650*(AN368+AM368))*AN647/AN485</f>
        <v>0.37299287322209118</v>
      </c>
    </row>
    <row r="652" spans="2:40">
      <c r="B652" s="151" t="s">
        <v>353</v>
      </c>
      <c r="C652" s="36" t="s">
        <v>85</v>
      </c>
      <c r="D652" s="260">
        <f ca="1">D651+D649</f>
        <v>0.79424299509178464</v>
      </c>
    </row>
    <row r="653" spans="2:40" ht="12" customHeight="1" thickBot="1">
      <c r="B653" s="151" t="s">
        <v>354</v>
      </c>
      <c r="C653" s="36" t="s">
        <v>23</v>
      </c>
      <c r="D653" s="264">
        <f>1.2216</f>
        <v>1.2216</v>
      </c>
    </row>
    <row r="654" spans="2:40" ht="12" customHeight="1" thickBot="1">
      <c r="B654" s="145" t="s">
        <v>353</v>
      </c>
      <c r="C654" s="36" t="s">
        <v>86</v>
      </c>
      <c r="D654" s="457">
        <f ca="1">D652/D653</f>
        <v>0.65016617148967304</v>
      </c>
    </row>
    <row r="655" spans="2:40">
      <c r="B655" s="145"/>
      <c r="D655" s="459"/>
    </row>
    <row r="656" spans="2:40">
      <c r="B656" s="151" t="s">
        <v>355</v>
      </c>
      <c r="D656" s="458">
        <v>0.5</v>
      </c>
    </row>
    <row r="657" spans="2:4">
      <c r="B657" s="151" t="s">
        <v>356</v>
      </c>
      <c r="D657" s="310">
        <f ca="1">D654/D656-1</f>
        <v>0.30033234297934608</v>
      </c>
    </row>
    <row r="659" spans="2:4">
      <c r="C659" s="652"/>
    </row>
  </sheetData>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3" tint="0.79998168889431442"/>
  </sheetPr>
  <dimension ref="A1:AU221"/>
  <sheetViews>
    <sheetView showGridLines="0" zoomScale="115" zoomScaleNormal="115" zoomScalePageLayoutView="75" workbookViewId="0">
      <pane xSplit="2" ySplit="3" topLeftCell="C63" activePane="bottomRight" state="frozen"/>
      <selection activeCell="C43" sqref="C43"/>
      <selection pane="topRight" activeCell="C43" sqref="C43"/>
      <selection pane="bottomLeft" activeCell="C43" sqref="C43"/>
      <selection pane="bottomRight" activeCell="G101" sqref="G101"/>
    </sheetView>
  </sheetViews>
  <sheetFormatPr defaultColWidth="0" defaultRowHeight="11.25"/>
  <cols>
    <col min="1" max="1" width="2.7109375" style="608" customWidth="1"/>
    <col min="2" max="2" width="20.140625" style="9" customWidth="1"/>
    <col min="3" max="4" width="9" style="10" customWidth="1"/>
    <col min="5" max="5" width="8.140625" style="10" customWidth="1"/>
    <col min="6" max="19" width="8.140625" style="10" bestFit="1" customWidth="1"/>
    <col min="20" max="20" width="2.7109375" style="268" customWidth="1"/>
    <col min="21" max="21" width="16.42578125" style="9" bestFit="1" customWidth="1"/>
    <col min="22" max="22" width="9.140625" style="9" hidden="1" customWidth="1"/>
    <col min="23" max="47" width="13" style="9" hidden="1" customWidth="1"/>
    <col min="48" max="48" width="9.140625" style="9" hidden="1" customWidth="1"/>
    <col min="49" max="16384" width="9.140625" style="9" hidden="1"/>
  </cols>
  <sheetData>
    <row r="1" spans="1:21">
      <c r="C1" s="11"/>
      <c r="D1" s="12"/>
      <c r="E1" s="11"/>
      <c r="F1" s="12"/>
      <c r="G1" s="11"/>
      <c r="H1" s="11"/>
      <c r="I1" s="11"/>
      <c r="J1" s="11"/>
      <c r="K1" s="11"/>
      <c r="L1" s="11"/>
      <c r="M1" s="11"/>
      <c r="N1" s="11"/>
      <c r="O1" s="11"/>
      <c r="P1" s="11"/>
      <c r="Q1" s="11"/>
      <c r="R1" s="11"/>
      <c r="S1" s="11"/>
      <c r="T1" s="548"/>
    </row>
    <row r="2" spans="1:21">
      <c r="B2" s="13" t="s">
        <v>1149</v>
      </c>
      <c r="C2" s="516">
        <v>2018</v>
      </c>
      <c r="D2" s="516">
        <f t="shared" ref="D2:O2" si="0">C2+1</f>
        <v>2019</v>
      </c>
      <c r="E2" s="516">
        <f t="shared" si="0"/>
        <v>2020</v>
      </c>
      <c r="F2" s="516">
        <f t="shared" si="0"/>
        <v>2021</v>
      </c>
      <c r="G2" s="516">
        <f t="shared" si="0"/>
        <v>2022</v>
      </c>
      <c r="H2" s="516">
        <f t="shared" si="0"/>
        <v>2023</v>
      </c>
      <c r="I2" s="516">
        <f t="shared" si="0"/>
        <v>2024</v>
      </c>
      <c r="J2" s="516">
        <f t="shared" si="0"/>
        <v>2025</v>
      </c>
      <c r="K2" s="14">
        <f t="shared" si="0"/>
        <v>2026</v>
      </c>
      <c r="L2" s="14">
        <f t="shared" si="0"/>
        <v>2027</v>
      </c>
      <c r="M2" s="14">
        <f t="shared" si="0"/>
        <v>2028</v>
      </c>
      <c r="N2" s="14">
        <f t="shared" si="0"/>
        <v>2029</v>
      </c>
      <c r="O2" s="14">
        <f t="shared" si="0"/>
        <v>2030</v>
      </c>
      <c r="P2" s="14">
        <f t="shared" ref="P2" si="1">O2+1</f>
        <v>2031</v>
      </c>
      <c r="Q2" s="14">
        <f t="shared" ref="Q2" si="2">P2+1</f>
        <v>2032</v>
      </c>
      <c r="R2" s="14">
        <f t="shared" ref="R2" si="3">Q2+1</f>
        <v>2033</v>
      </c>
      <c r="S2" s="14">
        <f t="shared" ref="S2" si="4">R2+1</f>
        <v>2034</v>
      </c>
      <c r="T2" s="269"/>
    </row>
    <row r="3" spans="1:21">
      <c r="C3" s="15">
        <v>43281</v>
      </c>
      <c r="D3" s="15">
        <f t="shared" ref="D3:O3" si="5">EOMONTH(C3,12)</f>
        <v>43646</v>
      </c>
      <c r="E3" s="15">
        <f t="shared" si="5"/>
        <v>44012</v>
      </c>
      <c r="F3" s="15">
        <f t="shared" si="5"/>
        <v>44377</v>
      </c>
      <c r="G3" s="15">
        <f t="shared" si="5"/>
        <v>44742</v>
      </c>
      <c r="H3" s="15">
        <f t="shared" si="5"/>
        <v>45107</v>
      </c>
      <c r="I3" s="15">
        <f t="shared" si="5"/>
        <v>45473</v>
      </c>
      <c r="J3" s="15">
        <f t="shared" si="5"/>
        <v>45838</v>
      </c>
      <c r="K3" s="15">
        <f t="shared" si="5"/>
        <v>46203</v>
      </c>
      <c r="L3" s="15">
        <f t="shared" si="5"/>
        <v>46568</v>
      </c>
      <c r="M3" s="15">
        <f t="shared" si="5"/>
        <v>46934</v>
      </c>
      <c r="N3" s="15">
        <f t="shared" si="5"/>
        <v>47299</v>
      </c>
      <c r="O3" s="15">
        <f t="shared" si="5"/>
        <v>47664</v>
      </c>
      <c r="P3" s="15">
        <f t="shared" ref="P3" si="6">EOMONTH(O3,12)</f>
        <v>48029</v>
      </c>
      <c r="Q3" s="15">
        <f t="shared" ref="Q3" si="7">EOMONTH(P3,12)</f>
        <v>48395</v>
      </c>
      <c r="R3" s="15">
        <f t="shared" ref="R3" si="8">EOMONTH(Q3,12)</f>
        <v>48760</v>
      </c>
      <c r="S3" s="15">
        <f t="shared" ref="S3" si="9">EOMONTH(R3,12)</f>
        <v>49125</v>
      </c>
      <c r="T3" s="270"/>
      <c r="U3" s="16" t="s">
        <v>1150</v>
      </c>
    </row>
    <row r="4" spans="1:21">
      <c r="C4" s="28"/>
      <c r="D4" s="28"/>
      <c r="E4" s="28"/>
      <c r="F4" s="28"/>
      <c r="G4" s="28"/>
      <c r="H4" s="34"/>
      <c r="I4" s="28"/>
      <c r="J4" s="28"/>
      <c r="K4" s="28"/>
      <c r="L4" s="28"/>
      <c r="M4" s="28"/>
      <c r="N4" s="28"/>
      <c r="O4" s="28"/>
      <c r="P4" s="28"/>
      <c r="Q4" s="28"/>
      <c r="R4" s="28"/>
      <c r="S4" s="28"/>
      <c r="T4" s="549"/>
    </row>
    <row r="5" spans="1:21">
      <c r="A5" s="609" t="s">
        <v>7</v>
      </c>
      <c r="B5" s="517" t="s">
        <v>1151</v>
      </c>
      <c r="C5" s="518" t="s">
        <v>1152</v>
      </c>
      <c r="D5" s="518" t="s">
        <v>1153</v>
      </c>
      <c r="E5" s="518" t="s">
        <v>1154</v>
      </c>
      <c r="F5" s="519">
        <v>2021</v>
      </c>
      <c r="G5" s="519">
        <v>2022</v>
      </c>
      <c r="H5" s="519">
        <v>2023</v>
      </c>
      <c r="I5" s="518">
        <v>2024</v>
      </c>
      <c r="J5" s="518">
        <v>2025</v>
      </c>
      <c r="K5" s="518">
        <v>2026</v>
      </c>
      <c r="L5" s="518">
        <v>2027</v>
      </c>
      <c r="M5" s="518">
        <v>2028</v>
      </c>
      <c r="N5" s="518">
        <v>2029</v>
      </c>
      <c r="O5" s="518">
        <v>2030</v>
      </c>
      <c r="P5" s="518">
        <v>2031</v>
      </c>
      <c r="Q5" s="518">
        <v>2032</v>
      </c>
      <c r="R5" s="518">
        <v>2033</v>
      </c>
      <c r="S5" s="518">
        <v>2034</v>
      </c>
      <c r="T5" s="550"/>
      <c r="U5" s="9" t="s">
        <v>1155</v>
      </c>
    </row>
    <row r="6" spans="1:21">
      <c r="B6" s="9" t="s">
        <v>70</v>
      </c>
      <c r="C6" s="17"/>
      <c r="D6" s="17">
        <f>SUMIFS(HY!$G306:$AN306,HY!$G$9:$AN$9,FY!D$2)</f>
        <v>550.40000000000009</v>
      </c>
      <c r="E6" s="17">
        <f>SUMIFS(HY!$G306:$AN306,HY!$G$9:$AN$9,FY!E$2)</f>
        <v>450.9</v>
      </c>
      <c r="F6" s="17">
        <f>SUMIFS(HY!$G306:$AN306,HY!$G$9:$AN$9,FY!F$2)</f>
        <v>436.70000000000005</v>
      </c>
      <c r="G6" s="17">
        <f>SUMIFS(HY!$G306:$AN306,HY!$G$9:$AN$9,FY!G$2)</f>
        <v>296.79999999999995</v>
      </c>
      <c r="H6" s="17">
        <f>SUMIFS(HY!$G306:$AN306,HY!$G$9:$AN$9,FY!H$2)</f>
        <v>518</v>
      </c>
      <c r="I6" s="17">
        <f>SUMIFS(HY!$G306:$AN306,HY!$G$9:$AN$9,FY!I$2)</f>
        <v>546.70000000000005</v>
      </c>
      <c r="J6" s="17">
        <f>SUMIFS(HY!$G306:$AN306,HY!$G$9:$AN$9,FY!J$2)</f>
        <v>514.29999999999995</v>
      </c>
      <c r="K6" s="17">
        <f>SUMIFS(HY!$G306:$AN306,HY!$G$9:$AN$9,FY!K$2)</f>
        <v>498.6</v>
      </c>
      <c r="L6" s="17">
        <f>SUMIFS(HY!$G306:$AN306,HY!$G$9:$AN$9,FY!L$2)</f>
        <v>514</v>
      </c>
      <c r="M6" s="17">
        <f>SUMIFS(HY!$G306:$AN306,HY!$G$9:$AN$9,FY!M$2)</f>
        <v>543.42499999999995</v>
      </c>
      <c r="N6" s="17">
        <f>SUMIFS(HY!$G306:$AN306,HY!$G$9:$AN$9,FY!N$2)</f>
        <v>560.00774999999999</v>
      </c>
      <c r="O6" s="17">
        <f>SUMIFS(HY!$G306:$AN306,HY!$G$9:$AN$9,FY!O$2)</f>
        <v>577.15853450000009</v>
      </c>
      <c r="P6" s="17">
        <f>SUMIFS(HY!$G306:$AN306,HY!$G$9:$AN$9,FY!P$2)</f>
        <v>594.8978101350001</v>
      </c>
      <c r="Q6" s="17">
        <f>SUMIFS(HY!$G306:$AN306,HY!$G$9:$AN$9,FY!Q$2)</f>
        <v>613.24678979825012</v>
      </c>
      <c r="R6" s="17">
        <f>SUMIFS(HY!$G306:$AN306,HY!$G$9:$AN$9,FY!R$2)</f>
        <v>632.22747109071759</v>
      </c>
      <c r="S6" s="17">
        <f>SUMIFS(HY!$G306:$AN306,HY!$G$9:$AN$9,FY!S$2)</f>
        <v>651.86266585510145</v>
      </c>
      <c r="T6" s="551"/>
    </row>
    <row r="7" spans="1:21">
      <c r="B7" s="9" t="s">
        <v>77</v>
      </c>
      <c r="C7" s="18"/>
      <c r="D7" s="17">
        <f>SUMIFS(HY!$G307:$AN307,HY!$G$9:$AN$9,FY!D$2)</f>
        <v>59.423009999999998</v>
      </c>
      <c r="E7" s="17">
        <f>SUMIFS(HY!$G307:$AN307,HY!$G$9:$AN$9,FY!E$2)</f>
        <v>57.239829999999998</v>
      </c>
      <c r="F7" s="17">
        <f>SUMIFS(HY!$G307:$AN307,HY!$G$9:$AN$9,FY!F$2)</f>
        <v>70.200270000000003</v>
      </c>
      <c r="G7" s="17">
        <f>SUMIFS(HY!$G307:$AN307,HY!$G$9:$AN$9,FY!G$2)</f>
        <v>58.960000000000008</v>
      </c>
      <c r="H7" s="17">
        <f>SUMIFS(HY!$G307:$AN307,HY!$G$9:$AN$9,FY!H$2)</f>
        <v>77.900000000000006</v>
      </c>
      <c r="I7" s="17">
        <f>SUMIFS(HY!$G307:$AN307,HY!$G$9:$AN$9,FY!I$2)</f>
        <v>77.099999999999994</v>
      </c>
      <c r="J7" s="17">
        <f>SUMIFS(HY!$G307:$AN307,HY!$G$9:$AN$9,FY!J$2)</f>
        <v>74.2</v>
      </c>
      <c r="K7" s="17">
        <f>SUMIFS(HY!$G307:$AN307,HY!$G$9:$AN$9,FY!K$2)</f>
        <v>73.900000000000006</v>
      </c>
      <c r="L7" s="17">
        <f>SUMIFS(HY!$G307:$AN307,HY!$G$9:$AN$9,FY!L$2)</f>
        <v>74.834000000000003</v>
      </c>
      <c r="M7" s="17">
        <f>SUMIFS(HY!$G307:$AN307,HY!$G$9:$AN$9,FY!M$2)</f>
        <v>77.119229999999988</v>
      </c>
      <c r="N7" s="17">
        <f>SUMIFS(HY!$G307:$AN307,HY!$G$9:$AN$9,FY!N$2)</f>
        <v>79.513417500000003</v>
      </c>
      <c r="O7" s="17">
        <f>SUMIFS(HY!$G307:$AN307,HY!$G$9:$AN$9,FY!O$2)</f>
        <v>81.717561146999998</v>
      </c>
      <c r="P7" s="17">
        <f>SUMIFS(HY!$G307:$AN307,HY!$G$9:$AN$9,FY!P$2)</f>
        <v>83.989171458629997</v>
      </c>
      <c r="Q7" s="17">
        <f>SUMIFS(HY!$G307:$AN307,HY!$G$9:$AN$9,FY!Q$2)</f>
        <v>86.330412056141114</v>
      </c>
      <c r="R7" s="17">
        <f>SUMIFS(HY!$G307:$AN307,HY!$G$9:$AN$9,FY!R$2)</f>
        <v>88.743517913545446</v>
      </c>
      <c r="S7" s="17">
        <f>SUMIFS(HY!$G307:$AN307,HY!$G$9:$AN$9,FY!S$2)</f>
        <v>91.230797764556755</v>
      </c>
      <c r="T7" s="551"/>
    </row>
    <row r="8" spans="1:21">
      <c r="B8" s="9" t="s">
        <v>78</v>
      </c>
      <c r="C8" s="20"/>
      <c r="D8" s="17">
        <f>SUMIFS(HY!$G308:$AN308,HY!$G$9:$AN$9,FY!D$2)</f>
        <v>139.37478350015283</v>
      </c>
      <c r="E8" s="17">
        <f>SUMIFS(HY!$G308:$AN308,HY!$G$9:$AN$9,FY!E$2)</f>
        <v>112.76711741083277</v>
      </c>
      <c r="F8" s="17">
        <f>SUMIFS(HY!$G308:$AN308,HY!$G$9:$AN$9,FY!F$2)</f>
        <v>187.25326899846209</v>
      </c>
      <c r="G8" s="17">
        <f>SUMIFS(HY!$G308:$AN308,HY!$G$9:$AN$9,FY!G$2)</f>
        <v>179.79169385210869</v>
      </c>
      <c r="H8" s="17">
        <f>SUMIFS(HY!$G308:$AN308,HY!$G$9:$AN$9,FY!H$2)</f>
        <v>249.79999999999998</v>
      </c>
      <c r="I8" s="17">
        <f>SUMIFS(HY!$G308:$AN308,HY!$G$9:$AN$9,FY!I$2)</f>
        <v>236.70000000000002</v>
      </c>
      <c r="J8" s="17">
        <f>SUMIFS(HY!$G308:$AN308,HY!$G$9:$AN$9,FY!J$2)</f>
        <v>232</v>
      </c>
      <c r="K8" s="17">
        <f>SUMIFS(HY!$G308:$AN308,HY!$G$9:$AN$9,FY!K$2)</f>
        <v>246.6</v>
      </c>
      <c r="L8" s="17">
        <f>SUMIFS(HY!$G308:$AN308,HY!$G$9:$AN$9,FY!L$2)</f>
        <v>249.1</v>
      </c>
      <c r="M8" s="17">
        <f>SUMIFS(HY!$G308:$AN308,HY!$G$9:$AN$9,FY!M$2)</f>
        <v>224.06799999999998</v>
      </c>
      <c r="N8" s="17">
        <f>SUMIFS(HY!$G308:$AN308,HY!$G$9:$AN$9,FY!N$2)</f>
        <v>235.79071999999999</v>
      </c>
      <c r="O8" s="17">
        <f>SUMIFS(HY!$G308:$AN308,HY!$G$9:$AN$9,FY!O$2)</f>
        <v>248.14794879999999</v>
      </c>
      <c r="P8" s="17">
        <f>SUMIFS(HY!$G308:$AN308,HY!$G$9:$AN$9,FY!P$2)</f>
        <v>261.17500275200001</v>
      </c>
      <c r="Q8" s="17">
        <f>SUMIFS(HY!$G308:$AN308,HY!$G$9:$AN$9,FY!Q$2)</f>
        <v>274.90920702208007</v>
      </c>
      <c r="R8" s="17">
        <f>SUMIFS(HY!$G308:$AN308,HY!$G$9:$AN$9,FY!R$2)</f>
        <v>289.39001171256325</v>
      </c>
      <c r="S8" s="17">
        <f>SUMIFS(HY!$G308:$AN308,HY!$G$9:$AN$9,FY!S$2)</f>
        <v>297.7806353063778</v>
      </c>
      <c r="T8" s="551"/>
    </row>
    <row r="9" spans="1:21">
      <c r="B9" s="9" t="s">
        <v>149</v>
      </c>
      <c r="C9" s="18"/>
      <c r="D9" s="17">
        <f>SUMIFS(HY!$G309:$AN309,HY!$G$9:$AN$9,FY!D$2)</f>
        <v>0</v>
      </c>
      <c r="E9" s="17">
        <f>SUMIFS(HY!$G309:$AN309,HY!$G$9:$AN$9,FY!E$2)</f>
        <v>4.5</v>
      </c>
      <c r="F9" s="17">
        <f>SUMIFS(HY!$G309:$AN309,HY!$G$9:$AN$9,FY!F$2)</f>
        <v>13.1</v>
      </c>
      <c r="G9" s="17">
        <f>SUMIFS(HY!$G309:$AN309,HY!$G$9:$AN$9,FY!G$2)</f>
        <v>16.899999999999999</v>
      </c>
      <c r="H9" s="17">
        <f>SUMIFS(HY!$G309:$AN309,HY!$G$9:$AN$9,FY!H$2)</f>
        <v>15.4</v>
      </c>
      <c r="I9" s="17">
        <f>SUMIFS(HY!$G309:$AN309,HY!$G$9:$AN$9,FY!I$2)</f>
        <v>9.3000000000000007</v>
      </c>
      <c r="J9" s="17">
        <f>SUMIFS(HY!$G309:$AN309,HY!$G$9:$AN$9,FY!J$2)</f>
        <v>4.0999999999999996</v>
      </c>
      <c r="K9" s="17">
        <f>SUMIFS(HY!$G309:$AN309,HY!$G$9:$AN$9,FY!K$2)</f>
        <v>2.8</v>
      </c>
      <c r="L9" s="17">
        <f>SUMIFS(HY!$G309:$AN309,HY!$G$9:$AN$9,FY!L$2)</f>
        <v>3</v>
      </c>
      <c r="M9" s="17">
        <f>SUMIFS(HY!$G309:$AN309,HY!$G$9:$AN$9,FY!M$2)</f>
        <v>15</v>
      </c>
      <c r="N9" s="17">
        <f>SUMIFS(HY!$G309:$AN309,HY!$G$9:$AN$9,FY!N$2)</f>
        <v>24</v>
      </c>
      <c r="O9" s="17">
        <f>SUMIFS(HY!$G309:$AN309,HY!$G$9:$AN$9,FY!O$2)</f>
        <v>28.799999999999997</v>
      </c>
      <c r="P9" s="17">
        <f>SUMIFS(HY!$G309:$AN309,HY!$G$9:$AN$9,FY!P$2)</f>
        <v>33.839999999999996</v>
      </c>
      <c r="Q9" s="17">
        <f>SUMIFS(HY!$G309:$AN309,HY!$G$9:$AN$9,FY!Q$2)</f>
        <v>38.915999999999997</v>
      </c>
      <c r="R9" s="17">
        <f>SUMIFS(HY!$G309:$AN309,HY!$G$9:$AN$9,FY!R$2)</f>
        <v>44.753399999999985</v>
      </c>
      <c r="S9" s="17">
        <f>SUMIFS(HY!$G309:$AN309,HY!$G$9:$AN$9,FY!S$2)</f>
        <v>51.466409999999982</v>
      </c>
      <c r="T9" s="551"/>
    </row>
    <row r="10" spans="1:21">
      <c r="B10" s="9" t="s">
        <v>145</v>
      </c>
      <c r="C10" s="17"/>
      <c r="D10" s="17">
        <f>SUMIFS(HY!$G310:$AN310,HY!$G$9:$AN$9,FY!D$2)</f>
        <v>188.588925563532</v>
      </c>
      <c r="E10" s="17">
        <f>SUMIFS(HY!$G310:$AN310,HY!$G$9:$AN$9,FY!E$2)</f>
        <v>79.826988346727831</v>
      </c>
      <c r="F10" s="17">
        <f>SUMIFS(HY!$G310:$AN310,HY!$G$9:$AN$9,FY!F$2)</f>
        <v>24.382941849684578</v>
      </c>
      <c r="G10" s="17">
        <f>SUMIFS(HY!$G310:$AN310,HY!$G$9:$AN$9,FY!G$2)</f>
        <v>22.96835044782841</v>
      </c>
      <c r="H10" s="17">
        <f>SUMIFS(HY!$G310:$AN310,HY!$G$9:$AN$9,FY!H$2)</f>
        <v>1.5</v>
      </c>
      <c r="I10" s="17">
        <f>SUMIFS(HY!$G310:$AN310,HY!$G$9:$AN$9,FY!I$2)</f>
        <v>0.69999999999993179</v>
      </c>
      <c r="J10" s="17">
        <f>SUMIFS(HY!$G310:$AN310,HY!$G$9:$AN$9,FY!J$2)</f>
        <v>0.60000000000002274</v>
      </c>
      <c r="K10" s="17">
        <f>SUMIFS(HY!$G310:$AN310,HY!$G$9:$AN$9,FY!K$2)</f>
        <v>0.80000000000001137</v>
      </c>
      <c r="L10" s="17">
        <f>SUMIFS(HY!$G310:$AN310,HY!$G$9:$AN$9,FY!L$2)</f>
        <v>0</v>
      </c>
      <c r="M10" s="17">
        <f>SUMIFS(HY!$G310:$AN310,HY!$G$9:$AN$9,FY!M$2)</f>
        <v>0</v>
      </c>
      <c r="N10" s="17">
        <f>SUMIFS(HY!$G310:$AN310,HY!$G$9:$AN$9,FY!N$2)</f>
        <v>0</v>
      </c>
      <c r="O10" s="17">
        <f>SUMIFS(HY!$G310:$AN310,HY!$G$9:$AN$9,FY!O$2)</f>
        <v>0</v>
      </c>
      <c r="P10" s="17">
        <f>SUMIFS(HY!$G310:$AN310,HY!$G$9:$AN$9,FY!P$2)</f>
        <v>0</v>
      </c>
      <c r="Q10" s="17">
        <f>SUMIFS(HY!$G310:$AN310,HY!$G$9:$AN$9,FY!Q$2)</f>
        <v>0</v>
      </c>
      <c r="R10" s="17">
        <f>SUMIFS(HY!$G310:$AN310,HY!$G$9:$AN$9,FY!R$2)</f>
        <v>0</v>
      </c>
      <c r="S10" s="17">
        <f>SUMIFS(HY!$G310:$AN310,HY!$G$9:$AN$9,FY!S$2)</f>
        <v>0</v>
      </c>
      <c r="T10" s="551"/>
    </row>
    <row r="11" spans="1:21" s="13" customFormat="1">
      <c r="A11" s="610"/>
      <c r="B11" s="13" t="s">
        <v>146</v>
      </c>
      <c r="C11" s="24"/>
      <c r="D11" s="24">
        <f>SUMIFS(HY!$G311:$AN311,HY!$G$9:$AN$9,FY!D$2)</f>
        <v>937.78671906368481</v>
      </c>
      <c r="E11" s="24">
        <f>SUMIFS(HY!$G311:$AN311,HY!$G$9:$AN$9,FY!E$2)</f>
        <v>705.23393575756063</v>
      </c>
      <c r="F11" s="24">
        <f>SUMIFS(HY!$G311:$AN311,HY!$G$9:$AN$9,FY!F$2)</f>
        <v>731.63648084814668</v>
      </c>
      <c r="G11" s="24">
        <f>SUMIFS(HY!$G311:$AN311,HY!$G$9:$AN$9,FY!G$2)</f>
        <v>575.4200442999371</v>
      </c>
      <c r="H11" s="24">
        <f>SUMIFS(HY!$G311:$AN311,HY!$G$9:$AN$9,FY!H$2)</f>
        <v>862.6</v>
      </c>
      <c r="I11" s="24">
        <f>SUMIFS(HY!$G311:$AN311,HY!$G$9:$AN$9,FY!I$2)</f>
        <v>870.5</v>
      </c>
      <c r="J11" s="24">
        <f>SUMIFS(HY!$G311:$AN311,HY!$G$9:$AN$9,FY!J$2)</f>
        <v>825.2</v>
      </c>
      <c r="K11" s="24">
        <f>SUMIFS(HY!$G311:$AN311,HY!$G$9:$AN$9,FY!K$2)</f>
        <v>822.7</v>
      </c>
      <c r="L11" s="24">
        <f>SUMIFS(HY!$G311:$AN311,HY!$G$9:$AN$9,FY!L$2)</f>
        <v>840.93399999999997</v>
      </c>
      <c r="M11" s="24">
        <f>SUMIFS(HY!$G311:$AN311,HY!$G$9:$AN$9,FY!M$2)</f>
        <v>859.61222999999995</v>
      </c>
      <c r="N11" s="24">
        <f>SUMIFS(HY!$G311:$AN311,HY!$G$9:$AN$9,FY!N$2)</f>
        <v>899.31188750000001</v>
      </c>
      <c r="O11" s="24">
        <f>SUMIFS(HY!$G311:$AN311,HY!$G$9:$AN$9,FY!O$2)</f>
        <v>935.82404444699989</v>
      </c>
      <c r="P11" s="24">
        <f>SUMIFS(HY!$G311:$AN311,HY!$G$9:$AN$9,FY!P$2)</f>
        <v>973.90198434563001</v>
      </c>
      <c r="Q11" s="24">
        <f>SUMIFS(HY!$G311:$AN311,HY!$G$9:$AN$9,FY!Q$2)</f>
        <v>1013.4024088764711</v>
      </c>
      <c r="R11" s="24">
        <f>SUMIFS(HY!$G311:$AN311,HY!$G$9:$AN$9,FY!R$2)</f>
        <v>1055.1144007168261</v>
      </c>
      <c r="S11" s="24">
        <f>SUMIFS(HY!$G311:$AN311,HY!$G$9:$AN$9,FY!S$2)</f>
        <v>1092.3405089260359</v>
      </c>
      <c r="T11" s="552"/>
    </row>
    <row r="12" spans="1:21">
      <c r="C12" s="28"/>
      <c r="D12" s="28"/>
      <c r="E12" s="28"/>
      <c r="F12" s="28"/>
      <c r="G12" s="28"/>
      <c r="H12" s="28"/>
      <c r="I12" s="28"/>
      <c r="J12" s="28"/>
      <c r="K12" s="28"/>
      <c r="L12" s="28"/>
      <c r="M12" s="28"/>
      <c r="N12" s="28"/>
      <c r="O12" s="28"/>
      <c r="P12" s="28"/>
      <c r="Q12" s="28"/>
      <c r="R12" s="28"/>
      <c r="S12" s="28"/>
      <c r="T12" s="549"/>
    </row>
    <row r="13" spans="1:21">
      <c r="B13" s="9" t="s">
        <v>70</v>
      </c>
      <c r="C13" s="17"/>
      <c r="D13" s="17">
        <f>SUMIFS(HY!$G319:$AN319,HY!$G$9:$AN$9,FY!D$2)</f>
        <v>267.39999999999998</v>
      </c>
      <c r="E13" s="17">
        <f>SUMIFS(HY!$G319:$AN319,HY!$G$9:$AN$9,FY!E$2)</f>
        <v>193.9</v>
      </c>
      <c r="F13" s="17">
        <f>SUMIFS(HY!$G319:$AN319,HY!$G$9:$AN$9,FY!F$2)</f>
        <v>203.4</v>
      </c>
      <c r="G13" s="17">
        <f>SUMIFS(HY!$G319:$AN319,HY!$G$9:$AN$9,FY!G$2)</f>
        <v>100.9</v>
      </c>
      <c r="H13" s="17">
        <f>SUMIFS(HY!$G319:$AN319,HY!$G$9:$AN$9,FY!H$2)</f>
        <v>251.5</v>
      </c>
      <c r="I13" s="17">
        <f>SUMIFS(HY!$G319:$AN319,HY!$G$9:$AN$9,FY!I$2)</f>
        <v>237</v>
      </c>
      <c r="J13" s="17">
        <f>SUMIFS(HY!$G319:$AN319,HY!$G$9:$AN$9,FY!J$2)</f>
        <v>209.6</v>
      </c>
      <c r="K13" s="17">
        <f>SUMIFS(HY!$G319:$AN319,HY!$G$9:$AN$9,FY!K$2)</f>
        <v>179.8</v>
      </c>
      <c r="L13" s="17">
        <f>SUMIFS(HY!$G319:$AN319,HY!$G$9:$AN$9,FY!L$2)</f>
        <v>185.69839999999999</v>
      </c>
      <c r="M13" s="17">
        <f>SUMIFS(HY!$G319:$AN319,HY!$G$9:$AN$9,FY!M$2)</f>
        <v>210.14612399999999</v>
      </c>
      <c r="N13" s="17">
        <f>SUMIFS(HY!$G319:$AN319,HY!$G$9:$AN$9,FY!N$2)</f>
        <v>215.23099956000004</v>
      </c>
      <c r="O13" s="17">
        <f>SUMIFS(HY!$G319:$AN319,HY!$G$9:$AN$9,FY!O$2)</f>
        <v>220.48414164600001</v>
      </c>
      <c r="P13" s="17">
        <f>SUMIFS(HY!$G319:$AN319,HY!$G$9:$AN$9,FY!P$2)</f>
        <v>225.91207082000409</v>
      </c>
      <c r="Q13" s="17">
        <f>SUMIFS(HY!$G319:$AN319,HY!$G$9:$AN$9,FY!Q$2)</f>
        <v>231.52157755733379</v>
      </c>
      <c r="R13" s="17">
        <f>SUMIFS(HY!$G319:$AN319,HY!$G$9:$AN$9,FY!R$2)</f>
        <v>237.31973371329309</v>
      </c>
      <c r="S13" s="17">
        <f>SUMIFS(HY!$G319:$AN319,HY!$G$9:$AN$9,FY!S$2)</f>
        <v>243.31390448109886</v>
      </c>
      <c r="T13" s="551"/>
    </row>
    <row r="14" spans="1:21">
      <c r="B14" s="9" t="s">
        <v>77</v>
      </c>
      <c r="C14" s="18"/>
      <c r="D14" s="17">
        <f>SUMIFS(HY!$G320:$AN320,HY!$G$9:$AN$9,FY!D$2)</f>
        <v>29.2</v>
      </c>
      <c r="E14" s="17">
        <f>SUMIFS(HY!$G320:$AN320,HY!$G$9:$AN$9,FY!E$2)</f>
        <v>26.599999999999998</v>
      </c>
      <c r="F14" s="17">
        <f>SUMIFS(HY!$G320:$AN320,HY!$G$9:$AN$9,FY!F$2)</f>
        <v>38.400000000000006</v>
      </c>
      <c r="G14" s="17">
        <f>SUMIFS(HY!$G320:$AN320,HY!$G$9:$AN$9,FY!G$2)</f>
        <v>27.5</v>
      </c>
      <c r="H14" s="17">
        <f>SUMIFS(HY!$G320:$AN320,HY!$G$9:$AN$9,FY!H$2)</f>
        <v>39.299999999999997</v>
      </c>
      <c r="I14" s="17">
        <f>SUMIFS(HY!$G320:$AN320,HY!$G$9:$AN$9,FY!I$2)</f>
        <v>35</v>
      </c>
      <c r="J14" s="17">
        <f>SUMIFS(HY!$G320:$AN320,HY!$G$9:$AN$9,FY!J$2)</f>
        <v>33.700000000000003</v>
      </c>
      <c r="K14" s="17">
        <f>SUMIFS(HY!$G320:$AN320,HY!$G$9:$AN$9,FY!K$2)</f>
        <v>31.4</v>
      </c>
      <c r="L14" s="17">
        <f>SUMIFS(HY!$G320:$AN320,HY!$G$9:$AN$9,FY!L$2)</f>
        <v>33.750235199999999</v>
      </c>
      <c r="M14" s="17">
        <f>SUMIFS(HY!$G320:$AN320,HY!$G$9:$AN$9,FY!M$2)</f>
        <v>35.927602343999986</v>
      </c>
      <c r="N14" s="17">
        <f>SUMIFS(HY!$G320:$AN320,HY!$G$9:$AN$9,FY!N$2)</f>
        <v>36.896720194000004</v>
      </c>
      <c r="O14" s="17">
        <f>SUMIFS(HY!$G320:$AN320,HY!$G$9:$AN$9,FY!O$2)</f>
        <v>37.638931700861605</v>
      </c>
      <c r="P14" s="17">
        <f>SUMIFS(HY!$G320:$AN320,HY!$G$9:$AN$9,FY!P$2)</f>
        <v>38.397992333382668</v>
      </c>
      <c r="Q14" s="17">
        <f>SUMIFS(HY!$G320:$AN320,HY!$G$9:$AN$9,FY!Q$2)</f>
        <v>39.17430716164526</v>
      </c>
      <c r="R14" s="17">
        <f>SUMIFS(HY!$G320:$AN320,HY!$G$9:$AN$9,FY!R$2)</f>
        <v>39.96829141488103</v>
      </c>
      <c r="S14" s="17">
        <f>SUMIFS(HY!$G320:$AN320,HY!$G$9:$AN$9,FY!S$2)</f>
        <v>40.780370756871704</v>
      </c>
      <c r="T14" s="551"/>
    </row>
    <row r="15" spans="1:21">
      <c r="B15" s="9" t="s">
        <v>78</v>
      </c>
      <c r="C15" s="20"/>
      <c r="D15" s="17">
        <f>SUMIFS(HY!$G321:$AN321,HY!$G$9:$AN$9,FY!D$2)</f>
        <v>22.549523711767904</v>
      </c>
      <c r="E15" s="17">
        <f>SUMIFS(HY!$G321:$AN321,HY!$G$9:$AN$9,FY!E$2)</f>
        <v>11.85614714974249</v>
      </c>
      <c r="F15" s="17">
        <f>SUMIFS(HY!$G321:$AN321,HY!$G$9:$AN$9,FY!F$2)</f>
        <v>44.365028758483803</v>
      </c>
      <c r="G15" s="17">
        <f>SUMIFS(HY!$G321:$AN321,HY!$G$9:$AN$9,FY!G$2)</f>
        <v>21.610198073999161</v>
      </c>
      <c r="H15" s="17">
        <f>SUMIFS(HY!$G321:$AN321,HY!$G$9:$AN$9,FY!H$2)</f>
        <v>36.1</v>
      </c>
      <c r="I15" s="17">
        <f>SUMIFS(HY!$G321:$AN321,HY!$G$9:$AN$9,FY!I$2)</f>
        <v>39.6</v>
      </c>
      <c r="J15" s="17">
        <f>SUMIFS(HY!$G321:$AN321,HY!$G$9:$AN$9,FY!J$2)</f>
        <v>31.1</v>
      </c>
      <c r="K15" s="17">
        <f>SUMIFS(HY!$G321:$AN321,HY!$G$9:$AN$9,FY!K$2)</f>
        <v>22.8</v>
      </c>
      <c r="L15" s="17">
        <f>SUMIFS(HY!$G321:$AN321,HY!$G$9:$AN$9,FY!L$2)</f>
        <v>28.297499999999999</v>
      </c>
      <c r="M15" s="17">
        <f>SUMIFS(HY!$G321:$AN321,HY!$G$9:$AN$9,FY!M$2)</f>
        <v>17.896420000000006</v>
      </c>
      <c r="N15" s="17">
        <f>SUMIFS(HY!$G321:$AN321,HY!$G$9:$AN$9,FY!N$2)</f>
        <v>24.461676800000006</v>
      </c>
      <c r="O15" s="17">
        <f>SUMIFS(HY!$G321:$AN321,HY!$G$9:$AN$9,FY!O$2)</f>
        <v>28.742507872000004</v>
      </c>
      <c r="P15" s="17">
        <f>SUMIFS(HY!$G321:$AN321,HY!$G$9:$AN$9,FY!P$2)</f>
        <v>33.369764026880048</v>
      </c>
      <c r="Q15" s="17">
        <f>SUMIFS(HY!$G321:$AN321,HY!$G$9:$AN$9,FY!Q$2)</f>
        <v>38.367010528355266</v>
      </c>
      <c r="R15" s="17">
        <f>SUMIFS(HY!$G321:$AN321,HY!$G$9:$AN$9,FY!R$2)</f>
        <v>43.759309632563514</v>
      </c>
      <c r="S15" s="17">
        <f>SUMIFS(HY!$G321:$AN321,HY!$G$9:$AN$9,FY!S$2)</f>
        <v>43.967351979569116</v>
      </c>
      <c r="T15" s="551"/>
    </row>
    <row r="16" spans="1:21">
      <c r="B16" s="9" t="s">
        <v>149</v>
      </c>
      <c r="C16" s="18"/>
      <c r="D16" s="17">
        <f>SUMIFS(HY!$G322:$AN322,HY!$G$9:$AN$9,FY!D$2)</f>
        <v>0</v>
      </c>
      <c r="E16" s="17">
        <f>SUMIFS(HY!$G322:$AN322,HY!$G$9:$AN$9,FY!E$2)</f>
        <v>2.2000000000000002</v>
      </c>
      <c r="F16" s="17">
        <f>SUMIFS(HY!$G322:$AN322,HY!$G$9:$AN$9,FY!F$2)</f>
        <v>9.1</v>
      </c>
      <c r="G16" s="17">
        <f>SUMIFS(HY!$G322:$AN322,HY!$G$9:$AN$9,FY!G$2)</f>
        <v>12.9</v>
      </c>
      <c r="H16" s="17">
        <f>SUMIFS(HY!$G322:$AN322,HY!$G$9:$AN$9,FY!H$2)</f>
        <v>10.7</v>
      </c>
      <c r="I16" s="17">
        <f>SUMIFS(HY!$G322:$AN322,HY!$G$9:$AN$9,FY!I$2)</f>
        <v>3.6</v>
      </c>
      <c r="J16" s="17">
        <f>SUMIFS(HY!$G322:$AN322,HY!$G$9:$AN$9,FY!J$2)</f>
        <v>-1.8</v>
      </c>
      <c r="K16" s="17">
        <f>SUMIFS(HY!$G322:$AN322,HY!$G$9:$AN$9,FY!K$2)</f>
        <v>-6.4</v>
      </c>
      <c r="L16" s="17">
        <f>SUMIFS(HY!$G322:$AN322,HY!$G$9:$AN$9,FY!L$2)</f>
        <v>-13</v>
      </c>
      <c r="M16" s="17">
        <f>SUMIFS(HY!$G322:$AN322,HY!$G$9:$AN$9,FY!M$2)</f>
        <v>-5</v>
      </c>
      <c r="N16" s="17">
        <f>SUMIFS(HY!$G322:$AN322,HY!$G$9:$AN$9,FY!N$2)</f>
        <v>9.6000000000000014</v>
      </c>
      <c r="O16" s="17">
        <f>SUMIFS(HY!$G322:$AN322,HY!$G$9:$AN$9,FY!O$2)</f>
        <v>11.52</v>
      </c>
      <c r="P16" s="17">
        <f>SUMIFS(HY!$G322:$AN322,HY!$G$9:$AN$9,FY!P$2)</f>
        <v>13.536</v>
      </c>
      <c r="Q16" s="17">
        <f>SUMIFS(HY!$G322:$AN322,HY!$G$9:$AN$9,FY!Q$2)</f>
        <v>15.566399999999998</v>
      </c>
      <c r="R16" s="17">
        <f>SUMIFS(HY!$G322:$AN322,HY!$G$9:$AN$9,FY!R$2)</f>
        <v>17.901359999999997</v>
      </c>
      <c r="S16" s="17">
        <f>SUMIFS(HY!$G322:$AN322,HY!$G$9:$AN$9,FY!S$2)</f>
        <v>20.586563999999996</v>
      </c>
      <c r="T16" s="551"/>
    </row>
    <row r="17" spans="1:20">
      <c r="B17" s="9" t="s">
        <v>147</v>
      </c>
      <c r="C17" s="18"/>
      <c r="D17" s="17">
        <f>SUMIFS(HY!$G323:$AN323,HY!$G$9:$AN$9,FY!D$2)</f>
        <v>-33.799999999999997</v>
      </c>
      <c r="E17" s="17">
        <f>SUMIFS(HY!$G323:$AN323,HY!$G$9:$AN$9,FY!E$2)</f>
        <v>-31.5</v>
      </c>
      <c r="F17" s="17">
        <f>SUMIFS(HY!$G323:$AN323,HY!$G$9:$AN$9,FY!F$2)</f>
        <v>-37.9</v>
      </c>
      <c r="G17" s="17">
        <f>SUMIFS(HY!$G323:$AN323,HY!$G$9:$AN$9,FY!G$2)</f>
        <v>-24.7</v>
      </c>
      <c r="H17" s="17">
        <f>SUMIFS(HY!$G323:$AN323,HY!$G$9:$AN$9,FY!H$2)</f>
        <v>-37.200000000000003</v>
      </c>
      <c r="I17" s="17">
        <f>SUMIFS(HY!$G323:$AN323,HY!$G$9:$AN$9,FY!I$2)</f>
        <v>-37.9</v>
      </c>
      <c r="J17" s="17">
        <f>SUMIFS(HY!$G323:$AN323,HY!$G$9:$AN$9,FY!J$2)</f>
        <v>-39.5</v>
      </c>
      <c r="K17" s="17">
        <f>SUMIFS(HY!$G323:$AN323,HY!$G$9:$AN$9,FY!K$2)</f>
        <v>-46.8</v>
      </c>
      <c r="L17" s="17">
        <f>SUMIFS(HY!$G323:$AN323,HY!$G$9:$AN$9,FY!L$2)</f>
        <v>-51.56</v>
      </c>
      <c r="M17" s="17">
        <f>SUMIFS(HY!$G323:$AN323,HY!$G$9:$AN$9,FY!M$2)</f>
        <v>-54.138000000000005</v>
      </c>
      <c r="N17" s="17">
        <f>SUMIFS(HY!$G323:$AN323,HY!$G$9:$AN$9,FY!N$2)</f>
        <v>-56.844900000000003</v>
      </c>
      <c r="O17" s="17">
        <f>SUMIFS(HY!$G323:$AN323,HY!$G$9:$AN$9,FY!O$2)</f>
        <v>-59.687145000000001</v>
      </c>
      <c r="P17" s="17">
        <f>SUMIFS(HY!$G323:$AN323,HY!$G$9:$AN$9,FY!P$2)</f>
        <v>-62.671502250000003</v>
      </c>
      <c r="Q17" s="17">
        <f>SUMIFS(HY!$G323:$AN323,HY!$G$9:$AN$9,FY!Q$2)</f>
        <v>-65.805077362500015</v>
      </c>
      <c r="R17" s="17">
        <f>SUMIFS(HY!$G323:$AN323,HY!$G$9:$AN$9,FY!R$2)</f>
        <v>-69.095331230625021</v>
      </c>
      <c r="S17" s="17">
        <f>SUMIFS(HY!$G323:$AN323,HY!$G$9:$AN$9,FY!S$2)</f>
        <v>-72.550097792156265</v>
      </c>
      <c r="T17" s="551"/>
    </row>
    <row r="18" spans="1:20">
      <c r="B18" s="9" t="s">
        <v>145</v>
      </c>
      <c r="C18" s="18"/>
      <c r="D18" s="17">
        <f>SUMIFS(HY!$G324:$AN324,HY!$G$9:$AN$9,FY!D$2)</f>
        <v>36.850476288232073</v>
      </c>
      <c r="E18" s="17">
        <f>SUMIFS(HY!$G324:$AN324,HY!$G$9:$AN$9,FY!E$2)</f>
        <v>-2.3561471497425188</v>
      </c>
      <c r="F18" s="17">
        <f>SUMIFS(HY!$G324:$AN324,HY!$G$9:$AN$9,FY!F$2)</f>
        <v>-8.765028758483794</v>
      </c>
      <c r="G18" s="17">
        <f>SUMIFS(HY!$G324:$AN324,HY!$G$9:$AN$9,FY!G$2)</f>
        <v>-0.31019807399916033</v>
      </c>
      <c r="H18" s="17">
        <f>SUMIFS(HY!$G324:$AN324,HY!$G$9:$AN$9,FY!H$2)</f>
        <v>1.4000000000000057</v>
      </c>
      <c r="I18" s="17">
        <f>SUMIFS(HY!$G324:$AN324,HY!$G$9:$AN$9,FY!I$2)</f>
        <v>0.50000000000002842</v>
      </c>
      <c r="J18" s="17">
        <f>SUMIFS(HY!$G324:$AN324,HY!$G$9:$AN$9,FY!J$2)</f>
        <v>0.5999999999999801</v>
      </c>
      <c r="K18" s="17">
        <f>SUMIFS(HY!$G324:$AN324,HY!$G$9:$AN$9,FY!K$2)</f>
        <v>0.79999999999996874</v>
      </c>
      <c r="L18" s="17">
        <f>SUMIFS(HY!$G324:$AN324,HY!$G$9:$AN$9,FY!L$2)</f>
        <v>0</v>
      </c>
      <c r="M18" s="17">
        <f>SUMIFS(HY!$G324:$AN324,HY!$G$9:$AN$9,FY!M$2)</f>
        <v>0</v>
      </c>
      <c r="N18" s="17">
        <f>SUMIFS(HY!$G324:$AN324,HY!$G$9:$AN$9,FY!N$2)</f>
        <v>0</v>
      </c>
      <c r="O18" s="17">
        <f>SUMIFS(HY!$G324:$AN324,HY!$G$9:$AN$9,FY!O$2)</f>
        <v>0</v>
      </c>
      <c r="P18" s="17">
        <f>SUMIFS(HY!$G324:$AN324,HY!$G$9:$AN$9,FY!P$2)</f>
        <v>0</v>
      </c>
      <c r="Q18" s="17">
        <f>SUMIFS(HY!$G324:$AN324,HY!$G$9:$AN$9,FY!Q$2)</f>
        <v>0</v>
      </c>
      <c r="R18" s="17">
        <f>SUMIFS(HY!$G324:$AN324,HY!$G$9:$AN$9,FY!R$2)</f>
        <v>0</v>
      </c>
      <c r="S18" s="17">
        <f>SUMIFS(HY!$G324:$AN324,HY!$G$9:$AN$9,FY!S$2)</f>
        <v>0</v>
      </c>
      <c r="T18" s="551"/>
    </row>
    <row r="19" spans="1:20" s="13" customFormat="1">
      <c r="A19" s="610"/>
      <c r="B19" s="13" t="s">
        <v>150</v>
      </c>
      <c r="C19" s="243"/>
      <c r="D19" s="24">
        <f>SUMIFS(HY!$G325:$AN325,HY!$G$9:$AN$9,FY!D$2)</f>
        <v>322.2</v>
      </c>
      <c r="E19" s="24">
        <f>SUMIFS(HY!$G325:$AN325,HY!$G$9:$AN$9,FY!E$2)</f>
        <v>200.7</v>
      </c>
      <c r="F19" s="24">
        <f>SUMIFS(HY!$G325:$AN325,HY!$G$9:$AN$9,FY!F$2)</f>
        <v>248.60000000000002</v>
      </c>
      <c r="G19" s="24">
        <f>SUMIFS(HY!$G325:$AN325,HY!$G$9:$AN$9,FY!G$2)</f>
        <v>137.9</v>
      </c>
      <c r="H19" s="24">
        <f>SUMIFS(HY!$G325:$AN325,HY!$G$9:$AN$9,FY!H$2)</f>
        <v>301.8</v>
      </c>
      <c r="I19" s="24">
        <f>SUMIFS(HY!$G325:$AN325,HY!$G$9:$AN$9,FY!I$2)</f>
        <v>277.8</v>
      </c>
      <c r="J19" s="24">
        <f>SUMIFS(HY!$G325:$AN325,HY!$G$9:$AN$9,FY!J$2)</f>
        <v>233.7</v>
      </c>
      <c r="K19" s="24">
        <f>SUMIFS(HY!$G325:$AN325,HY!$G$9:$AN$9,FY!K$2)</f>
        <v>181.6</v>
      </c>
      <c r="L19" s="24">
        <f>SUMIFS(HY!$G325:$AN325,HY!$G$9:$AN$9,FY!L$2)</f>
        <v>183.18613519999997</v>
      </c>
      <c r="M19" s="24">
        <f>SUMIFS(HY!$G325:$AN325,HY!$G$9:$AN$9,FY!M$2)</f>
        <v>204.83214634399997</v>
      </c>
      <c r="N19" s="24">
        <f>SUMIFS(HY!$G325:$AN325,HY!$G$9:$AN$9,FY!N$2)</f>
        <v>229.34449655400005</v>
      </c>
      <c r="O19" s="24">
        <f>SUMIFS(HY!$G325:$AN325,HY!$G$9:$AN$9,FY!O$2)</f>
        <v>238.69843621886156</v>
      </c>
      <c r="P19" s="24">
        <f>SUMIFS(HY!$G325:$AN325,HY!$G$9:$AN$9,FY!P$2)</f>
        <v>248.54432493026681</v>
      </c>
      <c r="Q19" s="24">
        <f>SUMIFS(HY!$G325:$AN325,HY!$G$9:$AN$9,FY!Q$2)</f>
        <v>258.8242178848343</v>
      </c>
      <c r="R19" s="24">
        <f>SUMIFS(HY!$G325:$AN325,HY!$G$9:$AN$9,FY!R$2)</f>
        <v>269.85336353011263</v>
      </c>
      <c r="S19" s="24">
        <f>SUMIFS(HY!$G325:$AN325,HY!$G$9:$AN$9,FY!S$2)</f>
        <v>276.09809342538347</v>
      </c>
      <c r="T19" s="552"/>
    </row>
    <row r="20" spans="1:20">
      <c r="C20" s="28"/>
      <c r="D20" s="28"/>
      <c r="E20" s="28"/>
      <c r="F20" s="28"/>
      <c r="G20" s="28"/>
      <c r="H20" s="28"/>
      <c r="I20" s="28"/>
      <c r="J20" s="28"/>
      <c r="K20" s="9"/>
      <c r="L20" s="28"/>
      <c r="M20" s="28"/>
      <c r="N20" s="28"/>
      <c r="O20" s="28"/>
      <c r="P20" s="28"/>
      <c r="Q20" s="28"/>
      <c r="R20" s="28"/>
      <c r="S20" s="28"/>
      <c r="T20" s="549"/>
    </row>
    <row r="21" spans="1:20">
      <c r="A21" s="608" t="s">
        <v>7</v>
      </c>
      <c r="B21" s="517" t="s">
        <v>1159</v>
      </c>
      <c r="C21" s="518" t="s">
        <v>1152</v>
      </c>
      <c r="D21" s="518" t="s">
        <v>1153</v>
      </c>
      <c r="E21" s="518" t="s">
        <v>1154</v>
      </c>
      <c r="F21" s="519">
        <v>2021</v>
      </c>
      <c r="G21" s="519">
        <v>2022</v>
      </c>
      <c r="H21" s="519">
        <v>2023</v>
      </c>
      <c r="I21" s="518">
        <v>2024</v>
      </c>
      <c r="J21" s="518">
        <v>2025</v>
      </c>
      <c r="K21" s="518">
        <v>2026</v>
      </c>
      <c r="L21" s="518">
        <v>2027</v>
      </c>
      <c r="M21" s="518">
        <v>2028</v>
      </c>
      <c r="N21" s="518">
        <v>2029</v>
      </c>
      <c r="O21" s="518">
        <v>2030</v>
      </c>
      <c r="P21" s="518">
        <v>2030</v>
      </c>
      <c r="Q21" s="518">
        <v>2030</v>
      </c>
      <c r="R21" s="518">
        <v>2030</v>
      </c>
      <c r="S21" s="518">
        <v>2030</v>
      </c>
      <c r="T21" s="550"/>
    </row>
    <row r="22" spans="1:20">
      <c r="B22" s="9" t="s">
        <v>601</v>
      </c>
      <c r="C22" s="17"/>
      <c r="D22" s="17">
        <f>SUMIFS(HY!$G311:$AN311,HY!$G$9:$AN$9,FY!D$2)</f>
        <v>937.78671906368481</v>
      </c>
      <c r="E22" s="17">
        <f>SUMIFS(HY!$G311:$AN311,HY!$G$9:$AN$9,FY!E$2)</f>
        <v>705.23393575756063</v>
      </c>
      <c r="F22" s="17">
        <f>SUMIFS(HY!$G311:$AN311,HY!$G$9:$AN$9,FY!F$2)</f>
        <v>731.63648084814668</v>
      </c>
      <c r="G22" s="17">
        <f>SUMIFS(HY!$G311:$AN311,HY!$G$9:$AN$9,FY!G$2)</f>
        <v>575.4200442999371</v>
      </c>
      <c r="H22" s="17">
        <f>SUMIFS(HY!$G311:$AN311,HY!$G$9:$AN$9,FY!H$2)</f>
        <v>862.6</v>
      </c>
      <c r="I22" s="17">
        <f>SUMIFS(HY!$G311:$AN311,HY!$G$9:$AN$9,FY!I$2)</f>
        <v>870.5</v>
      </c>
      <c r="J22" s="17">
        <f>SUMIFS(HY!$G311:$AN311,HY!$G$9:$AN$9,FY!J$2)</f>
        <v>825.2</v>
      </c>
      <c r="K22" s="17">
        <f>SUMIFS(HY!$G311:$AN311,HY!$G$9:$AN$9,FY!K$2)</f>
        <v>822.7</v>
      </c>
      <c r="L22" s="17">
        <f>SUMIFS(HY!$G311:$AN311,HY!$G$9:$AN$9,FY!L$2)</f>
        <v>840.93399999999997</v>
      </c>
      <c r="M22" s="17">
        <f>SUMIFS(HY!$G311:$AN311,HY!$G$9:$AN$9,FY!M$2)</f>
        <v>859.61222999999995</v>
      </c>
      <c r="N22" s="17">
        <f>SUMIFS(HY!$G311:$AN311,HY!$G$9:$AN$9,FY!N$2)</f>
        <v>899.31188750000001</v>
      </c>
      <c r="O22" s="17">
        <f>SUMIFS(HY!$G311:$AN311,HY!$G$9:$AN$9,FY!O$2)</f>
        <v>935.82404444699989</v>
      </c>
      <c r="P22" s="17">
        <f>SUMIFS(HY!$G311:$AN311,HY!$G$9:$AN$9,FY!P$2)</f>
        <v>973.90198434563001</v>
      </c>
      <c r="Q22" s="17">
        <f>SUMIFS(HY!$G311:$AN311,HY!$G$9:$AN$9,FY!Q$2)</f>
        <v>1013.4024088764711</v>
      </c>
      <c r="R22" s="17">
        <f>SUMIFS(HY!$G311:$AN311,HY!$G$9:$AN$9,FY!R$2)</f>
        <v>1055.1144007168261</v>
      </c>
      <c r="S22" s="17">
        <f>SUMIFS(HY!$G311:$AN311,HY!$G$9:$AN$9,FY!S$2)</f>
        <v>1092.3405089260359</v>
      </c>
      <c r="T22" s="551"/>
    </row>
    <row r="23" spans="1:20">
      <c r="B23" s="9" t="s">
        <v>274</v>
      </c>
      <c r="C23" s="17"/>
      <c r="D23" s="17">
        <f>SUMIFS(HY!$G$517:$AN$517,HY!$G$9:$AN$9,FY!D$2)</f>
        <v>0</v>
      </c>
      <c r="E23" s="17">
        <f>SUMIFS(HY!$G$517:$AN$517,HY!$G$9:$AN$9,FY!E$2)</f>
        <v>0</v>
      </c>
      <c r="F23" s="17">
        <f>SUMIFS(HY!$G$517:$AN$517,HY!$G$9:$AN$9,FY!F$2)</f>
        <v>0</v>
      </c>
      <c r="G23" s="17">
        <f>SUMIFS(HY!$G$517:$AN$517,HY!$G$9:$AN$9,FY!G$2)</f>
        <v>0</v>
      </c>
      <c r="H23" s="17">
        <f>SUMIFS(HY!$G$517:$AN$517,HY!$G$9:$AN$9,FY!H$2)</f>
        <v>0</v>
      </c>
      <c r="I23" s="17">
        <f>SUMIFS(HY!$G$517:$AN$517,HY!$G$9:$AN$9,FY!I$2)</f>
        <v>0</v>
      </c>
      <c r="J23" s="17">
        <f>SUMIFS(HY!$G$517:$AN$517,HY!$G$9:$AN$9,FY!J$2)</f>
        <v>0</v>
      </c>
      <c r="K23" s="17">
        <f>SUMIFS(HY!$G$517:$AN$517,HY!$G$9:$AN$9,FY!K$2)</f>
        <v>0</v>
      </c>
      <c r="L23" s="17">
        <f>SUMIFS(HY!$G$517:$AN$517,HY!$G$9:$AN$9,FY!L$2)</f>
        <v>0</v>
      </c>
      <c r="M23" s="17">
        <f>SUMIFS(HY!$G$517:$AN$517,HY!$G$9:$AN$9,FY!M$2)</f>
        <v>0</v>
      </c>
      <c r="N23" s="17">
        <f>SUMIFS(HY!$G$517:$AN$517,HY!$G$9:$AN$9,FY!N$2)</f>
        <v>0</v>
      </c>
      <c r="O23" s="17">
        <f>SUMIFS(HY!$G$517:$AN$517,HY!$G$9:$AN$9,FY!O$2)</f>
        <v>0</v>
      </c>
      <c r="P23" s="17">
        <f>SUMIFS(HY!$G$517:$AN$517,HY!$G$9:$AN$9,FY!P$2)</f>
        <v>0</v>
      </c>
      <c r="Q23" s="17">
        <f>SUMIFS(HY!$G$517:$AN$517,HY!$G$9:$AN$9,FY!Q$2)</f>
        <v>0</v>
      </c>
      <c r="R23" s="17">
        <f>SUMIFS(HY!$G$517:$AN$517,HY!$G$9:$AN$9,FY!R$2)</f>
        <v>0</v>
      </c>
      <c r="S23" s="17">
        <f>SUMIFS(HY!$G$517:$AN$517,HY!$G$9:$AN$9,FY!S$2)</f>
        <v>0</v>
      </c>
      <c r="T23" s="551"/>
    </row>
    <row r="24" spans="1:20">
      <c r="B24" s="19" t="s">
        <v>176</v>
      </c>
      <c r="C24" s="20"/>
      <c r="D24" s="20" t="s">
        <v>176</v>
      </c>
      <c r="E24" s="20" t="s">
        <v>176</v>
      </c>
      <c r="F24" s="20" t="s">
        <v>176</v>
      </c>
      <c r="G24" s="20" t="s">
        <v>176</v>
      </c>
      <c r="H24" s="20" t="s">
        <v>176</v>
      </c>
      <c r="I24" s="20" t="s">
        <v>176</v>
      </c>
      <c r="J24" s="20" t="s">
        <v>176</v>
      </c>
      <c r="K24" s="20" t="s">
        <v>176</v>
      </c>
      <c r="L24" s="20" t="s">
        <v>176</v>
      </c>
      <c r="M24" s="20" t="s">
        <v>176</v>
      </c>
      <c r="N24" s="20" t="s">
        <v>176</v>
      </c>
      <c r="O24" s="20" t="s">
        <v>176</v>
      </c>
      <c r="P24" s="20" t="s">
        <v>176</v>
      </c>
      <c r="Q24" s="20" t="s">
        <v>176</v>
      </c>
      <c r="R24" s="20" t="s">
        <v>176</v>
      </c>
      <c r="S24" s="20" t="s">
        <v>176</v>
      </c>
      <c r="T24" s="554"/>
    </row>
    <row r="25" spans="1:20" s="13" customFormat="1">
      <c r="A25" s="610"/>
      <c r="B25" s="13" t="s">
        <v>1160</v>
      </c>
      <c r="C25" s="24"/>
      <c r="D25" s="24">
        <f t="shared" ref="D25:O25" si="10">D23+D22</f>
        <v>937.78671906368481</v>
      </c>
      <c r="E25" s="24">
        <f t="shared" si="10"/>
        <v>705.23393575756063</v>
      </c>
      <c r="F25" s="24">
        <f t="shared" si="10"/>
        <v>731.63648084814668</v>
      </c>
      <c r="G25" s="24">
        <f t="shared" si="10"/>
        <v>575.4200442999371</v>
      </c>
      <c r="H25" s="24">
        <f t="shared" si="10"/>
        <v>862.6</v>
      </c>
      <c r="I25" s="24">
        <f t="shared" si="10"/>
        <v>870.5</v>
      </c>
      <c r="J25" s="24">
        <f t="shared" si="10"/>
        <v>825.2</v>
      </c>
      <c r="K25" s="24">
        <f t="shared" si="10"/>
        <v>822.7</v>
      </c>
      <c r="L25" s="24">
        <f t="shared" si="10"/>
        <v>840.93399999999997</v>
      </c>
      <c r="M25" s="24">
        <f t="shared" si="10"/>
        <v>859.61222999999995</v>
      </c>
      <c r="N25" s="24">
        <f t="shared" si="10"/>
        <v>899.31188750000001</v>
      </c>
      <c r="O25" s="24">
        <f t="shared" si="10"/>
        <v>935.82404444699989</v>
      </c>
      <c r="P25" s="24">
        <f t="shared" ref="P25:S25" si="11">P23+P22</f>
        <v>973.90198434563001</v>
      </c>
      <c r="Q25" s="24">
        <f t="shared" si="11"/>
        <v>1013.4024088764711</v>
      </c>
      <c r="R25" s="24">
        <f t="shared" si="11"/>
        <v>1055.1144007168261</v>
      </c>
      <c r="S25" s="24">
        <f t="shared" si="11"/>
        <v>1092.3405089260359</v>
      </c>
      <c r="T25" s="552"/>
    </row>
    <row r="26" spans="1:20">
      <c r="B26" s="9" t="s">
        <v>275</v>
      </c>
      <c r="C26" s="17"/>
      <c r="D26" s="17">
        <f>SUMIFS(HY!$G$518:$AN$518,HY!$G$9:$AN$9,FY!D$2)</f>
        <v>0</v>
      </c>
      <c r="E26" s="17">
        <f>SUMIFS(HY!$G$518:$AN$518,HY!$G$9:$AN$9,FY!E$2)</f>
        <v>0</v>
      </c>
      <c r="F26" s="17">
        <f>SUMIFS(HY!$G$518:$AN$518,HY!$G$9:$AN$9,FY!F$2)</f>
        <v>0</v>
      </c>
      <c r="G26" s="17">
        <f>SUMIFS(HY!$G$518:$AN$518,HY!$G$9:$AN$9,FY!G$2)</f>
        <v>0</v>
      </c>
      <c r="H26" s="17">
        <f>SUMIFS(HY!$G$518:$AN$518,HY!$G$9:$AN$9,FY!H$2)</f>
        <v>0</v>
      </c>
      <c r="I26" s="17">
        <f>SUMIFS(HY!$G$518:$AN$518,HY!$G$9:$AN$9,FY!I$2)</f>
        <v>0</v>
      </c>
      <c r="J26" s="17">
        <f>SUMIFS(HY!$G$518:$AN$518,HY!$G$9:$AN$9,FY!J$2)</f>
        <v>0</v>
      </c>
      <c r="K26" s="17">
        <f>SUMIFS(HY!$G$518:$AN$518,HY!$G$9:$AN$9,FY!K$2)</f>
        <v>0</v>
      </c>
      <c r="L26" s="17">
        <f>SUMIFS(HY!$G$518:$AN$518,HY!$G$9:$AN$9,FY!L$2)</f>
        <v>0</v>
      </c>
      <c r="M26" s="17">
        <f>SUMIFS(HY!$G$518:$AN$518,HY!$G$9:$AN$9,FY!M$2)</f>
        <v>0</v>
      </c>
      <c r="N26" s="17">
        <f>SUMIFS(HY!$G$518:$AN$518,HY!$G$9:$AN$9,FY!N$2)</f>
        <v>0</v>
      </c>
      <c r="O26" s="17">
        <f>SUMIFS(HY!$G$518:$AN$518,HY!$G$9:$AN$9,FY!O$2)</f>
        <v>0</v>
      </c>
      <c r="P26" s="17">
        <f>SUMIFS(HY!$G$518:$AN$518,HY!$G$9:$AN$9,FY!P$2)</f>
        <v>0</v>
      </c>
      <c r="Q26" s="17">
        <f>SUMIFS(HY!$G$518:$AN$518,HY!$G$9:$AN$9,FY!Q$2)</f>
        <v>0</v>
      </c>
      <c r="R26" s="17">
        <f>SUMIFS(HY!$G$518:$AN$518,HY!$G$9:$AN$9,FY!R$2)</f>
        <v>0</v>
      </c>
      <c r="S26" s="17">
        <f>SUMIFS(HY!$G$518:$AN$518,HY!$G$9:$AN$9,FY!S$2)</f>
        <v>0</v>
      </c>
      <c r="T26" s="551"/>
    </row>
    <row r="27" spans="1:20">
      <c r="B27" s="9" t="s">
        <v>1161</v>
      </c>
      <c r="C27" s="17"/>
      <c r="D27" s="17">
        <f>SUMIFS(HY!$G$313:$AN$313,HY!$G$9:$AN$9,FY!D$2)</f>
        <v>-615.58671906368477</v>
      </c>
      <c r="E27" s="17">
        <f>SUMIFS(HY!$G$313:$AN$313,HY!$G$9:$AN$9,FY!E$2)</f>
        <v>-504.53393575756058</v>
      </c>
      <c r="F27" s="17">
        <f>SUMIFS(HY!$G$313:$AN$313,HY!$G$9:$AN$9,FY!F$2)</f>
        <v>-483.03648084814671</v>
      </c>
      <c r="G27" s="17">
        <f>SUMIFS(HY!$G$313:$AN$313,HY!$G$9:$AN$9,FY!G$2)</f>
        <v>-437.52004429993713</v>
      </c>
      <c r="H27" s="17">
        <f>SUMIFS(HY!$G$313:$AN$313,HY!$G$9:$AN$9,FY!H$2)</f>
        <v>-560.79999999999995</v>
      </c>
      <c r="I27" s="17">
        <f>SUMIFS(HY!$G$313:$AN$313,HY!$G$9:$AN$9,FY!I$2)</f>
        <v>-592.70000000000005</v>
      </c>
      <c r="J27" s="17">
        <f>SUMIFS(HY!$G$313:$AN$313,HY!$G$9:$AN$9,FY!J$2)</f>
        <v>-591.5</v>
      </c>
      <c r="K27" s="17">
        <f>SUMIFS(HY!$G$313:$AN$313,HY!$G$9:$AN$9,FY!K$2)</f>
        <v>-641.10000000000014</v>
      </c>
      <c r="L27" s="17">
        <f>SUMIFS(HY!$G$313:$AN$313,HY!$G$9:$AN$9,FY!L$2)</f>
        <v>-657.74786480000012</v>
      </c>
      <c r="M27" s="17">
        <f>SUMIFS(HY!$G$313:$AN$313,HY!$G$9:$AN$9,FY!M$2)</f>
        <v>-654.78008365599999</v>
      </c>
      <c r="N27" s="17">
        <f>SUMIFS(HY!$G$313:$AN$313,HY!$G$9:$AN$9,FY!N$2)</f>
        <v>-669.96739094600002</v>
      </c>
      <c r="O27" s="17">
        <f>SUMIFS(HY!$G$313:$AN$313,HY!$G$9:$AN$9,FY!O$2)</f>
        <v>-697.12560822813839</v>
      </c>
      <c r="P27" s="17">
        <f>SUMIFS(HY!$G$313:$AN$313,HY!$G$9:$AN$9,FY!P$2)</f>
        <v>-725.35765941536329</v>
      </c>
      <c r="Q27" s="17">
        <f>SUMIFS(HY!$G$313:$AN$313,HY!$G$9:$AN$9,FY!Q$2)</f>
        <v>-754.5781909916368</v>
      </c>
      <c r="R27" s="17">
        <f>SUMIFS(HY!$G$313:$AN$313,HY!$G$9:$AN$9,FY!R$2)</f>
        <v>-785.26103718671357</v>
      </c>
      <c r="S27" s="17">
        <f>SUMIFS(HY!$G$313:$AN$313,HY!$G$9:$AN$9,FY!S$2)</f>
        <v>-816.24241550065256</v>
      </c>
      <c r="T27" s="551"/>
    </row>
    <row r="28" spans="1:20">
      <c r="B28" s="19" t="s">
        <v>176</v>
      </c>
      <c r="C28" s="21"/>
      <c r="D28" s="21" t="s">
        <v>176</v>
      </c>
      <c r="E28" s="21" t="s">
        <v>176</v>
      </c>
      <c r="F28" s="21" t="s">
        <v>176</v>
      </c>
      <c r="G28" s="21" t="s">
        <v>176</v>
      </c>
      <c r="H28" s="21" t="s">
        <v>176</v>
      </c>
      <c r="I28" s="21" t="s">
        <v>176</v>
      </c>
      <c r="J28" s="21" t="s">
        <v>176</v>
      </c>
      <c r="K28" s="21" t="s">
        <v>176</v>
      </c>
      <c r="L28" s="21" t="s">
        <v>176</v>
      </c>
      <c r="M28" s="21" t="s">
        <v>176</v>
      </c>
      <c r="N28" s="21" t="s">
        <v>176</v>
      </c>
      <c r="O28" s="21" t="s">
        <v>176</v>
      </c>
      <c r="P28" s="21" t="s">
        <v>176</v>
      </c>
      <c r="Q28" s="21" t="s">
        <v>176</v>
      </c>
      <c r="R28" s="21" t="s">
        <v>176</v>
      </c>
      <c r="S28" s="21" t="s">
        <v>176</v>
      </c>
      <c r="T28" s="555"/>
    </row>
    <row r="29" spans="1:20" s="13" customFormat="1">
      <c r="A29" s="610"/>
      <c r="B29" s="13" t="s">
        <v>26</v>
      </c>
      <c r="C29" s="24"/>
      <c r="D29" s="24">
        <f>SUMIFS(HY!$G$325:$AN$325,HY!$G$9:$AN$9,FY!D$2)</f>
        <v>322.2</v>
      </c>
      <c r="E29" s="24">
        <f>SUMIFS(HY!$G$325:$AN$325,HY!$G$9:$AN$9,FY!E$2)</f>
        <v>200.7</v>
      </c>
      <c r="F29" s="24">
        <f>SUMIFS(HY!$G$325:$AN$325,HY!$G$9:$AN$9,FY!F$2)</f>
        <v>248.60000000000002</v>
      </c>
      <c r="G29" s="24">
        <f>SUMIFS(HY!$G$325:$AN$325,HY!$G$9:$AN$9,FY!G$2)</f>
        <v>137.9</v>
      </c>
      <c r="H29" s="24">
        <f>SUMIFS(HY!$G$325:$AN$325,HY!$G$9:$AN$9,FY!H$2)</f>
        <v>301.8</v>
      </c>
      <c r="I29" s="24">
        <f>SUMIFS(HY!$G$325:$AN$325,HY!$G$9:$AN$9,FY!I$2)</f>
        <v>277.8</v>
      </c>
      <c r="J29" s="24">
        <f>SUMIFS(HY!$G$325:$AN$325,HY!$G$9:$AN$9,FY!J$2)</f>
        <v>233.7</v>
      </c>
      <c r="K29" s="24">
        <f>SUMIFS(HY!$G$325:$AN$325,HY!$G$9:$AN$9,FY!K$2)</f>
        <v>181.6</v>
      </c>
      <c r="L29" s="24">
        <f>SUMIFS(HY!$G$325:$AN$325,HY!$G$9:$AN$9,FY!L$2)</f>
        <v>183.18613519999997</v>
      </c>
      <c r="M29" s="24">
        <f>SUMIFS(HY!$G$325:$AN$325,HY!$G$9:$AN$9,FY!M$2)</f>
        <v>204.83214634399997</v>
      </c>
      <c r="N29" s="24">
        <f>SUMIFS(HY!$G$325:$AN$325,HY!$G$9:$AN$9,FY!N$2)</f>
        <v>229.34449655400005</v>
      </c>
      <c r="O29" s="24">
        <f>SUMIFS(HY!$G$325:$AN$325,HY!$G$9:$AN$9,FY!O$2)</f>
        <v>238.69843621886156</v>
      </c>
      <c r="P29" s="24">
        <f>SUMIFS(HY!$G$325:$AN$325,HY!$G$9:$AN$9,FY!P$2)</f>
        <v>248.54432493026681</v>
      </c>
      <c r="Q29" s="24">
        <f>SUMIFS(HY!$G$325:$AN$325,HY!$G$9:$AN$9,FY!Q$2)</f>
        <v>258.8242178848343</v>
      </c>
      <c r="R29" s="24">
        <f>SUMIFS(HY!$G$325:$AN$325,HY!$G$9:$AN$9,FY!R$2)</f>
        <v>269.85336353011263</v>
      </c>
      <c r="S29" s="24">
        <f>SUMIFS(HY!$G$325:$AN$325,HY!$G$9:$AN$9,FY!S$2)</f>
        <v>276.09809342538347</v>
      </c>
      <c r="T29" s="552"/>
    </row>
    <row r="30" spans="1:20">
      <c r="B30" s="9" t="s">
        <v>278</v>
      </c>
      <c r="C30" s="17"/>
      <c r="D30" s="17">
        <f>SUMIFS(HY!$G$524:$AN$524,HY!$G$9:$AN$9,FY!D$2)</f>
        <v>-67.187397577274567</v>
      </c>
      <c r="E30" s="17">
        <f>SUMIFS(HY!$G$524:$AN$524,HY!$G$9:$AN$9,FY!E$2)</f>
        <v>-68.613000000000014</v>
      </c>
      <c r="F30" s="17">
        <f>SUMIFS(HY!$G$524:$AN$524,HY!$G$9:$AN$9,FY!F$2)</f>
        <v>-74.994999999999962</v>
      </c>
      <c r="G30" s="17">
        <f>SUMIFS(HY!$G$524:$AN$524,HY!$G$9:$AN$9,FY!G$2)</f>
        <v>-81.498999999999995</v>
      </c>
      <c r="H30" s="17">
        <f>SUMIFS(HY!$G$524:$AN$524,HY!$G$9:$AN$9,FY!H$2)</f>
        <v>-77.343000000000004</v>
      </c>
      <c r="I30" s="17">
        <f>SUMIFS(HY!$G$524:$AN$524,HY!$G$9:$AN$9,FY!I$2)</f>
        <v>-80.266000000000005</v>
      </c>
      <c r="J30" s="17">
        <f>SUMIFS(HY!$G$524:$AN$524,HY!$G$9:$AN$9,FY!J$2)</f>
        <v>-82.918000000000006</v>
      </c>
      <c r="K30" s="17">
        <f>SUMIFS(HY!$G$524:$AN$524,HY!$G$9:$AN$9,FY!K$2)</f>
        <v>-90.655000000000001</v>
      </c>
      <c r="L30" s="17">
        <f>SUMIFS(HY!$G$524:$AN$524,HY!$G$9:$AN$9,FY!L$2)</f>
        <v>-98.756877777777788</v>
      </c>
      <c r="M30" s="17">
        <f>SUMIFS(HY!$G$524:$AN$524,HY!$G$9:$AN$9,FY!M$2)</f>
        <v>-90.603923007901244</v>
      </c>
      <c r="N30" s="17">
        <f>SUMIFS(HY!$G$524:$AN$524,HY!$G$9:$AN$9,FY!N$2)</f>
        <v>-89.232643005205489</v>
      </c>
      <c r="O30" s="17">
        <f>SUMIFS(HY!$G$524:$AN$524,HY!$G$9:$AN$9,FY!O$2)</f>
        <v>-88.148210500005575</v>
      </c>
      <c r="P30" s="17">
        <f>SUMIFS(HY!$G$524:$AN$524,HY!$G$9:$AN$9,FY!P$2)</f>
        <v>-87.32940957693242</v>
      </c>
      <c r="Q30" s="17">
        <f>SUMIFS(HY!$G$524:$AN$524,HY!$G$9:$AN$9,FY!Q$2)</f>
        <v>-86.765071486293181</v>
      </c>
      <c r="R30" s="17">
        <f>SUMIFS(HY!$G$524:$AN$524,HY!$G$9:$AN$9,FY!R$2)</f>
        <v>-86.447864917253909</v>
      </c>
      <c r="S30" s="17">
        <f>SUMIFS(HY!$G$524:$AN$524,HY!$G$9:$AN$9,FY!S$2)</f>
        <v>-86.364261073667578</v>
      </c>
      <c r="T30" s="551"/>
    </row>
    <row r="31" spans="1:20">
      <c r="B31" s="9" t="s">
        <v>279</v>
      </c>
      <c r="C31" s="17"/>
      <c r="D31" s="17">
        <f>SUMIFS(HY!$G$525:$AN$525,HY!$G$9:$AN$9,FY!D$2)</f>
        <v>-12.812602422725449</v>
      </c>
      <c r="E31" s="17">
        <f>SUMIFS(HY!$G$525:$AN$525,HY!$G$9:$AN$9,FY!E$2)</f>
        <v>-17.986999999999998</v>
      </c>
      <c r="F31" s="17">
        <f>SUMIFS(HY!$G$525:$AN$525,HY!$G$9:$AN$9,FY!F$2)</f>
        <v>-13.404999999999999</v>
      </c>
      <c r="G31" s="17">
        <f>SUMIFS(HY!$G$525:$AN$525,HY!$G$9:$AN$9,FY!G$2)</f>
        <v>-13.201000000000001</v>
      </c>
      <c r="H31" s="17">
        <f>SUMIFS(HY!$G$525:$AN$525,HY!$G$9:$AN$9,FY!H$2)</f>
        <v>-13.329000000000001</v>
      </c>
      <c r="I31" s="17">
        <f>SUMIFS(HY!$G$525:$AN$525,HY!$G$9:$AN$9,FY!I$2)</f>
        <v>-11.754999999999999</v>
      </c>
      <c r="J31" s="17">
        <f>SUMIFS(HY!$G$525:$AN$525,HY!$G$9:$AN$9,FY!J$2)</f>
        <v>-11.295000000000002</v>
      </c>
      <c r="K31" s="17">
        <f>SUMIFS(HY!$G$525:$AN$525,HY!$G$9:$AN$9,FY!K$2)</f>
        <v>-12.802</v>
      </c>
      <c r="L31" s="17">
        <f>SUMIFS(HY!$G$525:$AN$525,HY!$G$9:$AN$9,FY!L$2)</f>
        <v>-14.204682157017629</v>
      </c>
      <c r="M31" s="17">
        <f>SUMIFS(HY!$G$525:$AN$525,HY!$G$9:$AN$9,FY!M$2)</f>
        <v>-14.058163560326795</v>
      </c>
      <c r="N31" s="17">
        <f>SUMIFS(HY!$G$525:$AN$525,HY!$G$9:$AN$9,FY!N$2)</f>
        <v>-13.921852945648954</v>
      </c>
      <c r="O31" s="17">
        <f>SUMIFS(HY!$G$525:$AN$525,HY!$G$9:$AN$9,FY!O$2)</f>
        <v>-13.798592796823112</v>
      </c>
      <c r="P31" s="17">
        <f>SUMIFS(HY!$G$525:$AN$525,HY!$G$9:$AN$9,FY!P$2)</f>
        <v>-13.68792615848948</v>
      </c>
      <c r="Q31" s="17">
        <f>SUMIFS(HY!$G$525:$AN$525,HY!$G$9:$AN$9,FY!Q$2)</f>
        <v>-13.589836536429265</v>
      </c>
      <c r="R31" s="17">
        <f>SUMIFS(HY!$G$525:$AN$525,HY!$G$9:$AN$9,FY!R$2)</f>
        <v>-13.504456822791802</v>
      </c>
      <c r="S31" s="17">
        <f>SUMIFS(HY!$G$525:$AN$525,HY!$G$9:$AN$9,FY!S$2)</f>
        <v>-13.431597425827881</v>
      </c>
      <c r="T31" s="551"/>
    </row>
    <row r="32" spans="1:20">
      <c r="B32" s="19" t="s">
        <v>176</v>
      </c>
      <c r="C32" s="20"/>
      <c r="D32" s="20" t="s">
        <v>176</v>
      </c>
      <c r="E32" s="20" t="s">
        <v>176</v>
      </c>
      <c r="F32" s="20" t="s">
        <v>176</v>
      </c>
      <c r="G32" s="20" t="s">
        <v>176</v>
      </c>
      <c r="H32" s="20" t="s">
        <v>176</v>
      </c>
      <c r="I32" s="20" t="s">
        <v>176</v>
      </c>
      <c r="J32" s="20" t="s">
        <v>176</v>
      </c>
      <c r="K32" s="20" t="s">
        <v>176</v>
      </c>
      <c r="L32" s="20" t="s">
        <v>176</v>
      </c>
      <c r="M32" s="20" t="s">
        <v>176</v>
      </c>
      <c r="N32" s="20" t="s">
        <v>176</v>
      </c>
      <c r="O32" s="20" t="s">
        <v>176</v>
      </c>
      <c r="P32" s="20" t="s">
        <v>176</v>
      </c>
      <c r="Q32" s="20" t="s">
        <v>176</v>
      </c>
      <c r="R32" s="20" t="s">
        <v>176</v>
      </c>
      <c r="S32" s="20" t="s">
        <v>176</v>
      </c>
      <c r="T32" s="554"/>
    </row>
    <row r="33" spans="1:20" s="13" customFormat="1">
      <c r="A33" s="610"/>
      <c r="B33" s="13" t="s">
        <v>128</v>
      </c>
      <c r="C33" s="24"/>
      <c r="D33" s="24">
        <f>SUMIFS(HY!$G$338:$AN$338,HY!$G$9:$AN$9,FY!D$2)</f>
        <v>242.2</v>
      </c>
      <c r="E33" s="24">
        <f>SUMIFS(HY!$G$338:$AN$338,HY!$G$9:$AN$9,FY!E$2)</f>
        <v>114.09999999999998</v>
      </c>
      <c r="F33" s="24">
        <f>SUMIFS(HY!$G$338:$AN$338,HY!$G$9:$AN$9,FY!F$2)</f>
        <v>160.20000000000005</v>
      </c>
      <c r="G33" s="24">
        <f>SUMIFS(HY!$G$338:$AN$338,HY!$G$9:$AN$9,FY!G$2)</f>
        <v>43.20000000000001</v>
      </c>
      <c r="H33" s="24">
        <f>SUMIFS(HY!$G$338:$AN$338,HY!$G$9:$AN$9,FY!H$2)</f>
        <v>211.12799999999999</v>
      </c>
      <c r="I33" s="24">
        <f>SUMIFS(HY!$G$338:$AN$338,HY!$G$9:$AN$9,FY!I$2)</f>
        <v>185.779</v>
      </c>
      <c r="J33" s="24">
        <f>SUMIFS(HY!$G$338:$AN$338,HY!$G$9:$AN$9,FY!J$2)</f>
        <v>139.48699999999997</v>
      </c>
      <c r="K33" s="24">
        <f>SUMIFS(HY!$G$338:$AN$338,HY!$G$9:$AN$9,FY!K$2)</f>
        <v>78.143000000000001</v>
      </c>
      <c r="L33" s="24">
        <f>SUMIFS(HY!$G$338:$AN$338,HY!$G$9:$AN$9,FY!L$2)</f>
        <v>70.224575265204564</v>
      </c>
      <c r="M33" s="24">
        <f>SUMIFS(HY!$G$338:$AN$338,HY!$G$9:$AN$9,FY!M$2)</f>
        <v>100.17005977577193</v>
      </c>
      <c r="N33" s="24">
        <f>SUMIFS(HY!$G$338:$AN$338,HY!$G$9:$AN$9,FY!N$2)</f>
        <v>126.19000060314562</v>
      </c>
      <c r="O33" s="24">
        <f>SUMIFS(HY!$G$338:$AN$338,HY!$G$9:$AN$9,FY!O$2)</f>
        <v>136.75163292203288</v>
      </c>
      <c r="P33" s="24">
        <f>SUMIFS(HY!$G$338:$AN$338,HY!$G$9:$AN$9,FY!P$2)</f>
        <v>147.52698919484493</v>
      </c>
      <c r="Q33" s="24">
        <f>SUMIFS(HY!$G$338:$AN$338,HY!$G$9:$AN$9,FY!Q$2)</f>
        <v>158.46930986211186</v>
      </c>
      <c r="R33" s="24">
        <f>SUMIFS(HY!$G$338:$AN$338,HY!$G$9:$AN$9,FY!R$2)</f>
        <v>169.90104179006693</v>
      </c>
      <c r="S33" s="24">
        <f>SUMIFS(HY!$G$338:$AN$338,HY!$G$9:$AN$9,FY!S$2)</f>
        <v>176.302234925888</v>
      </c>
      <c r="T33" s="552"/>
    </row>
    <row r="34" spans="1:20">
      <c r="B34" s="9" t="s">
        <v>1162</v>
      </c>
      <c r="C34" s="17"/>
      <c r="D34" s="17">
        <f>SUMIFS(HY!$G$528:$AN$528,HY!$G$9:$AN$9,FY!D$2)+SUMIFS(HY!$G$529:$AN$529,HY!$G$9:$AN$9,FY!D$2)</f>
        <v>-37.064</v>
      </c>
      <c r="E34" s="17">
        <f>SUMIFS(HY!$G$528:$AN$528,HY!$G$9:$AN$9,FY!E$2)+SUMIFS(HY!$G$529:$AN$529,HY!$G$9:$AN$9,FY!E$2)</f>
        <v>-40.384</v>
      </c>
      <c r="F34" s="17">
        <f>SUMIFS(HY!$G$528:$AN$528,HY!$G$9:$AN$9,FY!F$2)+SUMIFS(HY!$G$529:$AN$529,HY!$G$9:$AN$9,FY!F$2)</f>
        <v>-37.650000000000006</v>
      </c>
      <c r="G34" s="17">
        <f>SUMIFS(HY!$G$528:$AN$528,HY!$G$9:$AN$9,FY!G$2)+SUMIFS(HY!$G$529:$AN$529,HY!$G$9:$AN$9,FY!G$2)</f>
        <v>-30.003</v>
      </c>
      <c r="H34" s="17">
        <f>SUMIFS(HY!$G$528:$AN$528,HY!$G$9:$AN$9,FY!H$2)+SUMIFS(HY!$G$529:$AN$529,HY!$G$9:$AN$9,FY!H$2)</f>
        <v>-37.094000000000001</v>
      </c>
      <c r="I34" s="17">
        <f>SUMIFS(HY!$G$528:$AN$528,HY!$G$9:$AN$9,FY!I$2)+SUMIFS(HY!$G$529:$AN$529,HY!$G$9:$AN$9,FY!I$2)</f>
        <v>-48.011000000000003</v>
      </c>
      <c r="J34" s="17">
        <f>SUMIFS(HY!$G$528:$AN$528,HY!$G$9:$AN$9,FY!J$2)+SUMIFS(HY!$G$529:$AN$529,HY!$G$9:$AN$9,FY!J$2)</f>
        <v>-59.513999999999996</v>
      </c>
      <c r="K34" s="17">
        <f>SUMIFS(HY!$G$528:$AN$528,HY!$G$9:$AN$9,FY!K$2)+SUMIFS(HY!$G$529:$AN$529,HY!$G$9:$AN$9,FY!K$2)</f>
        <v>-53.287499999999994</v>
      </c>
      <c r="L34" s="17">
        <f>SUMIFS(HY!$G$528:$AN$528,HY!$G$9:$AN$9,FY!L$2)+SUMIFS(HY!$G$529:$AN$529,HY!$G$9:$AN$9,FY!L$2)</f>
        <v>-26.724114048151236</v>
      </c>
      <c r="M34" s="17">
        <f>SUMIFS(HY!$G$528:$AN$528,HY!$G$9:$AN$9,FY!M$2)+SUMIFS(HY!$G$529:$AN$529,HY!$G$9:$AN$9,FY!M$2)</f>
        <v>-21.935186810000655</v>
      </c>
      <c r="N34" s="17">
        <f>SUMIFS(HY!$G$528:$AN$528,HY!$G$9:$AN$9,FY!N$2)+SUMIFS(HY!$G$529:$AN$529,HY!$G$9:$AN$9,FY!N$2)</f>
        <v>-19.650921251912443</v>
      </c>
      <c r="O34" s="17">
        <f>SUMIFS(HY!$G$528:$AN$528,HY!$G$9:$AN$9,FY!O$2)+SUMIFS(HY!$G$529:$AN$529,HY!$G$9:$AN$9,FY!O$2)</f>
        <v>-16.707393769213969</v>
      </c>
      <c r="P34" s="17">
        <f>SUMIFS(HY!$G$528:$AN$528,HY!$G$9:$AN$9,FY!P$2)+SUMIFS(HY!$G$529:$AN$529,HY!$G$9:$AN$9,FY!P$2)</f>
        <v>-13.979307097043328</v>
      </c>
      <c r="Q34" s="17">
        <f>SUMIFS(HY!$G$528:$AN$528,HY!$G$9:$AN$9,FY!Q$2)+SUMIFS(HY!$G$529:$AN$529,HY!$G$9:$AN$9,FY!Q$2)</f>
        <v>-12.819423555449628</v>
      </c>
      <c r="R34" s="17">
        <f>SUMIFS(HY!$G$528:$AN$528,HY!$G$9:$AN$9,FY!R$2)+SUMIFS(HY!$G$529:$AN$529,HY!$G$9:$AN$9,FY!R$2)</f>
        <v>-11.671309753167591</v>
      </c>
      <c r="S34" s="17">
        <f>SUMIFS(HY!$G$528:$AN$528,HY!$G$9:$AN$9,FY!S$2)+SUMIFS(HY!$G$529:$AN$529,HY!$G$9:$AN$9,FY!S$2)</f>
        <v>-10.619647407264196</v>
      </c>
      <c r="T34" s="551"/>
    </row>
    <row r="35" spans="1:20">
      <c r="B35" s="9" t="s">
        <v>280</v>
      </c>
      <c r="C35" s="17"/>
      <c r="D35" s="17">
        <f>SUMIFS(HY!$G$530:$AD$530,HY!$G$9:$AD$9,FY!D$2)</f>
        <v>26.863999999999997</v>
      </c>
      <c r="E35" s="17">
        <f>SUMIFS(HY!$G$530:$AD$530,HY!$G$9:$AD$9,FY!E$2)</f>
        <v>11.783999999999997</v>
      </c>
      <c r="F35" s="17">
        <f>SUMIFS(HY!$G$530:$AD$530,HY!$G$9:$AD$9,FY!F$2)</f>
        <v>5.1500000000000021</v>
      </c>
      <c r="G35" s="17">
        <f>SUMIFS(HY!$G$530:$AD$530,HY!$G$9:$AD$9,FY!G$2)</f>
        <v>-4.9970000000000017</v>
      </c>
      <c r="H35" s="17">
        <f>SUMIFS(HY!$G$530:$AD$530,HY!$G$9:$AD$9,FY!H$2)</f>
        <v>8.968</v>
      </c>
      <c r="I35" s="17">
        <f>SUMIFS(HY!$G$530:$AD$530,HY!$G$9:$AD$9,FY!I$2)</f>
        <v>32.010999999999996</v>
      </c>
      <c r="J35" s="17">
        <f>SUMIFS(HY!$G$530:$AD$530,HY!$G$9:$AD$9,FY!J$2)</f>
        <v>33.113999999999997</v>
      </c>
      <c r="K35" s="17">
        <f>SUMIFS(HY!$G$530:$AD$530,HY!$G$9:$AD$9,FY!K$2)</f>
        <v>26.687499999999996</v>
      </c>
      <c r="L35" s="17">
        <f>SUMIFS(HY!$G$530:$AD$530,HY!$G$9:$AD$9,FY!L$2)</f>
        <v>0</v>
      </c>
      <c r="M35" s="17">
        <f>SUMIFS(HY!$G$530:$AD$530,HY!$G$9:$AD$9,FY!M$2)</f>
        <v>0</v>
      </c>
      <c r="N35" s="17">
        <f>SUMIFS(HY!$G$530:$AD$530,HY!$G$9:$AD$9,FY!N$2)</f>
        <v>0</v>
      </c>
      <c r="O35" s="17">
        <f>SUMIFS(HY!$G$530:$AD$530,HY!$G$9:$AD$9,FY!O$2)</f>
        <v>0</v>
      </c>
      <c r="P35" s="17">
        <f>SUMIFS(HY!$G$530:$AD$530,HY!$G$9:$AD$9,FY!P$2)</f>
        <v>0</v>
      </c>
      <c r="Q35" s="17">
        <f>SUMIFS(HY!$G$530:$AD$530,HY!$G$9:$AD$9,FY!Q$2)</f>
        <v>0</v>
      </c>
      <c r="R35" s="17">
        <f>SUMIFS(HY!$G$530:$AD$530,HY!$G$9:$AD$9,FY!R$2)</f>
        <v>0</v>
      </c>
      <c r="S35" s="17">
        <f>SUMIFS(HY!$G$530:$AD$530,HY!$G$9:$AD$9,FY!S$2)</f>
        <v>0</v>
      </c>
      <c r="T35" s="551"/>
    </row>
    <row r="36" spans="1:20">
      <c r="B36" s="9" t="s">
        <v>110</v>
      </c>
      <c r="C36" s="17"/>
      <c r="D36" s="17">
        <f>SUMIFS(HY!$G$531:$AN$531,HY!$G$9:$AN$9,FY!D$2)</f>
        <v>0</v>
      </c>
      <c r="E36" s="17">
        <f>SUMIFS(HY!$G$531:$AN$531,HY!$G$9:$AN$9,FY!E$2)</f>
        <v>0</v>
      </c>
      <c r="F36" s="17">
        <f>SUMIFS(HY!$G$531:$AN$531,HY!$G$9:$AN$9,FY!F$2)</f>
        <v>0</v>
      </c>
      <c r="G36" s="17">
        <f>SUMIFS(HY!$G$531:$AN$531,HY!$G$9:$AN$9,FY!G$2)</f>
        <v>0</v>
      </c>
      <c r="H36" s="17">
        <f>SUMIFS(HY!$G$531:$AN$531,HY!$G$9:$AN$9,FY!H$2)</f>
        <v>0</v>
      </c>
      <c r="I36" s="17">
        <f>SUMIFS(HY!$G$531:$AN$531,HY!$G$9:$AN$9,FY!I$2)</f>
        <v>0</v>
      </c>
      <c r="J36" s="17">
        <f>SUMIFS(HY!$G$531:$AN$531,HY!$G$9:$AN$9,FY!J$2)</f>
        <v>0</v>
      </c>
      <c r="K36" s="17">
        <f>SUMIFS(HY!$G$531:$AN$531,HY!$G$9:$AN$9,FY!K$2)</f>
        <v>0</v>
      </c>
      <c r="L36" s="17">
        <f>SUMIFS(HY!$G$531:$AN$531,HY!$G$9:$AN$9,FY!L$2)</f>
        <v>0</v>
      </c>
      <c r="M36" s="17">
        <f>SUMIFS(HY!$G$531:$AN$531,HY!$G$9:$AN$9,FY!M$2)</f>
        <v>0</v>
      </c>
      <c r="N36" s="17">
        <f>SUMIFS(HY!$G$531:$AN$531,HY!$G$9:$AN$9,FY!N$2)</f>
        <v>0</v>
      </c>
      <c r="O36" s="17">
        <f>SUMIFS(HY!$G$531:$AN$531,HY!$G$9:$AN$9,FY!O$2)</f>
        <v>0</v>
      </c>
      <c r="P36" s="17">
        <f>SUMIFS(HY!$G$531:$AN$531,HY!$G$9:$AN$9,FY!P$2)</f>
        <v>0</v>
      </c>
      <c r="Q36" s="17">
        <f>SUMIFS(HY!$G$531:$AN$531,HY!$G$9:$AN$9,FY!Q$2)</f>
        <v>0</v>
      </c>
      <c r="R36" s="17">
        <f>SUMIFS(HY!$G$531:$AN$531,HY!$G$9:$AN$9,FY!R$2)</f>
        <v>0</v>
      </c>
      <c r="S36" s="17">
        <f>SUMIFS(HY!$G$531:$AN$531,HY!$G$9:$AN$9,FY!S$2)</f>
        <v>0</v>
      </c>
      <c r="T36" s="551"/>
    </row>
    <row r="37" spans="1:20">
      <c r="B37" s="19" t="s">
        <v>176</v>
      </c>
      <c r="C37" s="20"/>
      <c r="D37" s="20" t="s">
        <v>176</v>
      </c>
      <c r="E37" s="20" t="s">
        <v>176</v>
      </c>
      <c r="F37" s="20" t="s">
        <v>176</v>
      </c>
      <c r="G37" s="20" t="s">
        <v>176</v>
      </c>
      <c r="H37" s="20" t="s">
        <v>176</v>
      </c>
      <c r="I37" s="20" t="s">
        <v>176</v>
      </c>
      <c r="J37" s="20" t="s">
        <v>176</v>
      </c>
      <c r="K37" s="20" t="s">
        <v>176</v>
      </c>
      <c r="L37" s="20" t="s">
        <v>176</v>
      </c>
      <c r="M37" s="20" t="s">
        <v>176</v>
      </c>
      <c r="N37" s="20" t="s">
        <v>176</v>
      </c>
      <c r="O37" s="20" t="s">
        <v>176</v>
      </c>
      <c r="P37" s="20" t="s">
        <v>176</v>
      </c>
      <c r="Q37" s="20" t="s">
        <v>176</v>
      </c>
      <c r="R37" s="20" t="s">
        <v>176</v>
      </c>
      <c r="S37" s="20" t="s">
        <v>176</v>
      </c>
      <c r="T37" s="554"/>
    </row>
    <row r="38" spans="1:20">
      <c r="B38" s="9" t="s">
        <v>155</v>
      </c>
      <c r="C38" s="17"/>
      <c r="D38" s="17">
        <f>SUMIFS(HY!$G$343:$AN$343,HY!$G$9:$AN$9,FY!D$2)</f>
        <v>231.99999999999997</v>
      </c>
      <c r="E38" s="17">
        <f>SUMIFS(HY!$G$343:$AN$343,HY!$G$9:$AN$9,FY!E$2)</f>
        <v>85.499999999999972</v>
      </c>
      <c r="F38" s="17">
        <f>SUMIFS(HY!$G$343:$AN$343,HY!$G$9:$AN$9,FY!F$2)</f>
        <v>127.70000000000005</v>
      </c>
      <c r="G38" s="17">
        <f>SUMIFS(HY!$G$343:$AN$343,HY!$G$9:$AN$9,FY!G$2)</f>
        <v>8.2000000000000064</v>
      </c>
      <c r="H38" s="17">
        <f>SUMIFS(HY!$G$343:$AN$343,HY!$G$9:$AN$9,FY!H$2)</f>
        <v>183.00200000000001</v>
      </c>
      <c r="I38" s="17">
        <f>SUMIFS(HY!$G$343:$AN$343,HY!$G$9:$AN$9,FY!I$2)</f>
        <v>169.779</v>
      </c>
      <c r="J38" s="17">
        <f>SUMIFS(HY!$G$343:$AN$343,HY!$G$9:$AN$9,FY!J$2)</f>
        <v>113.08699999999997</v>
      </c>
      <c r="K38" s="17">
        <f>SUMIFS(HY!$G$343:$AN$343,HY!$G$9:$AN$9,FY!K$2)</f>
        <v>51.542999999999992</v>
      </c>
      <c r="L38" s="17">
        <f>SUMIFS(HY!$G$343:$AN$343,HY!$G$9:$AN$9,FY!L$2)</f>
        <v>43.500461217053328</v>
      </c>
      <c r="M38" s="17">
        <f>SUMIFS(HY!$G$343:$AN$343,HY!$G$9:$AN$9,FY!M$2)</f>
        <v>78.234872965771274</v>
      </c>
      <c r="N38" s="17">
        <f>SUMIFS(HY!$G$343:$AN$343,HY!$G$9:$AN$9,FY!N$2)</f>
        <v>106.53907935123317</v>
      </c>
      <c r="O38" s="17">
        <f>SUMIFS(HY!$G$343:$AN$343,HY!$G$9:$AN$9,FY!O$2)</f>
        <v>120.0442391528189</v>
      </c>
      <c r="P38" s="17">
        <f>SUMIFS(HY!$G$343:$AN$343,HY!$G$9:$AN$9,FY!P$2)</f>
        <v>133.54768209780158</v>
      </c>
      <c r="Q38" s="17">
        <f>SUMIFS(HY!$G$343:$AN$343,HY!$G$9:$AN$9,FY!Q$2)</f>
        <v>145.64988630666221</v>
      </c>
      <c r="R38" s="17">
        <f>SUMIFS(HY!$G$343:$AN$343,HY!$G$9:$AN$9,FY!R$2)</f>
        <v>158.22973203689932</v>
      </c>
      <c r="S38" s="17">
        <f>SUMIFS(HY!$G$343:$AN$343,HY!$G$9:$AN$9,FY!S$2)</f>
        <v>165.68258751862385</v>
      </c>
      <c r="T38" s="551"/>
    </row>
    <row r="39" spans="1:20">
      <c r="B39" s="9" t="s">
        <v>281</v>
      </c>
      <c r="C39" s="17"/>
      <c r="D39" s="17">
        <f>SUMIFS(HY!$G$344:$AN$344,HY!$G$9:$AN$9,FY!D$2)</f>
        <v>-67.399999999999977</v>
      </c>
      <c r="E39" s="17">
        <f>SUMIFS(HY!$G$344:$AN$344,HY!$G$9:$AN$9,FY!E$2)</f>
        <v>-19.199999999999974</v>
      </c>
      <c r="F39" s="17">
        <f>SUMIFS(HY!$G$344:$AN$344,HY!$G$9:$AN$9,FY!F$2)</f>
        <v>-37.700000000000045</v>
      </c>
      <c r="G39" s="17">
        <f>SUMIFS(HY!$G$344:$AN$344,HY!$G$9:$AN$9,FY!G$2)</f>
        <v>1.4999999999999929</v>
      </c>
      <c r="H39" s="17">
        <f>SUMIFS(HY!$G$344:$AN$344,HY!$G$9:$AN$9,FY!H$2)</f>
        <v>-50.302000000000007</v>
      </c>
      <c r="I39" s="17">
        <f>SUMIFS(HY!$G$344:$AN$344,HY!$G$9:$AN$9,FY!I$2)</f>
        <v>-46.579000000000008</v>
      </c>
      <c r="J39" s="17">
        <f>SUMIFS(HY!$G$344:$AN$344,HY!$G$9:$AN$9,FY!J$2)</f>
        <v>-41.586999999999975</v>
      </c>
      <c r="K39" s="17">
        <f>SUMIFS(HY!$G$344:$AN$344,HY!$G$9:$AN$9,FY!K$2)</f>
        <v>-13.54299999999999</v>
      </c>
      <c r="L39" s="17">
        <f>SUMIFS(HY!$G$344:$AN$344,HY!$G$9:$AN$9,FY!L$2)</f>
        <v>-13.050138365115998</v>
      </c>
      <c r="M39" s="17">
        <f>SUMIFS(HY!$G$344:$AN$344,HY!$G$9:$AN$9,FY!M$2)</f>
        <v>-23.470461889731382</v>
      </c>
      <c r="N39" s="17">
        <f>SUMIFS(HY!$G$344:$AN$344,HY!$G$9:$AN$9,FY!N$2)</f>
        <v>-31.96172380536995</v>
      </c>
      <c r="O39" s="17">
        <f>SUMIFS(HY!$G$344:$AN$344,HY!$G$9:$AN$9,FY!O$2)</f>
        <v>-36.013271745845671</v>
      </c>
      <c r="P39" s="17">
        <f>SUMIFS(HY!$G$344:$AN$344,HY!$G$9:$AN$9,FY!P$2)</f>
        <v>-40.064304629340469</v>
      </c>
      <c r="Q39" s="17">
        <f>SUMIFS(HY!$G$344:$AN$344,HY!$G$9:$AN$9,FY!Q$2)</f>
        <v>-43.694965891998663</v>
      </c>
      <c r="R39" s="17">
        <f>SUMIFS(HY!$G$344:$AN$344,HY!$G$9:$AN$9,FY!R$2)</f>
        <v>-47.468919611069794</v>
      </c>
      <c r="S39" s="17">
        <f>SUMIFS(HY!$G$344:$AN$344,HY!$G$9:$AN$9,FY!S$2)</f>
        <v>-49.704776255587149</v>
      </c>
      <c r="T39" s="551"/>
    </row>
    <row r="40" spans="1:20">
      <c r="B40" s="9" t="s">
        <v>1163</v>
      </c>
      <c r="C40" s="18"/>
      <c r="D40" s="18">
        <f t="shared" ref="D40:E40" si="12">D39/-D38</f>
        <v>0.29051724137931029</v>
      </c>
      <c r="E40" s="18">
        <f t="shared" si="12"/>
        <v>0.22456140350877171</v>
      </c>
      <c r="F40" s="18">
        <f t="shared" ref="F40:O40" si="13">F39/-F38</f>
        <v>0.29522317932654685</v>
      </c>
      <c r="G40" s="18">
        <f t="shared" si="13"/>
        <v>-0.18292682926829168</v>
      </c>
      <c r="H40" s="18">
        <f t="shared" si="13"/>
        <v>0.27487131288182642</v>
      </c>
      <c r="I40" s="18">
        <f t="shared" si="13"/>
        <v>0.27435077365280752</v>
      </c>
      <c r="J40" s="18">
        <f t="shared" si="13"/>
        <v>0.36774341878376809</v>
      </c>
      <c r="K40" s="18">
        <f t="shared" si="13"/>
        <v>0.26275148904797924</v>
      </c>
      <c r="L40" s="18">
        <f t="shared" si="13"/>
        <v>0.3</v>
      </c>
      <c r="M40" s="18">
        <f t="shared" si="13"/>
        <v>0.3</v>
      </c>
      <c r="N40" s="18">
        <f t="shared" si="13"/>
        <v>0.3</v>
      </c>
      <c r="O40" s="18">
        <f t="shared" si="13"/>
        <v>0.3</v>
      </c>
      <c r="P40" s="18">
        <f t="shared" ref="P40:S40" si="14">P39/-P38</f>
        <v>0.29999999999999993</v>
      </c>
      <c r="Q40" s="18">
        <f t="shared" si="14"/>
        <v>0.3</v>
      </c>
      <c r="R40" s="18">
        <f t="shared" si="14"/>
        <v>0.3</v>
      </c>
      <c r="S40" s="18">
        <f t="shared" si="14"/>
        <v>0.3</v>
      </c>
      <c r="T40" s="553"/>
    </row>
    <row r="41" spans="1:20" s="13" customFormat="1">
      <c r="A41" s="610"/>
      <c r="B41" s="13" t="s">
        <v>283</v>
      </c>
      <c r="C41" s="24"/>
      <c r="D41" s="24">
        <f>SUMIFS(HY!$G$348:$AN$348,HY!$G$9:$AN$9,FY!D$2)</f>
        <v>164.6</v>
      </c>
      <c r="E41" s="24">
        <f>SUMIFS(HY!$G$348:$AN$348,HY!$G$9:$AN$9,FY!E$2)</f>
        <v>66.3</v>
      </c>
      <c r="F41" s="24">
        <f>SUMIFS(HY!$G$348:$AN$348,HY!$G$9:$AN$9,FY!F$2)</f>
        <v>90</v>
      </c>
      <c r="G41" s="24">
        <f>SUMIFS(HY!$G$348:$AN$348,HY!$G$9:$AN$9,FY!G$2)</f>
        <v>9.6999999999999993</v>
      </c>
      <c r="H41" s="24">
        <f>SUMIFS(HY!$G$348:$AN$348,HY!$G$9:$AN$9,FY!H$2)</f>
        <v>132.69999999999999</v>
      </c>
      <c r="I41" s="24">
        <f>SUMIFS(HY!$G$348:$AN$348,HY!$G$9:$AN$9,FY!I$2)</f>
        <v>123.2</v>
      </c>
      <c r="J41" s="24">
        <f>SUMIFS(HY!$G$348:$AN$348,HY!$G$9:$AN$9,FY!J$2)</f>
        <v>71.5</v>
      </c>
      <c r="K41" s="24">
        <f>SUMIFS(HY!$G$348:$AN$348,HY!$G$9:$AN$9,FY!K$2)</f>
        <v>38</v>
      </c>
      <c r="L41" s="24">
        <f>SUMIFS(HY!$G$348:$AN$348,HY!$G$9:$AN$9,FY!L$2)</f>
        <v>30.450322851937333</v>
      </c>
      <c r="M41" s="24">
        <f>SUMIFS(HY!$G$348:$AN$348,HY!$G$9:$AN$9,FY!M$2)</f>
        <v>54.764411076039899</v>
      </c>
      <c r="N41" s="24">
        <f>SUMIFS(HY!$G$348:$AN$348,HY!$G$9:$AN$9,FY!N$2)</f>
        <v>74.577355545863213</v>
      </c>
      <c r="O41" s="24">
        <f>SUMIFS(HY!$G$348:$AN$348,HY!$G$9:$AN$9,FY!O$2)</f>
        <v>84.030967406973247</v>
      </c>
      <c r="P41" s="24">
        <f>SUMIFS(HY!$G$348:$AN$348,HY!$G$9:$AN$9,FY!P$2)</f>
        <v>93.4833774684611</v>
      </c>
      <c r="Q41" s="24">
        <f>SUMIFS(HY!$G$348:$AN$348,HY!$G$9:$AN$9,FY!Q$2)</f>
        <v>101.95492041466355</v>
      </c>
      <c r="R41" s="24">
        <f>SUMIFS(HY!$G$348:$AN$348,HY!$G$9:$AN$9,FY!R$2)</f>
        <v>110.76081242582953</v>
      </c>
      <c r="S41" s="24">
        <f>SUMIFS(HY!$G$348:$AN$348,HY!$G$9:$AN$9,FY!S$2)</f>
        <v>115.97781126303668</v>
      </c>
      <c r="T41" s="552"/>
    </row>
    <row r="42" spans="1:20">
      <c r="B42" s="9" t="s">
        <v>1164</v>
      </c>
      <c r="C42" s="28"/>
      <c r="D42" s="28"/>
      <c r="E42" s="28">
        <f t="shared" ref="E42:O42" si="15">E41/D41-1</f>
        <v>-0.5972053462940462</v>
      </c>
      <c r="F42" s="28">
        <f t="shared" si="15"/>
        <v>0.35746606334841635</v>
      </c>
      <c r="G42" s="28">
        <f t="shared" si="15"/>
        <v>-0.89222222222222225</v>
      </c>
      <c r="H42" s="28">
        <f t="shared" si="15"/>
        <v>12.68041237113402</v>
      </c>
      <c r="I42" s="28">
        <f t="shared" si="15"/>
        <v>-7.159005275056507E-2</v>
      </c>
      <c r="J42" s="28">
        <f t="shared" si="15"/>
        <v>-0.41964285714285721</v>
      </c>
      <c r="K42" s="28">
        <f t="shared" si="15"/>
        <v>-0.46853146853146854</v>
      </c>
      <c r="L42" s="28">
        <f t="shared" si="15"/>
        <v>-0.19867571442270171</v>
      </c>
      <c r="M42" s="28">
        <f t="shared" si="15"/>
        <v>0.79848375803199856</v>
      </c>
      <c r="N42" s="28">
        <f t="shared" si="15"/>
        <v>0.36178503667853223</v>
      </c>
      <c r="O42" s="28">
        <f t="shared" si="15"/>
        <v>0.1267624977034254</v>
      </c>
      <c r="P42" s="28">
        <f t="shared" ref="P42" si="16">P41/O41-1</f>
        <v>0.11248722171325909</v>
      </c>
      <c r="Q42" s="28">
        <f t="shared" ref="Q42" si="17">Q41/P41-1</f>
        <v>9.062084806532078E-2</v>
      </c>
      <c r="R42" s="28">
        <f t="shared" ref="R42" si="18">R41/Q41-1</f>
        <v>8.6370446618479146E-2</v>
      </c>
      <c r="S42" s="28">
        <f t="shared" ref="S42" si="19">S41/R41-1</f>
        <v>4.7101485831920087E-2</v>
      </c>
      <c r="T42" s="549"/>
    </row>
    <row r="43" spans="1:20">
      <c r="C43" s="28"/>
      <c r="D43" s="28"/>
      <c r="E43" s="28"/>
      <c r="F43" s="28"/>
      <c r="G43" s="28"/>
      <c r="H43" s="58"/>
      <c r="I43" s="28"/>
      <c r="J43" s="28"/>
      <c r="K43" s="28"/>
      <c r="L43" s="28"/>
      <c r="M43" s="28"/>
      <c r="N43" s="28"/>
      <c r="O43" s="28"/>
      <c r="P43" s="28"/>
      <c r="Q43" s="28"/>
      <c r="R43" s="28"/>
      <c r="S43" s="28"/>
      <c r="T43" s="549"/>
    </row>
    <row r="44" spans="1:20">
      <c r="A44" s="608" t="s">
        <v>7</v>
      </c>
      <c r="B44" s="517" t="s">
        <v>272</v>
      </c>
      <c r="C44" s="518"/>
      <c r="D44" s="518" t="s">
        <v>1153</v>
      </c>
      <c r="E44" s="518" t="s">
        <v>1154</v>
      </c>
      <c r="F44" s="519">
        <v>2021</v>
      </c>
      <c r="G44" s="519">
        <v>2022</v>
      </c>
      <c r="H44" s="519">
        <v>2023</v>
      </c>
      <c r="I44" s="518">
        <v>2024</v>
      </c>
      <c r="J44" s="518">
        <v>2025</v>
      </c>
      <c r="K44" s="518">
        <v>2026</v>
      </c>
      <c r="L44" s="518">
        <v>2027</v>
      </c>
      <c r="M44" s="518">
        <v>2028</v>
      </c>
      <c r="N44" s="518">
        <v>2029</v>
      </c>
      <c r="O44" s="518">
        <v>2030</v>
      </c>
      <c r="P44" s="518">
        <v>2030</v>
      </c>
      <c r="Q44" s="518">
        <v>2030</v>
      </c>
      <c r="R44" s="518">
        <v>2030</v>
      </c>
      <c r="S44" s="518">
        <v>2030</v>
      </c>
      <c r="T44" s="550"/>
    </row>
    <row r="45" spans="1:20">
      <c r="B45" s="9" t="s">
        <v>601</v>
      </c>
      <c r="C45" s="17"/>
      <c r="D45" s="17">
        <f>SUMIFS(HY!$G$516:$AN$516,HY!$G$9:$AN$9,FY!D$2)</f>
        <v>937.78671906368481</v>
      </c>
      <c r="E45" s="17">
        <f>SUMIFS(HY!$G$516:$AN$516,HY!$G$9:$AN$9,FY!E$2)</f>
        <v>705.23393575756063</v>
      </c>
      <c r="F45" s="17">
        <f>SUMIFS(HY!$G$516:$AN$516,HY!$G$9:$AN$9,FY!F$2)</f>
        <v>731.63648084814668</v>
      </c>
      <c r="G45" s="17">
        <f>SUMIFS(HY!$G$516:$AN$516,HY!$G$9:$AN$9,FY!G$2)</f>
        <v>575.4200442999371</v>
      </c>
      <c r="H45" s="17">
        <f>SUMIFS(HY!$G$516:$AN$516,HY!$G$9:$AN$9,FY!H$2)</f>
        <v>862.6</v>
      </c>
      <c r="I45" s="17">
        <f>SUMIFS(HY!$G$516:$AN$516,HY!$G$9:$AN$9,FY!I$2)</f>
        <v>870.5</v>
      </c>
      <c r="J45" s="17">
        <f>SUMIFS(HY!$G$516:$AN$516,HY!$G$9:$AN$9,FY!J$2)</f>
        <v>825.2</v>
      </c>
      <c r="K45" s="17">
        <f>SUMIFS(HY!$G$516:$AN$516,HY!$G$9:$AN$9,FY!K$2)</f>
        <v>822.7</v>
      </c>
      <c r="L45" s="17">
        <f>SUMIFS(HY!$G$516:$AN$516,HY!$G$9:$AN$9,FY!L$2)</f>
        <v>840.93399999999997</v>
      </c>
      <c r="M45" s="17">
        <f>SUMIFS(HY!$G$516:$AN$516,HY!$G$9:$AN$9,FY!M$2)</f>
        <v>859.61222999999995</v>
      </c>
      <c r="N45" s="17">
        <f>SUMIFS(HY!$G$516:$AN$516,HY!$G$9:$AN$9,FY!N$2)</f>
        <v>899.31188750000001</v>
      </c>
      <c r="O45" s="17">
        <f>SUMIFS(HY!$G$516:$AN$516,HY!$G$9:$AN$9,FY!O$2)</f>
        <v>935.82404444699989</v>
      </c>
      <c r="P45" s="17">
        <f>SUMIFS(HY!$G$516:$AN$516,HY!$G$9:$AN$9,FY!P$2)</f>
        <v>973.90198434563001</v>
      </c>
      <c r="Q45" s="17">
        <f>SUMIFS(HY!$G$516:$AN$516,HY!$G$9:$AN$9,FY!Q$2)</f>
        <v>1013.4024088764711</v>
      </c>
      <c r="R45" s="17">
        <f>SUMIFS(HY!$G$516:$AN$516,HY!$G$9:$AN$9,FY!R$2)</f>
        <v>1055.1144007168261</v>
      </c>
      <c r="S45" s="17">
        <f>SUMIFS(HY!$G$516:$AN$516,HY!$G$9:$AN$9,FY!S$2)</f>
        <v>1092.3405089260359</v>
      </c>
      <c r="T45" s="551"/>
    </row>
    <row r="46" spans="1:20">
      <c r="B46" s="9" t="s">
        <v>274</v>
      </c>
      <c r="C46" s="17"/>
      <c r="D46" s="17">
        <f>SUMIFS(HY!$G$517:$AN$517,HY!$G$9:$AN$9,FY!D$2)</f>
        <v>0</v>
      </c>
      <c r="E46" s="17">
        <f>SUMIFS(HY!$G$517:$AN$517,HY!$G$9:$AN$9,FY!E$2)</f>
        <v>0</v>
      </c>
      <c r="F46" s="17">
        <f>SUMIFS(HY!$G$517:$AN$517,HY!$G$9:$AN$9,FY!F$2)</f>
        <v>0</v>
      </c>
      <c r="G46" s="17">
        <f>SUMIFS(HY!$G$517:$AN$517,HY!$G$9:$AN$9,FY!G$2)</f>
        <v>0</v>
      </c>
      <c r="H46" s="17">
        <f>SUMIFS(HY!$G$517:$AN$517,HY!$G$9:$AN$9,FY!H$2)</f>
        <v>0</v>
      </c>
      <c r="I46" s="17">
        <f>SUMIFS(HY!$G$517:$AN$517,HY!$G$9:$AN$9,FY!I$2)</f>
        <v>0</v>
      </c>
      <c r="J46" s="17">
        <f>SUMIFS(HY!$G$517:$AN$517,HY!$G$9:$AN$9,FY!J$2)</f>
        <v>0</v>
      </c>
      <c r="K46" s="17">
        <f>SUMIFS(HY!$G$517:$AN$517,HY!$G$9:$AN$9,FY!K$2)</f>
        <v>0</v>
      </c>
      <c r="L46" s="17">
        <f>SUMIFS(HY!$G$517:$AN$517,HY!$G$9:$AN$9,FY!L$2)</f>
        <v>0</v>
      </c>
      <c r="M46" s="17">
        <f>SUMIFS(HY!$G$517:$AN$517,HY!$G$9:$AN$9,FY!M$2)</f>
        <v>0</v>
      </c>
      <c r="N46" s="17">
        <f>SUMIFS(HY!$G$517:$AN$517,HY!$G$9:$AN$9,FY!N$2)</f>
        <v>0</v>
      </c>
      <c r="O46" s="17">
        <f>SUMIFS(HY!$G$517:$AN$517,HY!$G$9:$AN$9,FY!O$2)</f>
        <v>0</v>
      </c>
      <c r="P46" s="17">
        <f>SUMIFS(HY!$G$517:$AN$517,HY!$G$9:$AN$9,FY!P$2)</f>
        <v>0</v>
      </c>
      <c r="Q46" s="17">
        <f>SUMIFS(HY!$G$517:$AN$517,HY!$G$9:$AN$9,FY!Q$2)</f>
        <v>0</v>
      </c>
      <c r="R46" s="17">
        <f>SUMIFS(HY!$G$517:$AN$517,HY!$G$9:$AN$9,FY!R$2)</f>
        <v>0</v>
      </c>
      <c r="S46" s="17">
        <f>SUMIFS(HY!$G$517:$AN$517,HY!$G$9:$AN$9,FY!S$2)</f>
        <v>0</v>
      </c>
      <c r="T46" s="551"/>
    </row>
    <row r="47" spans="1:20">
      <c r="B47" s="19" t="s">
        <v>176</v>
      </c>
      <c r="C47" s="20"/>
      <c r="D47" s="20" t="s">
        <v>176</v>
      </c>
      <c r="E47" s="20" t="s">
        <v>176</v>
      </c>
      <c r="F47" s="20" t="s">
        <v>176</v>
      </c>
      <c r="G47" s="20" t="s">
        <v>176</v>
      </c>
      <c r="H47" s="20" t="s">
        <v>176</v>
      </c>
      <c r="I47" s="20" t="s">
        <v>176</v>
      </c>
      <c r="J47" s="20" t="s">
        <v>176</v>
      </c>
      <c r="K47" s="20" t="s">
        <v>176</v>
      </c>
      <c r="L47" s="20" t="s">
        <v>176</v>
      </c>
      <c r="M47" s="20" t="s">
        <v>176</v>
      </c>
      <c r="N47" s="20" t="s">
        <v>176</v>
      </c>
      <c r="O47" s="20" t="s">
        <v>176</v>
      </c>
      <c r="P47" s="20" t="s">
        <v>176</v>
      </c>
      <c r="Q47" s="20" t="s">
        <v>176</v>
      </c>
      <c r="R47" s="20" t="s">
        <v>176</v>
      </c>
      <c r="S47" s="20" t="s">
        <v>176</v>
      </c>
      <c r="T47" s="554"/>
    </row>
    <row r="48" spans="1:20" s="13" customFormat="1">
      <c r="A48" s="610"/>
      <c r="B48" s="13" t="s">
        <v>1160</v>
      </c>
      <c r="C48" s="24"/>
      <c r="D48" s="24">
        <f t="shared" ref="D48:O48" si="20">D46+D45</f>
        <v>937.78671906368481</v>
      </c>
      <c r="E48" s="24">
        <f t="shared" si="20"/>
        <v>705.23393575756063</v>
      </c>
      <c r="F48" s="24">
        <f t="shared" si="20"/>
        <v>731.63648084814668</v>
      </c>
      <c r="G48" s="24">
        <f t="shared" si="20"/>
        <v>575.4200442999371</v>
      </c>
      <c r="H48" s="24">
        <f t="shared" si="20"/>
        <v>862.6</v>
      </c>
      <c r="I48" s="24">
        <f t="shared" si="20"/>
        <v>870.5</v>
      </c>
      <c r="J48" s="24">
        <f t="shared" si="20"/>
        <v>825.2</v>
      </c>
      <c r="K48" s="24">
        <f t="shared" si="20"/>
        <v>822.7</v>
      </c>
      <c r="L48" s="24">
        <f t="shared" si="20"/>
        <v>840.93399999999997</v>
      </c>
      <c r="M48" s="24">
        <f t="shared" si="20"/>
        <v>859.61222999999995</v>
      </c>
      <c r="N48" s="24">
        <f t="shared" si="20"/>
        <v>899.31188750000001</v>
      </c>
      <c r="O48" s="24">
        <f t="shared" si="20"/>
        <v>935.82404444699989</v>
      </c>
      <c r="P48" s="24">
        <f t="shared" ref="P48:S48" si="21">P46+P45</f>
        <v>973.90198434563001</v>
      </c>
      <c r="Q48" s="24">
        <f t="shared" si="21"/>
        <v>1013.4024088764711</v>
      </c>
      <c r="R48" s="24">
        <f t="shared" si="21"/>
        <v>1055.1144007168261</v>
      </c>
      <c r="S48" s="24">
        <f t="shared" si="21"/>
        <v>1092.3405089260359</v>
      </c>
      <c r="T48" s="552"/>
    </row>
    <row r="49" spans="1:21">
      <c r="B49" s="9" t="s">
        <v>275</v>
      </c>
      <c r="C49" s="17"/>
      <c r="D49" s="17">
        <f>SUMIFS(HY!$G$518:$AN$518,HY!$G$9:$AN$9,FY!D$2)</f>
        <v>0</v>
      </c>
      <c r="E49" s="17">
        <f>SUMIFS(HY!$G$518:$AN$518,HY!$G$9:$AN$9,FY!E$2)</f>
        <v>0</v>
      </c>
      <c r="F49" s="17">
        <f>SUMIFS(HY!$G$518:$AN$518,HY!$G$9:$AN$9,FY!F$2)</f>
        <v>0</v>
      </c>
      <c r="G49" s="17">
        <f>SUMIFS(HY!$G$518:$AN$518,HY!$G$9:$AN$9,FY!G$2)</f>
        <v>0</v>
      </c>
      <c r="H49" s="17">
        <f>SUMIFS(HY!$G$518:$AN$518,HY!$G$9:$AN$9,FY!H$2)</f>
        <v>0</v>
      </c>
      <c r="I49" s="17">
        <f>SUMIFS(HY!$G$518:$AN$518,HY!$G$9:$AN$9,FY!I$2)</f>
        <v>0</v>
      </c>
      <c r="J49" s="17">
        <f>SUMIFS(HY!$G$518:$AN$518,HY!$G$9:$AN$9,FY!J$2)</f>
        <v>0</v>
      </c>
      <c r="K49" s="17">
        <f>SUMIFS(HY!$G$518:$AN$518,HY!$G$9:$AN$9,FY!K$2)</f>
        <v>0</v>
      </c>
      <c r="L49" s="17">
        <f>SUMIFS(HY!$G$518:$AN$518,HY!$G$9:$AN$9,FY!L$2)</f>
        <v>0</v>
      </c>
      <c r="M49" s="17">
        <f>SUMIFS(HY!$G$518:$AN$518,HY!$G$9:$AN$9,FY!M$2)</f>
        <v>0</v>
      </c>
      <c r="N49" s="17">
        <f>SUMIFS(HY!$G$518:$AN$518,HY!$G$9:$AN$9,FY!N$2)</f>
        <v>0</v>
      </c>
      <c r="O49" s="17">
        <f>SUMIFS(HY!$G$518:$AN$518,HY!$G$9:$AN$9,FY!O$2)</f>
        <v>0</v>
      </c>
      <c r="P49" s="17">
        <f>SUMIFS(HY!$G$518:$AN$518,HY!$G$9:$AN$9,FY!P$2)</f>
        <v>0</v>
      </c>
      <c r="Q49" s="17">
        <f>SUMIFS(HY!$G$518:$AN$518,HY!$G$9:$AN$9,FY!Q$2)</f>
        <v>0</v>
      </c>
      <c r="R49" s="17">
        <f>SUMIFS(HY!$G$518:$AN$518,HY!$G$9:$AN$9,FY!R$2)</f>
        <v>0</v>
      </c>
      <c r="S49" s="17">
        <f>SUMIFS(HY!$G$518:$AN$518,HY!$G$9:$AN$9,FY!S$2)</f>
        <v>0</v>
      </c>
      <c r="T49" s="551"/>
    </row>
    <row r="50" spans="1:21">
      <c r="B50" s="9" t="s">
        <v>1161</v>
      </c>
      <c r="C50" s="17"/>
      <c r="D50" s="17">
        <f>SUMIFS(HY!$G$521:$AN$521,HY!$G$9:$AN$9,FY!D$2)</f>
        <v>-615.58671906368477</v>
      </c>
      <c r="E50" s="17">
        <f>SUMIFS(HY!$G$521:$AN$521,HY!$G$9:$AN$9,FY!E$2)</f>
        <v>-504.53393575756058</v>
      </c>
      <c r="F50" s="17">
        <f>SUMIFS(HY!$G$521:$AN$521,HY!$G$9:$AN$9,FY!F$2)</f>
        <v>-483.03648084814671</v>
      </c>
      <c r="G50" s="17">
        <f>SUMIFS(HY!$G$521:$AN$521,HY!$G$9:$AN$9,FY!G$2)</f>
        <v>-437.52004429993713</v>
      </c>
      <c r="H50" s="17">
        <f>SUMIFS(HY!$G$521:$AN$521,HY!$G$9:$AN$9,FY!H$2)</f>
        <v>-560.79999999999995</v>
      </c>
      <c r="I50" s="17">
        <f>SUMIFS(HY!$G$521:$AN$521,HY!$G$9:$AN$9,FY!I$2)</f>
        <v>-592.70000000000005</v>
      </c>
      <c r="J50" s="17">
        <f>SUMIFS(HY!$G$521:$AN$521,HY!$G$9:$AN$9,FY!J$2)</f>
        <v>-591.5</v>
      </c>
      <c r="K50" s="17">
        <f>SUMIFS(HY!$G$521:$AN$521,HY!$G$9:$AN$9,FY!K$2)</f>
        <v>-641.10000000000014</v>
      </c>
      <c r="L50" s="17">
        <f>SUMIFS(HY!$G$521:$AN$521,HY!$G$9:$AN$9,FY!L$2)</f>
        <v>-657.74786480000012</v>
      </c>
      <c r="M50" s="17">
        <f>SUMIFS(HY!$G$521:$AN$521,HY!$G$9:$AN$9,FY!M$2)</f>
        <v>-654.78008365599999</v>
      </c>
      <c r="N50" s="17">
        <f>SUMIFS(HY!$G$521:$AN$521,HY!$G$9:$AN$9,FY!N$2)</f>
        <v>-669.96739094600002</v>
      </c>
      <c r="O50" s="17">
        <f>SUMIFS(HY!$G$521:$AN$521,HY!$G$9:$AN$9,FY!O$2)</f>
        <v>-697.12560822813839</v>
      </c>
      <c r="P50" s="17">
        <f>SUMIFS(HY!$G$521:$AN$521,HY!$G$9:$AN$9,FY!P$2)</f>
        <v>-725.35765941536329</v>
      </c>
      <c r="Q50" s="17">
        <f>SUMIFS(HY!$G$521:$AN$521,HY!$G$9:$AN$9,FY!Q$2)</f>
        <v>-754.5781909916368</v>
      </c>
      <c r="R50" s="17">
        <f>SUMIFS(HY!$G$521:$AN$521,HY!$G$9:$AN$9,FY!R$2)</f>
        <v>-785.26103718671357</v>
      </c>
      <c r="S50" s="17">
        <f>SUMIFS(HY!$G$521:$AN$521,HY!$G$9:$AN$9,FY!S$2)</f>
        <v>-816.24241550065256</v>
      </c>
      <c r="T50" s="551"/>
    </row>
    <row r="51" spans="1:21">
      <c r="B51" s="19" t="s">
        <v>176</v>
      </c>
      <c r="C51" s="21"/>
      <c r="D51" s="21" t="s">
        <v>176</v>
      </c>
      <c r="E51" s="21" t="s">
        <v>176</v>
      </c>
      <c r="F51" s="21" t="s">
        <v>176</v>
      </c>
      <c r="G51" s="21" t="s">
        <v>176</v>
      </c>
      <c r="H51" s="21" t="s">
        <v>176</v>
      </c>
      <c r="I51" s="21" t="s">
        <v>176</v>
      </c>
      <c r="J51" s="21" t="s">
        <v>176</v>
      </c>
      <c r="K51" s="21" t="s">
        <v>176</v>
      </c>
      <c r="L51" s="21" t="s">
        <v>176</v>
      </c>
      <c r="M51" s="21" t="s">
        <v>176</v>
      </c>
      <c r="N51" s="21" t="s">
        <v>176</v>
      </c>
      <c r="O51" s="21" t="s">
        <v>176</v>
      </c>
      <c r="P51" s="21" t="s">
        <v>176</v>
      </c>
      <c r="Q51" s="21" t="s">
        <v>176</v>
      </c>
      <c r="R51" s="21" t="s">
        <v>176</v>
      </c>
      <c r="S51" s="21" t="s">
        <v>176</v>
      </c>
      <c r="T51" s="555"/>
    </row>
    <row r="52" spans="1:21" s="13" customFormat="1">
      <c r="A52" s="610"/>
      <c r="B52" s="13" t="s">
        <v>26</v>
      </c>
      <c r="C52" s="24"/>
      <c r="D52" s="24">
        <f>SUMIFS(HY!$G$523:$AN$523,HY!$G$9:$AN$9,FY!D$2)</f>
        <v>322.2</v>
      </c>
      <c r="E52" s="24">
        <f>SUMIFS(HY!$G$523:$AN$523,HY!$G$9:$AN$9,FY!E$2)</f>
        <v>200.7</v>
      </c>
      <c r="F52" s="24">
        <f>SUMIFS(HY!$G$523:$AN$523,HY!$G$9:$AN$9,FY!F$2)</f>
        <v>248.60000000000002</v>
      </c>
      <c r="G52" s="24">
        <f>SUMIFS(HY!$G$523:$AN$523,HY!$G$9:$AN$9,FY!G$2)</f>
        <v>137.89999999999998</v>
      </c>
      <c r="H52" s="24">
        <f>SUMIFS(HY!$G$523:$AN$523,HY!$G$9:$AN$9,FY!H$2)</f>
        <v>301.8</v>
      </c>
      <c r="I52" s="24">
        <f>SUMIFS(HY!$G$523:$AN$523,HY!$G$9:$AN$9,FY!I$2)</f>
        <v>277.8</v>
      </c>
      <c r="J52" s="24">
        <f>SUMIFS(HY!$G$523:$AN$523,HY!$G$9:$AN$9,FY!J$2)</f>
        <v>233.7</v>
      </c>
      <c r="K52" s="24">
        <f>SUMIFS(HY!$G$523:$AN$523,HY!$G$9:$AN$9,FY!K$2)</f>
        <v>181.59999999999997</v>
      </c>
      <c r="L52" s="24">
        <f>SUMIFS(HY!$G$523:$AN$523,HY!$G$9:$AN$9,FY!L$2)</f>
        <v>183.18613519999997</v>
      </c>
      <c r="M52" s="24">
        <f>SUMIFS(HY!$G$523:$AN$523,HY!$G$9:$AN$9,FY!M$2)</f>
        <v>204.83214634399997</v>
      </c>
      <c r="N52" s="24">
        <f>SUMIFS(HY!$G$523:$AN$523,HY!$G$9:$AN$9,FY!N$2)</f>
        <v>229.3444965540001</v>
      </c>
      <c r="O52" s="24">
        <f>SUMIFS(HY!$G$523:$AN$523,HY!$G$9:$AN$9,FY!O$2)</f>
        <v>238.69843621886156</v>
      </c>
      <c r="P52" s="24">
        <f>SUMIFS(HY!$G$523:$AN$523,HY!$G$9:$AN$9,FY!P$2)</f>
        <v>248.54432493026678</v>
      </c>
      <c r="Q52" s="24">
        <f>SUMIFS(HY!$G$523:$AN$523,HY!$G$9:$AN$9,FY!Q$2)</f>
        <v>258.82421788483435</v>
      </c>
      <c r="R52" s="24">
        <f>SUMIFS(HY!$G$523:$AN$523,HY!$G$9:$AN$9,FY!R$2)</f>
        <v>269.85336353011263</v>
      </c>
      <c r="S52" s="24">
        <f>SUMIFS(HY!$G$523:$AN$523,HY!$G$9:$AN$9,FY!S$2)</f>
        <v>276.09809342538347</v>
      </c>
      <c r="T52" s="552"/>
    </row>
    <row r="53" spans="1:21">
      <c r="B53" s="9" t="s">
        <v>278</v>
      </c>
      <c r="C53" s="17"/>
      <c r="D53" s="17">
        <f>SUMIFS(HY!$G$524:$AN$524,HY!$G$9:$AN$9,FY!D$2)</f>
        <v>-67.187397577274567</v>
      </c>
      <c r="E53" s="17">
        <f>SUMIFS(HY!$G$524:$AN$524,HY!$G$9:$AN$9,FY!E$2)</f>
        <v>-68.613000000000014</v>
      </c>
      <c r="F53" s="17">
        <f>SUMIFS(HY!$G$524:$AN$524,HY!$G$9:$AN$9,FY!F$2)</f>
        <v>-74.994999999999962</v>
      </c>
      <c r="G53" s="17">
        <f>SUMIFS(HY!$G$524:$AN$524,HY!$G$9:$AN$9,FY!G$2)</f>
        <v>-81.498999999999995</v>
      </c>
      <c r="H53" s="17">
        <f>SUMIFS(HY!$G$524:$AN$524,HY!$G$9:$AN$9,FY!H$2)</f>
        <v>-77.343000000000004</v>
      </c>
      <c r="I53" s="17">
        <f>SUMIFS(HY!$G$524:$AN$524,HY!$G$9:$AN$9,FY!I$2)</f>
        <v>-80.266000000000005</v>
      </c>
      <c r="J53" s="17">
        <f>SUMIFS(HY!$G$524:$AN$524,HY!$G$9:$AN$9,FY!J$2)</f>
        <v>-82.918000000000006</v>
      </c>
      <c r="K53" s="17">
        <f>SUMIFS(HY!$G$524:$AN$524,HY!$G$9:$AN$9,FY!K$2)</f>
        <v>-90.655000000000001</v>
      </c>
      <c r="L53" s="17">
        <f>SUMIFS(HY!$G$524:$AN$524,HY!$G$9:$AN$9,FY!L$2)</f>
        <v>-98.756877777777788</v>
      </c>
      <c r="M53" s="17">
        <f>SUMIFS(HY!$G$524:$AN$524,HY!$G$9:$AN$9,FY!M$2)</f>
        <v>-90.603923007901244</v>
      </c>
      <c r="N53" s="17">
        <f>SUMIFS(HY!$G$524:$AN$524,HY!$G$9:$AN$9,FY!N$2)</f>
        <v>-89.232643005205489</v>
      </c>
      <c r="O53" s="17">
        <f>SUMIFS(HY!$G$524:$AN$524,HY!$G$9:$AN$9,FY!O$2)</f>
        <v>-88.148210500005575</v>
      </c>
      <c r="P53" s="17">
        <f>SUMIFS(HY!$G$524:$AN$524,HY!$G$9:$AN$9,FY!P$2)</f>
        <v>-87.32940957693242</v>
      </c>
      <c r="Q53" s="17">
        <f>SUMIFS(HY!$G$524:$AN$524,HY!$G$9:$AN$9,FY!Q$2)</f>
        <v>-86.765071486293181</v>
      </c>
      <c r="R53" s="17">
        <f>SUMIFS(HY!$G$524:$AN$524,HY!$G$9:$AN$9,FY!R$2)</f>
        <v>-86.447864917253909</v>
      </c>
      <c r="S53" s="17">
        <f>SUMIFS(HY!$G$524:$AN$524,HY!$G$9:$AN$9,FY!S$2)</f>
        <v>-86.364261073667578</v>
      </c>
      <c r="T53" s="551"/>
    </row>
    <row r="54" spans="1:21">
      <c r="B54" s="9" t="s">
        <v>279</v>
      </c>
      <c r="C54" s="17"/>
      <c r="D54" s="17">
        <f>SUMIFS(HY!$G$525:$AN$525,HY!$G$9:$AN$9,FY!D$2)</f>
        <v>-12.812602422725449</v>
      </c>
      <c r="E54" s="17">
        <f>SUMIFS(HY!$G$525:$AN$525,HY!$G$9:$AN$9,FY!E$2)</f>
        <v>-17.986999999999998</v>
      </c>
      <c r="F54" s="17">
        <f>SUMIFS(HY!$G$525:$AN$525,HY!$G$9:$AN$9,FY!F$2)</f>
        <v>-13.404999999999999</v>
      </c>
      <c r="G54" s="17">
        <f>SUMIFS(HY!$G$525:$AN$525,HY!$G$9:$AN$9,FY!G$2)</f>
        <v>-13.201000000000001</v>
      </c>
      <c r="H54" s="17">
        <f>SUMIFS(HY!$G$525:$AN$525,HY!$G$9:$AN$9,FY!H$2)</f>
        <v>-13.329000000000001</v>
      </c>
      <c r="I54" s="17">
        <f>SUMIFS(HY!$G$525:$AN$525,HY!$G$9:$AN$9,FY!I$2)</f>
        <v>-11.754999999999999</v>
      </c>
      <c r="J54" s="17">
        <f>SUMIFS(HY!$G$525:$AN$525,HY!$G$9:$AN$9,FY!J$2)</f>
        <v>-11.295000000000002</v>
      </c>
      <c r="K54" s="17">
        <f>SUMIFS(HY!$G$525:$AN$525,HY!$G$9:$AN$9,FY!K$2)</f>
        <v>-12.802</v>
      </c>
      <c r="L54" s="17">
        <f>SUMIFS(HY!$G$525:$AN$525,HY!$G$9:$AN$9,FY!L$2)</f>
        <v>-14.204682157017629</v>
      </c>
      <c r="M54" s="17">
        <f>SUMIFS(HY!$G$525:$AN$525,HY!$G$9:$AN$9,FY!M$2)</f>
        <v>-14.058163560326795</v>
      </c>
      <c r="N54" s="17">
        <f>SUMIFS(HY!$G$525:$AN$525,HY!$G$9:$AN$9,FY!N$2)</f>
        <v>-13.921852945648954</v>
      </c>
      <c r="O54" s="17">
        <f>SUMIFS(HY!$G$525:$AN$525,HY!$G$9:$AN$9,FY!O$2)</f>
        <v>-13.798592796823112</v>
      </c>
      <c r="P54" s="17">
        <f>SUMIFS(HY!$G$525:$AN$525,HY!$G$9:$AN$9,FY!P$2)</f>
        <v>-13.68792615848948</v>
      </c>
      <c r="Q54" s="17">
        <f>SUMIFS(HY!$G$525:$AN$525,HY!$G$9:$AN$9,FY!Q$2)</f>
        <v>-13.589836536429265</v>
      </c>
      <c r="R54" s="17">
        <f>SUMIFS(HY!$G$525:$AN$525,HY!$G$9:$AN$9,FY!R$2)</f>
        <v>-13.504456822791802</v>
      </c>
      <c r="S54" s="17">
        <f>SUMIFS(HY!$G$525:$AN$525,HY!$G$9:$AN$9,FY!S$2)</f>
        <v>-13.431597425827881</v>
      </c>
      <c r="T54" s="551"/>
    </row>
    <row r="55" spans="1:21">
      <c r="B55" s="19" t="s">
        <v>176</v>
      </c>
      <c r="C55" s="20"/>
      <c r="D55" s="20" t="s">
        <v>176</v>
      </c>
      <c r="E55" s="20" t="s">
        <v>176</v>
      </c>
      <c r="F55" s="20" t="s">
        <v>176</v>
      </c>
      <c r="G55" s="20" t="s">
        <v>176</v>
      </c>
      <c r="H55" s="20" t="s">
        <v>176</v>
      </c>
      <c r="I55" s="20" t="s">
        <v>176</v>
      </c>
      <c r="J55" s="20" t="s">
        <v>176</v>
      </c>
      <c r="K55" s="20" t="s">
        <v>176</v>
      </c>
      <c r="L55" s="20" t="s">
        <v>176</v>
      </c>
      <c r="M55" s="20" t="s">
        <v>176</v>
      </c>
      <c r="N55" s="20" t="s">
        <v>176</v>
      </c>
      <c r="O55" s="20" t="s">
        <v>176</v>
      </c>
      <c r="P55" s="20" t="s">
        <v>176</v>
      </c>
      <c r="Q55" s="20" t="s">
        <v>176</v>
      </c>
      <c r="R55" s="20" t="s">
        <v>176</v>
      </c>
      <c r="S55" s="20" t="s">
        <v>176</v>
      </c>
      <c r="T55" s="554"/>
    </row>
    <row r="56" spans="1:21" s="13" customFormat="1">
      <c r="A56" s="610"/>
      <c r="B56" s="13" t="s">
        <v>128</v>
      </c>
      <c r="C56" s="24"/>
      <c r="D56" s="24">
        <f>SUMIFS(HY!$G$527:$AN$527,HY!$G$9:$AN$9,FY!D$2)</f>
        <v>242.2</v>
      </c>
      <c r="E56" s="24">
        <f>SUMIFS(HY!$G$527:$AN$527,HY!$G$9:$AN$9,FY!E$2)</f>
        <v>114.09999999999998</v>
      </c>
      <c r="F56" s="24">
        <f>SUMIFS(HY!$G$527:$AN$527,HY!$G$9:$AN$9,FY!F$2)</f>
        <v>160.20000000000007</v>
      </c>
      <c r="G56" s="24">
        <f>SUMIFS(HY!$G$527:$AN$527,HY!$G$9:$AN$9,FY!G$2)</f>
        <v>43.199999999999989</v>
      </c>
      <c r="H56" s="24">
        <f>SUMIFS(HY!$G$527:$AN$527,HY!$G$9:$AN$9,FY!H$2)</f>
        <v>211.12799999999999</v>
      </c>
      <c r="I56" s="24">
        <f>SUMIFS(HY!$G$527:$AN$527,HY!$G$9:$AN$9,FY!I$2)</f>
        <v>185.779</v>
      </c>
      <c r="J56" s="24">
        <f>SUMIFS(HY!$G$527:$AN$527,HY!$G$9:$AN$9,FY!J$2)</f>
        <v>139.48699999999997</v>
      </c>
      <c r="K56" s="24">
        <f>SUMIFS(HY!$G$527:$AN$527,HY!$G$9:$AN$9,FY!K$2)</f>
        <v>78.142999999999972</v>
      </c>
      <c r="L56" s="24">
        <f>SUMIFS(HY!$G$527:$AN$527,HY!$G$9:$AN$9,FY!L$2)</f>
        <v>70.22457526520455</v>
      </c>
      <c r="M56" s="24">
        <f>SUMIFS(HY!$G$527:$AN$527,HY!$G$9:$AN$9,FY!M$2)</f>
        <v>100.17005977577193</v>
      </c>
      <c r="N56" s="24">
        <f>SUMIFS(HY!$G$527:$AN$527,HY!$G$9:$AN$9,FY!N$2)</f>
        <v>126.19000060314568</v>
      </c>
      <c r="O56" s="24">
        <f>SUMIFS(HY!$G$527:$AN$527,HY!$G$9:$AN$9,FY!O$2)</f>
        <v>136.75163292203288</v>
      </c>
      <c r="P56" s="24">
        <f>SUMIFS(HY!$G$527:$AN$527,HY!$G$9:$AN$9,FY!P$2)</f>
        <v>147.52698919484487</v>
      </c>
      <c r="Q56" s="24">
        <f>SUMIFS(HY!$G$527:$AN$527,HY!$G$9:$AN$9,FY!Q$2)</f>
        <v>158.46930986211191</v>
      </c>
      <c r="R56" s="24">
        <f>SUMIFS(HY!$G$527:$AN$527,HY!$G$9:$AN$9,FY!R$2)</f>
        <v>169.9010417900669</v>
      </c>
      <c r="S56" s="24">
        <f>SUMIFS(HY!$G$527:$AN$527,HY!$G$9:$AN$9,FY!S$2)</f>
        <v>176.302234925888</v>
      </c>
      <c r="T56" s="552"/>
    </row>
    <row r="57" spans="1:21">
      <c r="B57" s="9" t="s">
        <v>1162</v>
      </c>
      <c r="C57" s="17"/>
      <c r="D57" s="17">
        <f>SUMIFS(HY!$G$528:$AN$528,HY!$G$9:$AN$9,FY!D$2)+SUMIFS(HY!$G$529:$AN$529,HY!$G$9:$AN$9,FY!D$2)+SUMIFS(HY!$G$530:$AN$530,HY!$G$9:$AN$9,FY!D$2)</f>
        <v>-10.200000000000003</v>
      </c>
      <c r="E57" s="17">
        <f>SUMIFS(HY!$G$528:$AN$528,HY!$G$9:$AN$9,FY!E$2)+SUMIFS(HY!$G$529:$AN$529,HY!$G$9:$AN$9,FY!E$2)+SUMIFS(HY!$G$530:$AN$530,HY!$G$9:$AN$9,FY!E$2)</f>
        <v>-28.6</v>
      </c>
      <c r="F57" s="17">
        <f>SUMIFS(HY!$G$528:$AN$528,HY!$G$9:$AN$9,FY!F$2)+SUMIFS(HY!$G$529:$AN$529,HY!$G$9:$AN$9,FY!F$2)+SUMIFS(HY!$G$530:$AN$530,HY!$G$9:$AN$9,FY!F$2)</f>
        <v>-32.5</v>
      </c>
      <c r="G57" s="17">
        <f>SUMIFS(HY!$G$528:$AN$528,HY!$G$9:$AN$9,FY!G$2)+SUMIFS(HY!$G$529:$AN$529,HY!$G$9:$AN$9,FY!G$2)+SUMIFS(HY!$G$530:$AN$530,HY!$G$9:$AN$9,FY!G$2)</f>
        <v>-35</v>
      </c>
      <c r="H57" s="17">
        <f>SUMIFS(HY!$G$528:$AN$528,HY!$G$9:$AN$9,FY!H$2)+SUMIFS(HY!$G$529:$AN$529,HY!$G$9:$AN$9,FY!H$2)+SUMIFS(HY!$G$530:$AN$530,HY!$G$9:$AN$9,FY!H$2)</f>
        <v>-28.126000000000001</v>
      </c>
      <c r="I57" s="17">
        <f>SUMIFS(HY!$G$528:$AN$528,HY!$G$9:$AN$9,FY!I$2)+SUMIFS(HY!$G$529:$AN$529,HY!$G$9:$AN$9,FY!I$2)+SUMIFS(HY!$G$530:$AN$530,HY!$G$9:$AN$9,FY!I$2)</f>
        <v>-16.000000000000007</v>
      </c>
      <c r="J57" s="17">
        <f>SUMIFS(HY!$G$528:$AN$528,HY!$G$9:$AN$9,FY!J$2)+SUMIFS(HY!$G$529:$AN$529,HY!$G$9:$AN$9,FY!J$2)+SUMIFS(HY!$G$530:$AN$530,HY!$G$9:$AN$9,FY!J$2)</f>
        <v>-26.4</v>
      </c>
      <c r="K57" s="17">
        <f>SUMIFS(HY!$G$528:$AN$528,HY!$G$9:$AN$9,FY!K$2)+SUMIFS(HY!$G$529:$AN$529,HY!$G$9:$AN$9,FY!K$2)+SUMIFS(HY!$G$530:$AN$530,HY!$G$9:$AN$9,FY!K$2)</f>
        <v>-26.599999999999998</v>
      </c>
      <c r="L57" s="17">
        <f>SUMIFS(HY!$G$528:$AN$528,HY!$G$9:$AN$9,FY!L$2)+SUMIFS(HY!$G$529:$AN$529,HY!$G$9:$AN$9,FY!L$2)+SUMIFS(HY!$G$530:$AN$530,HY!$G$9:$AN$9,FY!L$2)</f>
        <v>-26.724114048151236</v>
      </c>
      <c r="M57" s="17">
        <f>SUMIFS(HY!$G$528:$AN$528,HY!$G$9:$AN$9,FY!M$2)+SUMIFS(HY!$G$529:$AN$529,HY!$G$9:$AN$9,FY!M$2)+SUMIFS(HY!$G$530:$AN$530,HY!$G$9:$AN$9,FY!M$2)</f>
        <v>-21.935186810000655</v>
      </c>
      <c r="N57" s="17">
        <f>SUMIFS(HY!$G$528:$AN$528,HY!$G$9:$AN$9,FY!N$2)+SUMIFS(HY!$G$529:$AN$529,HY!$G$9:$AN$9,FY!N$2)+SUMIFS(HY!$G$530:$AN$530,HY!$G$9:$AN$9,FY!N$2)</f>
        <v>-19.650921251912443</v>
      </c>
      <c r="O57" s="17">
        <f>SUMIFS(HY!$G$528:$AN$528,HY!$G$9:$AN$9,FY!O$2)+SUMIFS(HY!$G$529:$AN$529,HY!$G$9:$AN$9,FY!O$2)+SUMIFS(HY!$G$530:$AN$530,HY!$G$9:$AN$9,FY!O$2)</f>
        <v>-16.707393769213969</v>
      </c>
      <c r="P57" s="17">
        <f>SUMIFS(HY!$G$528:$AN$528,HY!$G$9:$AN$9,FY!P$2)+SUMIFS(HY!$G$529:$AN$529,HY!$G$9:$AN$9,FY!P$2)+SUMIFS(HY!$G$530:$AN$530,HY!$G$9:$AN$9,FY!P$2)</f>
        <v>-13.979307097043328</v>
      </c>
      <c r="Q57" s="17">
        <f>SUMIFS(HY!$G$528:$AN$528,HY!$G$9:$AN$9,FY!Q$2)+SUMIFS(HY!$G$529:$AN$529,HY!$G$9:$AN$9,FY!Q$2)+SUMIFS(HY!$G$530:$AN$530,HY!$G$9:$AN$9,FY!Q$2)</f>
        <v>-12.819423555449628</v>
      </c>
      <c r="R57" s="17">
        <f>SUMIFS(HY!$G$528:$AN$528,HY!$G$9:$AN$9,FY!R$2)+SUMIFS(HY!$G$529:$AN$529,HY!$G$9:$AN$9,FY!R$2)+SUMIFS(HY!$G$530:$AN$530,HY!$G$9:$AN$9,FY!R$2)</f>
        <v>-11.671309753167591</v>
      </c>
      <c r="S57" s="17">
        <f>SUMIFS(HY!$G$528:$AN$528,HY!$G$9:$AN$9,FY!S$2)+SUMIFS(HY!$G$529:$AN$529,HY!$G$9:$AN$9,FY!S$2)+SUMIFS(HY!$G$530:$AN$530,HY!$G$9:$AN$9,FY!S$2)</f>
        <v>-10.619647407264196</v>
      </c>
      <c r="T57" s="551"/>
    </row>
    <row r="58" spans="1:21">
      <c r="B58" s="9" t="s">
        <v>1165</v>
      </c>
      <c r="C58" s="17"/>
      <c r="D58" s="17">
        <f>SUMIFS(HY!$G$531:$AN$531,HY!$G$9:$AN$9,FY!D$2)</f>
        <v>0</v>
      </c>
      <c r="E58" s="17">
        <f>SUMIFS(HY!$G$531:$AN$531,HY!$G$9:$AN$9,FY!E$2)</f>
        <v>0</v>
      </c>
      <c r="F58" s="17">
        <f>SUMIFS(HY!$G$531:$AN$531,HY!$G$9:$AN$9,FY!F$2)</f>
        <v>0</v>
      </c>
      <c r="G58" s="17">
        <f>SUMIFS(HY!$G$531:$AN$531,HY!$G$9:$AN$9,FY!G$2)</f>
        <v>0</v>
      </c>
      <c r="H58" s="17">
        <f>SUMIFS(HY!$G$531:$AN$531,HY!$G$9:$AN$9,FY!H$2)</f>
        <v>0</v>
      </c>
      <c r="I58" s="17">
        <f>SUMIFS(HY!$G$531:$AN$531,HY!$G$9:$AN$9,FY!I$2)</f>
        <v>0</v>
      </c>
      <c r="J58" s="17">
        <f>SUMIFS(HY!$G$531:$AN$531,HY!$G$9:$AN$9,FY!J$2)</f>
        <v>0</v>
      </c>
      <c r="K58" s="17">
        <f>SUMIFS(HY!$G$531:$AN$531,HY!$G$9:$AN$9,FY!K$2)</f>
        <v>0</v>
      </c>
      <c r="L58" s="17">
        <f>SUMIFS(HY!$G$531:$AN$531,HY!$G$9:$AN$9,FY!L$2)</f>
        <v>0</v>
      </c>
      <c r="M58" s="17">
        <f>SUMIFS(HY!$G$531:$AN$531,HY!$G$9:$AN$9,FY!M$2)</f>
        <v>0</v>
      </c>
      <c r="N58" s="17">
        <f>SUMIFS(HY!$G$531:$AN$531,HY!$G$9:$AN$9,FY!N$2)</f>
        <v>0</v>
      </c>
      <c r="O58" s="17">
        <f>SUMIFS(HY!$G$531:$AN$531,HY!$G$9:$AN$9,FY!O$2)</f>
        <v>0</v>
      </c>
      <c r="P58" s="17">
        <f>SUMIFS(HY!$G$531:$AN$531,HY!$G$9:$AN$9,FY!P$2)</f>
        <v>0</v>
      </c>
      <c r="Q58" s="17">
        <f>SUMIFS(HY!$G$531:$AN$531,HY!$G$9:$AN$9,FY!Q$2)</f>
        <v>0</v>
      </c>
      <c r="R58" s="17">
        <f>SUMIFS(HY!$G$531:$AN$531,HY!$G$9:$AN$9,FY!R$2)</f>
        <v>0</v>
      </c>
      <c r="S58" s="17">
        <f>SUMIFS(HY!$G$531:$AN$531,HY!$G$9:$AN$9,FY!S$2)</f>
        <v>0</v>
      </c>
      <c r="T58" s="551"/>
    </row>
    <row r="59" spans="1:21">
      <c r="B59" s="19" t="s">
        <v>176</v>
      </c>
      <c r="C59" s="20"/>
      <c r="D59" s="20" t="s">
        <v>176</v>
      </c>
      <c r="E59" s="20" t="s">
        <v>176</v>
      </c>
      <c r="F59" s="20" t="s">
        <v>176</v>
      </c>
      <c r="G59" s="20" t="s">
        <v>176</v>
      </c>
      <c r="H59" s="20" t="s">
        <v>176</v>
      </c>
      <c r="I59" s="20" t="s">
        <v>176</v>
      </c>
      <c r="J59" s="20" t="s">
        <v>176</v>
      </c>
      <c r="K59" s="20" t="s">
        <v>176</v>
      </c>
      <c r="L59" s="20" t="s">
        <v>176</v>
      </c>
      <c r="M59" s="20" t="s">
        <v>176</v>
      </c>
      <c r="N59" s="20" t="s">
        <v>176</v>
      </c>
      <c r="O59" s="20" t="s">
        <v>176</v>
      </c>
      <c r="P59" s="20" t="s">
        <v>176</v>
      </c>
      <c r="Q59" s="20" t="s">
        <v>176</v>
      </c>
      <c r="R59" s="20" t="s">
        <v>176</v>
      </c>
      <c r="S59" s="20" t="s">
        <v>176</v>
      </c>
      <c r="T59" s="554"/>
    </row>
    <row r="60" spans="1:21">
      <c r="B60" s="9" t="s">
        <v>155</v>
      </c>
      <c r="C60" s="17"/>
      <c r="D60" s="17">
        <f>SUMIFS(HY!$G$533:$AN$533,HY!$G$9:$AN$9,FY!D$2)</f>
        <v>231.99999999999997</v>
      </c>
      <c r="E60" s="17">
        <f>SUMIFS(HY!$G$533:$AN$533,HY!$G$9:$AN$9,FY!E$2)</f>
        <v>85.499999999999972</v>
      </c>
      <c r="F60" s="17">
        <f>SUMIFS(HY!$G$533:$AN$533,HY!$G$9:$AN$9,FY!F$2)</f>
        <v>127.70000000000009</v>
      </c>
      <c r="G60" s="17">
        <f>SUMIFS(HY!$G$533:$AN$533,HY!$G$9:$AN$9,FY!G$2)</f>
        <v>8.1999999999999815</v>
      </c>
      <c r="H60" s="17">
        <f>SUMIFS(HY!$G$533:$AN$533,HY!$G$9:$AN$9,FY!H$2)</f>
        <v>183.00200000000001</v>
      </c>
      <c r="I60" s="17">
        <f>SUMIFS(HY!$G$533:$AN$533,HY!$G$9:$AN$9,FY!I$2)</f>
        <v>169.77900000000002</v>
      </c>
      <c r="J60" s="17">
        <f>SUMIFS(HY!$G$533:$AN$533,HY!$G$9:$AN$9,FY!J$2)</f>
        <v>113.08699999999996</v>
      </c>
      <c r="K60" s="17">
        <f>SUMIFS(HY!$G$533:$AN$533,HY!$G$9:$AN$9,FY!K$2)</f>
        <v>51.542999999999964</v>
      </c>
      <c r="L60" s="17">
        <f>SUMIFS(HY!$G$533:$AN$533,HY!$G$9:$AN$9,FY!L$2)</f>
        <v>43.500461217053321</v>
      </c>
      <c r="M60" s="17">
        <f>SUMIFS(HY!$G$533:$AN$533,HY!$G$9:$AN$9,FY!M$2)</f>
        <v>78.234872965771274</v>
      </c>
      <c r="N60" s="17">
        <f>SUMIFS(HY!$G$533:$AN$533,HY!$G$9:$AN$9,FY!N$2)</f>
        <v>106.53907935123323</v>
      </c>
      <c r="O60" s="17">
        <f>SUMIFS(HY!$G$533:$AN$533,HY!$G$9:$AN$9,FY!O$2)</f>
        <v>120.0442391528189</v>
      </c>
      <c r="P60" s="17">
        <f>SUMIFS(HY!$G$533:$AN$533,HY!$G$9:$AN$9,FY!P$2)</f>
        <v>133.54768209780156</v>
      </c>
      <c r="Q60" s="17">
        <f>SUMIFS(HY!$G$533:$AN$533,HY!$G$9:$AN$9,FY!Q$2)</f>
        <v>145.64988630666227</v>
      </c>
      <c r="R60" s="17">
        <f>SUMIFS(HY!$G$533:$AN$533,HY!$G$9:$AN$9,FY!R$2)</f>
        <v>158.22973203689929</v>
      </c>
      <c r="S60" s="17">
        <f>SUMIFS(HY!$G$533:$AN$533,HY!$G$9:$AN$9,FY!S$2)</f>
        <v>165.68258751862382</v>
      </c>
      <c r="T60" s="551"/>
    </row>
    <row r="61" spans="1:21">
      <c r="B61" s="9" t="s">
        <v>281</v>
      </c>
      <c r="C61" s="17"/>
      <c r="D61" s="17">
        <f>SUMIFS(HY!$G$534:$AN$534,HY!$G$9:$AN$9,FY!D$2)</f>
        <v>-67.399999999999977</v>
      </c>
      <c r="E61" s="17">
        <f>SUMIFS(HY!$G$534:$AN$534,HY!$G$9:$AN$9,FY!E$2)</f>
        <v>-19.199999999999974</v>
      </c>
      <c r="F61" s="17">
        <f>SUMIFS(HY!$G$534:$AN$534,HY!$G$9:$AN$9,FY!F$2)</f>
        <v>-37.700000000000045</v>
      </c>
      <c r="G61" s="17">
        <f>SUMIFS(HY!$G$534:$AN$534,HY!$G$9:$AN$9,FY!G$2)</f>
        <v>1.4999999999999929</v>
      </c>
      <c r="H61" s="17">
        <f>SUMIFS(HY!$G$534:$AN$534,HY!$G$9:$AN$9,FY!H$2)</f>
        <v>-50.302000000000007</v>
      </c>
      <c r="I61" s="17">
        <f>SUMIFS(HY!$G$534:$AN$534,HY!$G$9:$AN$9,FY!I$2)</f>
        <v>-46.579000000000008</v>
      </c>
      <c r="J61" s="17">
        <f>SUMIFS(HY!$G$534:$AN$534,HY!$G$9:$AN$9,FY!J$2)</f>
        <v>-41.586999999999975</v>
      </c>
      <c r="K61" s="17">
        <f>SUMIFS(HY!$G$534:$AN$534,HY!$G$9:$AN$9,FY!K$2)</f>
        <v>-13.54299999999999</v>
      </c>
      <c r="L61" s="17">
        <f>SUMIFS(HY!$G$534:$AN$534,HY!$G$9:$AN$9,FY!L$2)</f>
        <v>-13.050138365115998</v>
      </c>
      <c r="M61" s="17">
        <f>SUMIFS(HY!$G$534:$AN$534,HY!$G$9:$AN$9,FY!M$2)</f>
        <v>-23.470461889731382</v>
      </c>
      <c r="N61" s="17">
        <f>SUMIFS(HY!$G$534:$AN$534,HY!$G$9:$AN$9,FY!N$2)</f>
        <v>-31.96172380536995</v>
      </c>
      <c r="O61" s="17">
        <f>SUMIFS(HY!$G$534:$AN$534,HY!$G$9:$AN$9,FY!O$2)</f>
        <v>-36.013271745845671</v>
      </c>
      <c r="P61" s="17">
        <f>SUMIFS(HY!$G$534:$AN$534,HY!$G$9:$AN$9,FY!P$2)</f>
        <v>-40.064304629340469</v>
      </c>
      <c r="Q61" s="17">
        <f>SUMIFS(HY!$G$534:$AN$534,HY!$G$9:$AN$9,FY!Q$2)</f>
        <v>-43.694965891998663</v>
      </c>
      <c r="R61" s="17">
        <f>SUMIFS(HY!$G$534:$AN$534,HY!$G$9:$AN$9,FY!R$2)</f>
        <v>-47.468919611069794</v>
      </c>
      <c r="S61" s="17">
        <f>SUMIFS(HY!$G$534:$AN$534,HY!$G$9:$AN$9,FY!S$2)</f>
        <v>-49.704776255587149</v>
      </c>
      <c r="T61" s="551"/>
    </row>
    <row r="62" spans="1:21">
      <c r="B62" s="9" t="s">
        <v>1166</v>
      </c>
      <c r="C62" s="18"/>
      <c r="D62" s="648">
        <v>0</v>
      </c>
      <c r="E62" s="648">
        <v>0</v>
      </c>
      <c r="F62" s="648">
        <v>0</v>
      </c>
      <c r="G62" s="648">
        <v>0</v>
      </c>
      <c r="H62" s="648">
        <v>0</v>
      </c>
      <c r="I62" s="648">
        <v>0</v>
      </c>
      <c r="J62" s="648">
        <v>0</v>
      </c>
      <c r="K62" s="648">
        <v>0</v>
      </c>
      <c r="L62" s="648">
        <v>0</v>
      </c>
      <c r="M62" s="648">
        <v>0</v>
      </c>
      <c r="N62" s="648">
        <v>0</v>
      </c>
      <c r="O62" s="648">
        <v>0</v>
      </c>
      <c r="P62" s="648">
        <v>0</v>
      </c>
      <c r="Q62" s="648">
        <v>0</v>
      </c>
      <c r="R62" s="648">
        <v>0</v>
      </c>
      <c r="S62" s="648">
        <v>0</v>
      </c>
      <c r="T62" s="648"/>
      <c r="U62" s="648"/>
    </row>
    <row r="63" spans="1:21" s="13" customFormat="1">
      <c r="A63" s="610"/>
      <c r="B63" s="13" t="s">
        <v>283</v>
      </c>
      <c r="C63" s="24"/>
      <c r="D63" s="24">
        <f>SUMIFS(HY!$G$537:$AN$537,HY!$G$9:$AN$9,FY!D$2)</f>
        <v>164.6</v>
      </c>
      <c r="E63" s="24">
        <f>SUMIFS(HY!$G$537:$AN$537,HY!$G$9:$AN$9,FY!E$2)</f>
        <v>66.3</v>
      </c>
      <c r="F63" s="24">
        <f>SUMIFS(HY!$G$537:$AN$537,HY!$G$9:$AN$9,FY!F$2)</f>
        <v>90.000000000000043</v>
      </c>
      <c r="G63" s="24">
        <f>SUMIFS(HY!$G$537:$AN$537,HY!$G$9:$AN$9,FY!G$2)</f>
        <v>9.6999999999999744</v>
      </c>
      <c r="H63" s="24">
        <f>SUMIFS(HY!$G$537:$AN$537,HY!$G$9:$AN$9,FY!H$2)</f>
        <v>132.69999999999999</v>
      </c>
      <c r="I63" s="24">
        <f>SUMIFS(HY!$G$537:$AN$537,HY!$G$9:$AN$9,FY!I$2)</f>
        <v>123.20000000000002</v>
      </c>
      <c r="J63" s="24">
        <f>SUMIFS(HY!$G$537:$AN$537,HY!$G$9:$AN$9,FY!J$2)</f>
        <v>71.499999999999986</v>
      </c>
      <c r="K63" s="24">
        <f>SUMIFS(HY!$G$537:$AN$537,HY!$G$9:$AN$9,FY!K$2)</f>
        <v>37.999999999999972</v>
      </c>
      <c r="L63" s="24">
        <f>SUMIFS(HY!$G$537:$AN$537,HY!$G$9:$AN$9,FY!L$2)</f>
        <v>30.450322851937322</v>
      </c>
      <c r="M63" s="24">
        <f>SUMIFS(HY!$G$537:$AN$537,HY!$G$9:$AN$9,FY!M$2)</f>
        <v>54.764411076039899</v>
      </c>
      <c r="N63" s="24">
        <f>SUMIFS(HY!$G$537:$AN$537,HY!$G$9:$AN$9,FY!N$2)</f>
        <v>74.57735554586327</v>
      </c>
      <c r="O63" s="24">
        <f>SUMIFS(HY!$G$537:$AN$537,HY!$G$9:$AN$9,FY!O$2)</f>
        <v>84.030967406973247</v>
      </c>
      <c r="P63" s="24">
        <f>SUMIFS(HY!$G$537:$AN$537,HY!$G$9:$AN$9,FY!P$2)</f>
        <v>93.483377468461072</v>
      </c>
      <c r="Q63" s="24">
        <f>SUMIFS(HY!$G$537:$AN$537,HY!$G$9:$AN$9,FY!Q$2)</f>
        <v>101.9549204146636</v>
      </c>
      <c r="R63" s="24">
        <f>SUMIFS(HY!$G$537:$AN$537,HY!$G$9:$AN$9,FY!R$2)</f>
        <v>110.76081242582951</v>
      </c>
      <c r="S63" s="24">
        <f>SUMIFS(HY!$G$537:$AN$537,HY!$G$9:$AN$9,FY!S$2)</f>
        <v>115.97781126303667</v>
      </c>
      <c r="T63" s="552"/>
    </row>
    <row r="64" spans="1:21">
      <c r="C64" s="28"/>
      <c r="D64" s="28"/>
      <c r="E64" s="28"/>
      <c r="F64" s="28"/>
      <c r="G64" s="28"/>
      <c r="H64" s="58"/>
      <c r="I64" s="28"/>
      <c r="J64" s="28"/>
      <c r="K64" s="28"/>
      <c r="L64" s="28"/>
      <c r="M64" s="28"/>
      <c r="N64" s="28"/>
      <c r="O64" s="28"/>
      <c r="P64" s="28"/>
      <c r="Q64" s="28"/>
      <c r="R64" s="28"/>
      <c r="S64" s="28"/>
      <c r="T64" s="549"/>
    </row>
    <row r="65" spans="1:21">
      <c r="B65" s="9" t="s">
        <v>162</v>
      </c>
      <c r="C65" s="17"/>
      <c r="D65" s="17">
        <f>SUMIFS(HY!$G$367:$AN$367,HY!$G$9:$AN$9,FY!D$2)</f>
        <v>-20</v>
      </c>
      <c r="E65" s="17">
        <f>SUMIFS(HY!$G$367:$AN$367,HY!$G$9:$AN$9,FY!E$2)</f>
        <v>169.10000000000002</v>
      </c>
      <c r="F65" s="17">
        <f>SUMIFS(HY!$G$367:$AN$367,HY!$G$9:$AN$9,FY!F$2)</f>
        <v>65.800000000000011</v>
      </c>
      <c r="G65" s="17">
        <f>SUMIFS(HY!$G$367:$AN$367,HY!$G$9:$AN$9,FY!G$2)</f>
        <v>-43.3</v>
      </c>
      <c r="H65" s="17">
        <f>SUMIFS(HY!$G$367:$AN$367,HY!$G$9:$AN$9,FY!H$2)</f>
        <v>-124.72499999999999</v>
      </c>
      <c r="I65" s="17">
        <f>SUMIFS(HY!$G$367:$AN$367,HY!$G$9:$AN$9,FY!I$2)</f>
        <v>-266.5</v>
      </c>
      <c r="J65" s="17">
        <f>SUMIFS(HY!$G$367:$AN$367,HY!$G$9:$AN$9,FY!J$2)</f>
        <v>-42.3</v>
      </c>
      <c r="K65" s="17">
        <f>SUMIFS(HY!$G$367:$AN$367,HY!$G$9:$AN$9,FY!K$2)</f>
        <v>-19.8</v>
      </c>
      <c r="L65" s="17">
        <f>SUMIFS(HY!$G$367:$AN$367,HY!$G$9:$AN$9,FY!L$2)</f>
        <v>-47</v>
      </c>
      <c r="M65" s="17">
        <f>SUMIFS(HY!$G$367:$AN$367,HY!$G$9:$AN$9,FY!M$2)</f>
        <v>-17</v>
      </c>
      <c r="N65" s="17">
        <f>SUMIFS(HY!$G$367:$AN$367,HY!$G$9:$AN$9,FY!N$2)</f>
        <v>-7</v>
      </c>
      <c r="O65" s="17">
        <f>SUMIFS(HY!$G$367:$AN$367,HY!$G$9:$AN$9,FY!O$2)</f>
        <v>0</v>
      </c>
      <c r="P65" s="17">
        <f>SUMIFS(HY!$G$367:$AN$367,HY!$G$9:$AN$9,FY!P$2)</f>
        <v>0</v>
      </c>
      <c r="Q65" s="17">
        <f>SUMIFS(HY!$G$367:$AN$367,HY!$G$9:$AN$9,FY!Q$2)</f>
        <v>0</v>
      </c>
      <c r="R65" s="17">
        <f>SUMIFS(HY!$G$367:$AN$367,HY!$G$9:$AN$9,FY!R$2)</f>
        <v>0</v>
      </c>
      <c r="S65" s="17">
        <f>SUMIFS(HY!$G$367:$AN$367,HY!$G$9:$AN$9,FY!S$2)</f>
        <v>0</v>
      </c>
      <c r="T65" s="551"/>
    </row>
    <row r="66" spans="1:21">
      <c r="B66" s="9" t="s">
        <v>167</v>
      </c>
      <c r="C66" s="28"/>
      <c r="D66" s="17">
        <f>SUMIFS(HY!$G$368:$AN$368,HY!$G$9:$AN$9,FY!D$2)</f>
        <v>144.6</v>
      </c>
      <c r="E66" s="17">
        <f>SUMIFS(HY!$G$368:$AN$368,HY!$G$9:$AN$9,FY!E$2)</f>
        <v>235.4</v>
      </c>
      <c r="F66" s="17">
        <f>SUMIFS(HY!$G$368:$AN$368,HY!$G$9:$AN$9,FY!F$2)</f>
        <v>155.80000000000001</v>
      </c>
      <c r="G66" s="17">
        <f>SUMIFS(HY!$G$368:$AN$368,HY!$G$9:$AN$9,FY!G$2)</f>
        <v>-33.6</v>
      </c>
      <c r="H66" s="17">
        <f>SUMIFS(HY!$G$368:$AN$368,HY!$G$9:$AN$9,FY!H$2)</f>
        <v>7.9749999999999996</v>
      </c>
      <c r="I66" s="17">
        <f>SUMIFS(HY!$G$368:$AN$368,HY!$G$9:$AN$9,FY!I$2)</f>
        <v>-143.30000000000001</v>
      </c>
      <c r="J66" s="17">
        <f>SUMIFS(HY!$G$368:$AN$368,HY!$G$9:$AN$9,FY!J$2)</f>
        <v>29.200000000000003</v>
      </c>
      <c r="K66" s="17">
        <f>SUMIFS(HY!$G$368:$AN$368,HY!$G$9:$AN$9,FY!K$2)</f>
        <v>18.2</v>
      </c>
      <c r="L66" s="17">
        <f>SUMIFS(HY!$G$368:$AN$368,HY!$G$9:$AN$9,FY!L$2)</f>
        <v>-16.549677148062667</v>
      </c>
      <c r="M66" s="17">
        <f>SUMIFS(HY!$G$368:$AN$368,HY!$G$9:$AN$9,FY!M$2)</f>
        <v>37.764411076039899</v>
      </c>
      <c r="N66" s="17">
        <f>SUMIFS(HY!$G$368:$AN$368,HY!$G$9:$AN$9,FY!N$2)</f>
        <v>67.577355545863213</v>
      </c>
      <c r="O66" s="17">
        <f>SUMIFS(HY!$G$368:$AN$368,HY!$G$9:$AN$9,FY!O$2)</f>
        <v>84.030967406973247</v>
      </c>
      <c r="P66" s="17">
        <f>SUMIFS(HY!$G$368:$AN$368,HY!$G$9:$AN$9,FY!P$2)</f>
        <v>93.4833774684611</v>
      </c>
      <c r="Q66" s="17">
        <f>SUMIFS(HY!$G$368:$AN$368,HY!$G$9:$AN$9,FY!Q$2)</f>
        <v>101.95492041466355</v>
      </c>
      <c r="R66" s="17">
        <f>SUMIFS(HY!$G$368:$AN$368,HY!$G$9:$AN$9,FY!R$2)</f>
        <v>110.76081242582953</v>
      </c>
      <c r="S66" s="17">
        <f>SUMIFS(HY!$G$368:$AN$368,HY!$G$9:$AN$9,FY!S$2)</f>
        <v>115.97781126303668</v>
      </c>
      <c r="T66" s="17"/>
      <c r="U66" s="17"/>
    </row>
    <row r="67" spans="1:21">
      <c r="C67" s="28"/>
      <c r="D67" s="28"/>
      <c r="E67" s="28"/>
      <c r="F67" s="28"/>
      <c r="G67" s="28"/>
      <c r="H67" s="58"/>
      <c r="I67" s="28"/>
      <c r="J67" s="28"/>
      <c r="K67" s="28"/>
      <c r="L67" s="28"/>
      <c r="M67" s="28"/>
      <c r="N67" s="28"/>
      <c r="O67" s="28"/>
      <c r="P67" s="28"/>
      <c r="Q67" s="28"/>
      <c r="R67" s="28"/>
      <c r="S67" s="28"/>
      <c r="T67" s="549"/>
    </row>
    <row r="68" spans="1:21">
      <c r="A68" s="608" t="s">
        <v>7</v>
      </c>
      <c r="B68" s="517" t="s">
        <v>285</v>
      </c>
      <c r="C68" s="518"/>
      <c r="D68" s="518" t="s">
        <v>1153</v>
      </c>
      <c r="E68" s="518" t="s">
        <v>1154</v>
      </c>
      <c r="F68" s="519">
        <v>2021</v>
      </c>
      <c r="G68" s="519">
        <v>2022</v>
      </c>
      <c r="H68" s="519">
        <v>2023</v>
      </c>
      <c r="I68" s="518">
        <v>2024</v>
      </c>
      <c r="J68" s="518">
        <v>2025</v>
      </c>
      <c r="K68" s="518">
        <v>2026</v>
      </c>
      <c r="L68" s="518">
        <v>2027</v>
      </c>
      <c r="M68" s="518">
        <v>2028</v>
      </c>
      <c r="N68" s="518">
        <v>2029</v>
      </c>
      <c r="O68" s="518">
        <v>2030</v>
      </c>
      <c r="P68" s="518">
        <v>2030</v>
      </c>
      <c r="Q68" s="518">
        <v>2030</v>
      </c>
      <c r="R68" s="518">
        <v>2030</v>
      </c>
      <c r="S68" s="518">
        <v>2030</v>
      </c>
      <c r="T68" s="550"/>
    </row>
    <row r="69" spans="1:21">
      <c r="B69" s="9" t="s">
        <v>26</v>
      </c>
      <c r="C69" s="17"/>
      <c r="D69" s="17">
        <f>SUMIFS(HY!$G$541:$AN$541,HY!$G$9:$AN$9,FY!D$2)</f>
        <v>322.2</v>
      </c>
      <c r="E69" s="17">
        <f>SUMIFS(HY!$G$541:$AN$541,HY!$G$9:$AN$9,FY!E$2)</f>
        <v>200.7</v>
      </c>
      <c r="F69" s="17">
        <f>SUMIFS(HY!$G$541:$AN$541,HY!$G$9:$AN$9,FY!F$2)</f>
        <v>248.60000000000002</v>
      </c>
      <c r="G69" s="17">
        <f>SUMIFS(HY!$G$541:$AN$541,HY!$G$9:$AN$9,FY!G$2)</f>
        <v>137.89999999999998</v>
      </c>
      <c r="H69" s="17">
        <f>SUMIFS(HY!$G$541:$AN$541,HY!$G$9:$AN$9,FY!H$2)</f>
        <v>301.8</v>
      </c>
      <c r="I69" s="17">
        <f>SUMIFS(HY!$G$541:$AN$541,HY!$G$9:$AN$9,FY!I$2)</f>
        <v>277.8</v>
      </c>
      <c r="J69" s="17">
        <f>SUMIFS(HY!$G$541:$AN$541,HY!$G$9:$AN$9,FY!J$2)</f>
        <v>233.7</v>
      </c>
      <c r="K69" s="17">
        <f>SUMIFS(HY!$G$541:$AN$541,HY!$G$9:$AN$9,FY!K$2)</f>
        <v>181.59999999999997</v>
      </c>
      <c r="L69" s="17">
        <f>SUMIFS(HY!$G$541:$AN$541,HY!$G$9:$AN$9,FY!L$2)</f>
        <v>183.18613519999997</v>
      </c>
      <c r="M69" s="17">
        <f>SUMIFS(HY!$G$541:$AN$541,HY!$G$9:$AN$9,FY!M$2)</f>
        <v>204.83214634399997</v>
      </c>
      <c r="N69" s="17">
        <f>SUMIFS(HY!$G$541:$AN$541,HY!$G$9:$AN$9,FY!N$2)</f>
        <v>229.3444965540001</v>
      </c>
      <c r="O69" s="17">
        <f>SUMIFS(HY!$G$541:$AN$541,HY!$G$9:$AN$9,FY!O$2)</f>
        <v>238.69843621886156</v>
      </c>
      <c r="P69" s="17">
        <f>SUMIFS(HY!$G$541:$AN$541,HY!$G$9:$AN$9,FY!P$2)</f>
        <v>248.54432493026678</v>
      </c>
      <c r="Q69" s="17">
        <f>SUMIFS(HY!$G$541:$AN$541,HY!$G$9:$AN$9,FY!Q$2)</f>
        <v>258.82421788483435</v>
      </c>
      <c r="R69" s="17">
        <f>SUMIFS(HY!$G$541:$AN$541,HY!$G$9:$AN$9,FY!R$2)</f>
        <v>269.85336353011263</v>
      </c>
      <c r="S69" s="17">
        <f>SUMIFS(HY!$G$541:$AN$541,HY!$G$9:$AN$9,FY!S$2)</f>
        <v>276.09809342538347</v>
      </c>
      <c r="T69" s="551"/>
    </row>
    <row r="70" spans="1:21">
      <c r="B70" s="9" t="s">
        <v>1167</v>
      </c>
      <c r="C70" s="17"/>
      <c r="D70" s="17">
        <f>SUMIFS(HY!$G$542:$AN$542,HY!$G$9:$AN$9,FY!D$2)</f>
        <v>-50.625999999999998</v>
      </c>
      <c r="E70" s="17">
        <f>SUMIFS(HY!$G$542:$AN$542,HY!$G$9:$AN$9,FY!E$2)</f>
        <v>-41.057000000000002</v>
      </c>
      <c r="F70" s="17">
        <f>SUMIFS(HY!$G$542:$AN$542,HY!$G$9:$AN$9,FY!F$2)</f>
        <v>-15.569000000000001</v>
      </c>
      <c r="G70" s="17">
        <f>SUMIFS(HY!$G$542:$AN$542,HY!$G$9:$AN$9,FY!G$2)</f>
        <v>-25.678999999999998</v>
      </c>
      <c r="H70" s="17">
        <f>SUMIFS(HY!$G$542:$AN$542,HY!$G$9:$AN$9,FY!H$2)</f>
        <v>-7.0339999999999989</v>
      </c>
      <c r="I70" s="17">
        <f>SUMIFS(HY!$G$542:$AN$542,HY!$G$9:$AN$9,FY!I$2)</f>
        <v>-54.671999999999997</v>
      </c>
      <c r="J70" s="17">
        <f>SUMIFS(HY!$G$542:$AN$542,HY!$G$9:$AN$9,FY!J$2)</f>
        <v>-60.167000000000002</v>
      </c>
      <c r="K70" s="17">
        <f>SUMIFS(HY!$G$542:$AN$542,HY!$G$9:$AN$9,FY!K$2)</f>
        <v>-38.945</v>
      </c>
      <c r="L70" s="17">
        <f>SUMIFS(HY!$G$542:$AN$542,HY!$G$9:$AN$9,FY!L$2)</f>
        <v>-13.050138365115998</v>
      </c>
      <c r="M70" s="17">
        <f>SUMIFS(HY!$G$542:$AN$542,HY!$G$9:$AN$9,FY!M$2)</f>
        <v>-23.470461889731382</v>
      </c>
      <c r="N70" s="17">
        <f>SUMIFS(HY!$G$542:$AN$542,HY!$G$9:$AN$9,FY!N$2)</f>
        <v>-31.96172380536995</v>
      </c>
      <c r="O70" s="17">
        <f>SUMIFS(HY!$G$542:$AN$542,HY!$G$9:$AN$9,FY!O$2)</f>
        <v>-36.013271745845671</v>
      </c>
      <c r="P70" s="17">
        <f>SUMIFS(HY!$G$542:$AN$542,HY!$G$9:$AN$9,FY!P$2)</f>
        <v>-40.064304629340469</v>
      </c>
      <c r="Q70" s="17">
        <f>SUMIFS(HY!$G$542:$AN$542,HY!$G$9:$AN$9,FY!Q$2)</f>
        <v>-43.694965891998663</v>
      </c>
      <c r="R70" s="17">
        <f>SUMIFS(HY!$G$542:$AN$542,HY!$G$9:$AN$9,FY!R$2)</f>
        <v>-47.468919611069794</v>
      </c>
      <c r="S70" s="17">
        <f>SUMIFS(HY!$G$542:$AN$542,HY!$G$9:$AN$9,FY!S$2)</f>
        <v>-49.704776255587149</v>
      </c>
      <c r="T70" s="551"/>
    </row>
    <row r="71" spans="1:21">
      <c r="B71" s="9" t="s">
        <v>295</v>
      </c>
      <c r="C71" s="17"/>
      <c r="D71" s="17">
        <f>SUMIFS(HY!$G$560:$AN$560,HY!$G$9:$AN$9,FY!D$2)+SUMIFS(HY!$G$558:$AN$558,HY!$G$9:$AN$9,FY!D$2)</f>
        <v>-37.064</v>
      </c>
      <c r="E71" s="17">
        <f>SUMIFS(HY!$G$560:$AN$560,HY!$G$9:$AN$9,FY!E$2)+SUMIFS(HY!$G$558:$AN$558,HY!$G$9:$AN$9,FY!E$2)</f>
        <v>-40.384</v>
      </c>
      <c r="F71" s="17">
        <f>SUMIFS(HY!$G$560:$AN$560,HY!$G$9:$AN$9,FY!F$2)+SUMIFS(HY!$G$558:$AN$558,HY!$G$9:$AN$9,FY!F$2)</f>
        <v>-37.650000000000006</v>
      </c>
      <c r="G71" s="17">
        <f>SUMIFS(HY!$G$560:$AN$560,HY!$G$9:$AN$9,FY!G$2)+SUMIFS(HY!$G$558:$AN$558,HY!$G$9:$AN$9,FY!G$2)</f>
        <v>-30.003</v>
      </c>
      <c r="H71" s="17">
        <f>SUMIFS(HY!$G$560:$AN$560,HY!$G$9:$AN$9,FY!H$2)+SUMIFS(HY!$G$558:$AN$558,HY!$G$9:$AN$9,FY!H$2)</f>
        <v>-37.094000000000001</v>
      </c>
      <c r="I71" s="17">
        <f>SUMIFS(HY!$G$560:$AN$560,HY!$G$9:$AN$9,FY!I$2)+SUMIFS(HY!$G$558:$AN$558,HY!$G$9:$AN$9,FY!I$2)</f>
        <v>-48.011000000000003</v>
      </c>
      <c r="J71" s="17">
        <f>SUMIFS(HY!$G$560:$AN$560,HY!$G$9:$AN$9,FY!J$2)+SUMIFS(HY!$G$558:$AN$558,HY!$G$9:$AN$9,FY!J$2)</f>
        <v>-43.0015</v>
      </c>
      <c r="K71" s="17">
        <f>SUMIFS(HY!$G$560:$AN$560,HY!$G$9:$AN$9,FY!K$2)+SUMIFS(HY!$G$558:$AN$558,HY!$G$9:$AN$9,FY!K$2)</f>
        <v>-54.287499999999994</v>
      </c>
      <c r="L71" s="17">
        <f>SUMIFS(HY!$G$560:$AN$560,HY!$G$9:$AN$9,FY!L$2)+SUMIFS(HY!$G$558:$AN$558,HY!$G$9:$AN$9,FY!L$2)</f>
        <v>-26.724114048151236</v>
      </c>
      <c r="M71" s="17">
        <f>SUMIFS(HY!$G$560:$AN$560,HY!$G$9:$AN$9,FY!M$2)+SUMIFS(HY!$G$558:$AN$558,HY!$G$9:$AN$9,FY!M$2)</f>
        <v>-21.935186810000655</v>
      </c>
      <c r="N71" s="17">
        <f>SUMIFS(HY!$G$560:$AN$560,HY!$G$9:$AN$9,FY!N$2)+SUMIFS(HY!$G$558:$AN$558,HY!$G$9:$AN$9,FY!N$2)</f>
        <v>-19.650921251912443</v>
      </c>
      <c r="O71" s="17">
        <f>SUMIFS(HY!$G$560:$AN$560,HY!$G$9:$AN$9,FY!O$2)+SUMIFS(HY!$G$558:$AN$558,HY!$G$9:$AN$9,FY!O$2)</f>
        <v>-16.707393769213969</v>
      </c>
      <c r="P71" s="17">
        <f>SUMIFS(HY!$G$560:$AN$560,HY!$G$9:$AN$9,FY!P$2)+SUMIFS(HY!$G$558:$AN$558,HY!$G$9:$AN$9,FY!P$2)</f>
        <v>-13.979307097043328</v>
      </c>
      <c r="Q71" s="17">
        <f>SUMIFS(HY!$G$560:$AN$560,HY!$G$9:$AN$9,FY!Q$2)+SUMIFS(HY!$G$558:$AN$558,HY!$G$9:$AN$9,FY!Q$2)</f>
        <v>-12.819423555449628</v>
      </c>
      <c r="R71" s="17">
        <f>SUMIFS(HY!$G$560:$AN$560,HY!$G$9:$AN$9,FY!R$2)+SUMIFS(HY!$G$558:$AN$558,HY!$G$9:$AN$9,FY!R$2)</f>
        <v>-11.671309753167591</v>
      </c>
      <c r="S71" s="17">
        <f>SUMIFS(HY!$G$560:$AN$560,HY!$G$9:$AN$9,FY!S$2)+SUMIFS(HY!$G$558:$AN$558,HY!$G$9:$AN$9,FY!S$2)</f>
        <v>-10.619647407264196</v>
      </c>
      <c r="T71" s="551"/>
    </row>
    <row r="72" spans="1:21">
      <c r="B72" s="9" t="s">
        <v>280</v>
      </c>
      <c r="C72" s="17"/>
      <c r="D72" s="17">
        <f>SUMIFS(HY!$G$559:$AN$559,HY!$G$9:$AN$9,FY!D$2)</f>
        <v>26.863999999999997</v>
      </c>
      <c r="E72" s="17">
        <f>SUMIFS(HY!$G$559:$AN$559,HY!$G$9:$AN$9,FY!E$2)</f>
        <v>11.783999999999997</v>
      </c>
      <c r="F72" s="17">
        <f>SUMIFS(HY!$G$559:$AN$559,HY!$G$9:$AN$9,FY!F$2)</f>
        <v>5.1500000000000021</v>
      </c>
      <c r="G72" s="17">
        <f>SUMIFS(HY!$G$559:$AN$559,HY!$G$9:$AN$9,FY!G$2)</f>
        <v>-4.9970000000000017</v>
      </c>
      <c r="H72" s="17">
        <f>SUMIFS(HY!$G$559:$AN$559,HY!$G$9:$AN$9,FY!H$2)</f>
        <v>8.968</v>
      </c>
      <c r="I72" s="17">
        <f>SUMIFS(HY!$G$559:$AN$559,HY!$G$9:$AN$9,FY!I$2)</f>
        <v>32.010999999999996</v>
      </c>
      <c r="J72" s="17">
        <f>SUMIFS(HY!$G$559:$AN$559,HY!$G$9:$AN$9,FY!J$2)</f>
        <v>16.226500000000001</v>
      </c>
      <c r="K72" s="17">
        <f>SUMIFS(HY!$G$559:$AN$559,HY!$G$9:$AN$9,FY!K$2)</f>
        <v>12.275499999999997</v>
      </c>
      <c r="L72" s="17">
        <f>SUMIFS(HY!$G$559:$AN$559,HY!$G$9:$AN$9,FY!L$2)</f>
        <v>0</v>
      </c>
      <c r="M72" s="17">
        <f>SUMIFS(HY!$G$559:$AN$559,HY!$G$9:$AN$9,FY!M$2)</f>
        <v>0</v>
      </c>
      <c r="N72" s="17">
        <f>SUMIFS(HY!$G$559:$AN$559,HY!$G$9:$AN$9,FY!N$2)</f>
        <v>0</v>
      </c>
      <c r="O72" s="17">
        <f>SUMIFS(HY!$G$559:$AN$559,HY!$G$9:$AN$9,FY!O$2)</f>
        <v>0</v>
      </c>
      <c r="P72" s="17">
        <f>SUMIFS(HY!$G$559:$AN$559,HY!$G$9:$AN$9,FY!P$2)</f>
        <v>0</v>
      </c>
      <c r="Q72" s="17">
        <f>SUMIFS(HY!$G$559:$AN$559,HY!$G$9:$AN$9,FY!Q$2)</f>
        <v>0</v>
      </c>
      <c r="R72" s="17">
        <f>SUMIFS(HY!$G$559:$AN$559,HY!$G$9:$AN$9,FY!R$2)</f>
        <v>0</v>
      </c>
      <c r="S72" s="17">
        <f>SUMIFS(HY!$G$559:$AN$559,HY!$G$9:$AN$9,FY!S$2)</f>
        <v>0</v>
      </c>
      <c r="T72" s="551"/>
    </row>
    <row r="73" spans="1:21">
      <c r="B73" s="9" t="s">
        <v>110</v>
      </c>
      <c r="C73" s="17"/>
      <c r="D73" s="17">
        <f>SUMIFS(HY!$G$543:$AN$543,HY!$G$9:$AN$9,FY!D$2)</f>
        <v>-28.111000000000018</v>
      </c>
      <c r="E73" s="17">
        <f>SUMIFS(HY!$G$543:$AN$543,HY!$G$9:$AN$9,FY!E$2)</f>
        <v>-39.018999999999991</v>
      </c>
      <c r="F73" s="17">
        <f>SUMIFS(HY!$G$543:$AN$543,HY!$G$9:$AN$9,FY!F$2)</f>
        <v>66.229000000000056</v>
      </c>
      <c r="G73" s="17">
        <f>SUMIFS(HY!$G$543:$AN$543,HY!$G$9:$AN$9,FY!G$2)</f>
        <v>-13.471000000000029</v>
      </c>
      <c r="H73" s="17">
        <f>SUMIFS(HY!$G$543:$AN$543,HY!$G$9:$AN$9,FY!H$2)</f>
        <v>-11.241000000000014</v>
      </c>
      <c r="I73" s="17">
        <f>SUMIFS(HY!$G$543:$AN$543,HY!$G$9:$AN$9,FY!I$2)</f>
        <v>11.736000000000018</v>
      </c>
      <c r="J73" s="17">
        <f>SUMIFS(HY!$G$543:$AN$543,HY!$G$9:$AN$9,FY!J$2)</f>
        <v>-116.35799999999995</v>
      </c>
      <c r="K73" s="17">
        <f>SUMIFS(HY!$G$543:$AN$543,HY!$G$9:$AN$9,FY!K$2)</f>
        <v>-112.66799999999996</v>
      </c>
      <c r="L73" s="17">
        <f>SUMIFS(HY!$G$543:$AN$543,HY!$G$9:$AN$9,FY!L$2)</f>
        <v>-47</v>
      </c>
      <c r="M73" s="17">
        <f>SUMIFS(HY!$G$543:$AN$543,HY!$G$9:$AN$9,FY!M$2)</f>
        <v>-17</v>
      </c>
      <c r="N73" s="17">
        <f>SUMIFS(HY!$G$543:$AN$543,HY!$G$9:$AN$9,FY!N$2)</f>
        <v>-7</v>
      </c>
      <c r="O73" s="17">
        <f>SUMIFS(HY!$G$543:$AN$543,HY!$G$9:$AN$9,FY!O$2)</f>
        <v>0</v>
      </c>
      <c r="P73" s="17">
        <f>SUMIFS(HY!$G$543:$AN$543,HY!$G$9:$AN$9,FY!P$2)</f>
        <v>0</v>
      </c>
      <c r="Q73" s="17">
        <f>SUMIFS(HY!$G$543:$AN$543,HY!$G$9:$AN$9,FY!Q$2)</f>
        <v>0</v>
      </c>
      <c r="R73" s="17">
        <f>SUMIFS(HY!$G$543:$AN$543,HY!$G$9:$AN$9,FY!R$2)</f>
        <v>0</v>
      </c>
      <c r="S73" s="17">
        <f>SUMIFS(HY!$G$543:$AN$543,HY!$G$9:$AN$9,FY!S$2)</f>
        <v>0</v>
      </c>
      <c r="T73" s="551"/>
    </row>
    <row r="74" spans="1:21">
      <c r="B74" s="19" t="s">
        <v>176</v>
      </c>
      <c r="C74" s="21"/>
      <c r="D74" s="21" t="s">
        <v>176</v>
      </c>
      <c r="E74" s="21" t="s">
        <v>176</v>
      </c>
      <c r="F74" s="21" t="s">
        <v>176</v>
      </c>
      <c r="G74" s="21" t="s">
        <v>176</v>
      </c>
      <c r="H74" s="21" t="s">
        <v>176</v>
      </c>
      <c r="I74" s="21" t="s">
        <v>176</v>
      </c>
      <c r="J74" s="21" t="s">
        <v>176</v>
      </c>
      <c r="K74" s="21" t="s">
        <v>176</v>
      </c>
      <c r="L74" s="21" t="s">
        <v>176</v>
      </c>
      <c r="M74" s="21" t="s">
        <v>176</v>
      </c>
      <c r="N74" s="21" t="s">
        <v>176</v>
      </c>
      <c r="O74" s="21" t="s">
        <v>176</v>
      </c>
      <c r="P74" s="21" t="s">
        <v>176</v>
      </c>
      <c r="Q74" s="21" t="s">
        <v>176</v>
      </c>
      <c r="R74" s="21" t="s">
        <v>176</v>
      </c>
      <c r="S74" s="21" t="s">
        <v>176</v>
      </c>
      <c r="T74" s="555"/>
    </row>
    <row r="75" spans="1:21">
      <c r="B75" s="9" t="s">
        <v>287</v>
      </c>
      <c r="C75" s="17"/>
      <c r="D75" s="17">
        <f>SUMIFS(HY!$G$545:$AN$545,HY!$G$9:$AN$9,FY!D$2)</f>
        <v>243.46299999999999</v>
      </c>
      <c r="E75" s="17">
        <f>SUMIFS(HY!$G$545:$AN$545,HY!$G$9:$AN$9,FY!E$2)</f>
        <v>120.624</v>
      </c>
      <c r="F75" s="17">
        <f>SUMIFS(HY!$G$545:$AN$545,HY!$G$9:$AN$9,FY!F$2)</f>
        <v>299.26000000000005</v>
      </c>
      <c r="G75" s="17">
        <f>SUMIFS(HY!$G$545:$AN$545,HY!$G$9:$AN$9,FY!G$2)</f>
        <v>98.749999999999943</v>
      </c>
      <c r="H75" s="17">
        <f>SUMIFS(HY!$G$545:$AN$545,HY!$G$9:$AN$9,FY!H$2)</f>
        <v>283.52499999999998</v>
      </c>
      <c r="I75" s="17">
        <f>SUMIFS(HY!$G$545:$AN$545,HY!$G$9:$AN$9,FY!I$2)</f>
        <v>234.86400000000003</v>
      </c>
      <c r="J75" s="17">
        <f>SUMIFS(HY!$G$545:$AN$545,HY!$G$9:$AN$9,FY!J$2)</f>
        <v>57.17500000000004</v>
      </c>
      <c r="K75" s="17">
        <f>SUMIFS(HY!$G$545:$AN$545,HY!$G$9:$AN$9,FY!K$2)</f>
        <v>29.987000000000009</v>
      </c>
      <c r="L75" s="17">
        <f>SUMIFS(HY!$G$545:$AN$545,HY!$G$9:$AN$9,FY!L$2)</f>
        <v>123.13599683488397</v>
      </c>
      <c r="M75" s="17">
        <f>SUMIFS(HY!$G$545:$AN$545,HY!$G$9:$AN$9,FY!M$2)</f>
        <v>164.36168445426858</v>
      </c>
      <c r="N75" s="17">
        <f>SUMIFS(HY!$G$545:$AN$545,HY!$G$9:$AN$9,FY!N$2)</f>
        <v>190.38277274863015</v>
      </c>
      <c r="O75" s="17">
        <f>SUMIFS(HY!$G$545:$AN$545,HY!$G$9:$AN$9,FY!O$2)</f>
        <v>202.6851644730159</v>
      </c>
      <c r="P75" s="17">
        <f>SUMIFS(HY!$G$545:$AN$545,HY!$G$9:$AN$9,FY!P$2)</f>
        <v>208.4800203009263</v>
      </c>
      <c r="Q75" s="17">
        <f>SUMIFS(HY!$G$545:$AN$545,HY!$G$9:$AN$9,FY!Q$2)</f>
        <v>215.12925199283569</v>
      </c>
      <c r="R75" s="17">
        <f>SUMIFS(HY!$G$545:$AN$545,HY!$G$9:$AN$9,FY!R$2)</f>
        <v>222.38444391904284</v>
      </c>
      <c r="S75" s="17">
        <f>SUMIFS(HY!$G$545:$AN$545,HY!$G$9:$AN$9,FY!S$2)</f>
        <v>226.39331716979632</v>
      </c>
      <c r="T75" s="551"/>
    </row>
    <row r="76" spans="1:21">
      <c r="B76" s="9" t="s">
        <v>1168</v>
      </c>
      <c r="C76" s="18"/>
      <c r="D76" s="18"/>
      <c r="E76" s="18">
        <f t="shared" ref="E76:O76" si="22">(E75/D75)-1</f>
        <v>-0.50454894583571219</v>
      </c>
      <c r="F76" s="18">
        <f t="shared" si="22"/>
        <v>1.480932484414379</v>
      </c>
      <c r="G76" s="18">
        <f t="shared" si="22"/>
        <v>-0.67001938114014592</v>
      </c>
      <c r="H76" s="18">
        <f t="shared" si="22"/>
        <v>1.8711392405063307</v>
      </c>
      <c r="I76" s="18">
        <f t="shared" si="22"/>
        <v>-0.17162860417952541</v>
      </c>
      <c r="J76" s="18">
        <f t="shared" si="22"/>
        <v>-0.75656124395394775</v>
      </c>
      <c r="K76" s="18">
        <f t="shared" si="22"/>
        <v>-0.47552251858329708</v>
      </c>
      <c r="L76" s="18">
        <f t="shared" si="22"/>
        <v>3.1063126299691177</v>
      </c>
      <c r="M76" s="18">
        <f t="shared" si="22"/>
        <v>0.33479801746897087</v>
      </c>
      <c r="N76" s="18">
        <f t="shared" si="22"/>
        <v>0.15831602347444651</v>
      </c>
      <c r="O76" s="18">
        <f t="shared" si="22"/>
        <v>6.461924861567736E-2</v>
      </c>
      <c r="P76" s="18">
        <f t="shared" ref="P76" si="23">(P75/O75)-1</f>
        <v>2.859042911688725E-2</v>
      </c>
      <c r="Q76" s="18">
        <f t="shared" ref="Q76" si="24">(Q75/P75)-1</f>
        <v>3.1893855738845733E-2</v>
      </c>
      <c r="R76" s="18">
        <f t="shared" ref="R76" si="25">(R75/Q75)-1</f>
        <v>3.3724804316470847E-2</v>
      </c>
      <c r="S76" s="18">
        <f t="shared" ref="S76" si="26">(S75/R75)-1</f>
        <v>1.8026770128817482E-2</v>
      </c>
      <c r="T76" s="553"/>
    </row>
    <row r="77" spans="1:21">
      <c r="B77" s="23" t="s">
        <v>1169</v>
      </c>
      <c r="C77" s="17"/>
      <c r="D77" s="17">
        <f>SUMIFS(HY!$G$546:$AN$546,HY!$G$9:$AN$9,FY!D$2)</f>
        <v>9.5840000000000316</v>
      </c>
      <c r="E77" s="17">
        <f>SUMIFS(HY!$G$546:$AN$546,HY!$G$9:$AN$9,FY!E$2)</f>
        <v>0.60200000000000387</v>
      </c>
      <c r="F77" s="17">
        <f>SUMIFS(HY!$G$546:$AN$546,HY!$G$9:$AN$9,FY!F$2)</f>
        <v>-13.389000000000038</v>
      </c>
      <c r="G77" s="17">
        <f>SUMIFS(HY!$G$546:$AN$546,HY!$G$9:$AN$9,FY!G$2)</f>
        <v>-5.7279999999999518</v>
      </c>
      <c r="H77" s="17">
        <f>SUMIFS(HY!$G$546:$AN$546,HY!$G$9:$AN$9,FY!H$2)</f>
        <v>2.7369999999999948</v>
      </c>
      <c r="I77" s="17">
        <f>SUMIFS(HY!$G$546:$AN$546,HY!$G$9:$AN$9,FY!I$2)</f>
        <v>-25.039000000000016</v>
      </c>
      <c r="J77" s="17">
        <f>SUMIFS(HY!$G$546:$AN$546,HY!$G$9:$AN$9,FY!J$2)</f>
        <v>-12.013000000000034</v>
      </c>
      <c r="K77" s="17">
        <f>SUMIFS(HY!$G$546:$AN$546,HY!$G$9:$AN$9,FY!K$2)</f>
        <v>91.689000000000007</v>
      </c>
      <c r="L77" s="17">
        <f>SUMIFS(HY!$G$546:$AN$546,HY!$G$9:$AN$9,FY!L$2)</f>
        <v>1.6706196608440536</v>
      </c>
      <c r="M77" s="17">
        <f>SUMIFS(HY!$G$546:$AN$546,HY!$G$9:$AN$9,FY!M$2)</f>
        <v>-2.1289559967842138</v>
      </c>
      <c r="N77" s="17">
        <f>SUMIFS(HY!$G$546:$AN$546,HY!$G$9:$AN$9,FY!N$2)</f>
        <v>2.6932861965300106</v>
      </c>
      <c r="O77" s="17">
        <f>SUMIFS(HY!$G$546:$AN$546,HY!$G$9:$AN$9,FY!O$2)</f>
        <v>4.6520214590656082</v>
      </c>
      <c r="P77" s="17">
        <f>SUMIFS(HY!$G$546:$AN$546,HY!$G$9:$AN$9,FY!P$2)</f>
        <v>4.7610509195352932</v>
      </c>
      <c r="Q77" s="17">
        <f>SUMIFS(HY!$G$546:$AN$546,HY!$G$9:$AN$9,FY!Q$2)</f>
        <v>4.2731351797336856</v>
      </c>
      <c r="R77" s="17">
        <f>SUMIFS(HY!$G$546:$AN$546,HY!$G$9:$AN$9,FY!R$2)</f>
        <v>5.9367469232861367</v>
      </c>
      <c r="S77" s="17">
        <f>SUMIFS(HY!$G$546:$AN$546,HY!$G$9:$AN$9,FY!S$2)</f>
        <v>5.4487976366178827</v>
      </c>
      <c r="T77" s="551"/>
    </row>
    <row r="78" spans="1:21" s="13" customFormat="1">
      <c r="A78" s="610"/>
      <c r="B78" s="13" t="s">
        <v>1170</v>
      </c>
      <c r="C78" s="24"/>
      <c r="D78" s="24">
        <f>SUMIFS(HY!$G$548:$AN$548,HY!$G$9:$AN$9,FY!D$2)</f>
        <v>253.04700000000003</v>
      </c>
      <c r="E78" s="24">
        <f>SUMIFS(HY!$G$548:$AN$548,HY!$G$9:$AN$9,FY!E$2)</f>
        <v>121.226</v>
      </c>
      <c r="F78" s="24">
        <f>SUMIFS(HY!$G$548:$AN$548,HY!$G$9:$AN$9,FY!F$2)</f>
        <v>285.87100000000004</v>
      </c>
      <c r="G78" s="24">
        <f>SUMIFS(HY!$G$548:$AN$548,HY!$G$9:$AN$9,FY!G$2)</f>
        <v>93.021999999999991</v>
      </c>
      <c r="H78" s="24">
        <f>SUMIFS(HY!$G$548:$AN$548,HY!$G$9:$AN$9,FY!H$2)</f>
        <v>286.262</v>
      </c>
      <c r="I78" s="24">
        <f>SUMIFS(HY!$G$548:$AN$548,HY!$G$9:$AN$9,FY!I$2)</f>
        <v>209.82500000000002</v>
      </c>
      <c r="J78" s="24">
        <f>SUMIFS(HY!$G$548:$AN$548,HY!$G$9:$AN$9,FY!J$2)</f>
        <v>45.161999999999999</v>
      </c>
      <c r="K78" s="24">
        <f>SUMIFS(HY!$G$548:$AN$548,HY!$G$9:$AN$9,FY!K$2)</f>
        <v>121.67600000000002</v>
      </c>
      <c r="L78" s="24">
        <f>SUMIFS(HY!$G$548:$AN$548,HY!$G$9:$AN$9,FY!L$2)</f>
        <v>124.80661649572802</v>
      </c>
      <c r="M78" s="24">
        <f>SUMIFS(HY!$G$548:$AN$548,HY!$G$9:$AN$9,FY!M$2)</f>
        <v>162.23272845748437</v>
      </c>
      <c r="N78" s="24">
        <f>SUMIFS(HY!$G$548:$AN$548,HY!$G$9:$AN$9,FY!N$2)</f>
        <v>193.07605894516016</v>
      </c>
      <c r="O78" s="24">
        <f>SUMIFS(HY!$G$548:$AN$548,HY!$G$9:$AN$9,FY!O$2)</f>
        <v>207.3371859320815</v>
      </c>
      <c r="P78" s="24">
        <f>SUMIFS(HY!$G$548:$AN$548,HY!$G$9:$AN$9,FY!P$2)</f>
        <v>213.24107122046161</v>
      </c>
      <c r="Q78" s="24">
        <f>SUMIFS(HY!$G$548:$AN$548,HY!$G$9:$AN$9,FY!Q$2)</f>
        <v>219.40238717256938</v>
      </c>
      <c r="R78" s="24">
        <f>SUMIFS(HY!$G$548:$AN$548,HY!$G$9:$AN$9,FY!R$2)</f>
        <v>228.32119084232897</v>
      </c>
      <c r="S78" s="24">
        <f>SUMIFS(HY!$G$548:$AN$548,HY!$G$9:$AN$9,FY!S$2)</f>
        <v>231.8421148064142</v>
      </c>
      <c r="T78" s="552"/>
    </row>
    <row r="79" spans="1:21">
      <c r="B79" s="9" t="s">
        <v>1171</v>
      </c>
      <c r="C79" s="18"/>
      <c r="D79" s="18"/>
      <c r="E79" s="18">
        <f t="shared" ref="E79:O79" si="27">(E78/D78)-1</f>
        <v>-0.52093484609578455</v>
      </c>
      <c r="F79" s="18">
        <f t="shared" si="27"/>
        <v>1.3581657400227676</v>
      </c>
      <c r="G79" s="18">
        <f t="shared" si="27"/>
        <v>-0.67460148108762352</v>
      </c>
      <c r="H79" s="18">
        <f t="shared" si="27"/>
        <v>2.0773580443335988</v>
      </c>
      <c r="I79" s="18">
        <f t="shared" si="27"/>
        <v>-0.26701762720864097</v>
      </c>
      <c r="J79" s="18">
        <f t="shared" si="27"/>
        <v>-0.78476349338734663</v>
      </c>
      <c r="K79" s="18">
        <f t="shared" si="27"/>
        <v>1.6942119480979589</v>
      </c>
      <c r="L79" s="18">
        <f t="shared" si="27"/>
        <v>2.5729120744666156E-2</v>
      </c>
      <c r="M79" s="18">
        <f t="shared" si="27"/>
        <v>0.29987281934718091</v>
      </c>
      <c r="N79" s="18">
        <f t="shared" si="27"/>
        <v>0.19011780656674815</v>
      </c>
      <c r="O79" s="18">
        <f t="shared" si="27"/>
        <v>7.3862741268051035E-2</v>
      </c>
      <c r="P79" s="18">
        <f t="shared" ref="P79" si="28">(P78/O78)-1</f>
        <v>2.8474801863637156E-2</v>
      </c>
      <c r="Q79" s="18">
        <f t="shared" ref="Q79" si="29">(Q78/P78)-1</f>
        <v>2.8893664418604637E-2</v>
      </c>
      <c r="R79" s="18">
        <f t="shared" ref="R79" si="30">(R78/Q78)-1</f>
        <v>4.0650440429094159E-2</v>
      </c>
      <c r="S79" s="18">
        <f t="shared" ref="S79" si="31">(S78/R78)-1</f>
        <v>1.5420925018373222E-2</v>
      </c>
      <c r="T79" s="553"/>
    </row>
    <row r="80" spans="1:21">
      <c r="C80" s="17"/>
      <c r="D80" s="17"/>
      <c r="E80" s="17"/>
      <c r="F80" s="17"/>
      <c r="G80" s="17"/>
      <c r="H80" s="17"/>
      <c r="I80" s="17"/>
      <c r="J80" s="17"/>
      <c r="K80" s="17"/>
      <c r="L80" s="17"/>
      <c r="M80" s="17"/>
      <c r="N80" s="17"/>
      <c r="O80" s="17"/>
      <c r="P80" s="17"/>
      <c r="Q80" s="17"/>
      <c r="R80" s="17"/>
      <c r="S80" s="17"/>
      <c r="T80" s="551"/>
    </row>
    <row r="81" spans="1:20">
      <c r="B81" s="9" t="s">
        <v>1172</v>
      </c>
      <c r="C81" s="17"/>
      <c r="D81" s="17">
        <f>SUMIFS(HY!$G$550:$AN$550,HY!$G$9:$AN$9,FY!D$2)</f>
        <v>-303.65100000000001</v>
      </c>
      <c r="E81" s="17">
        <f>SUMIFS(HY!$G$550:$AN$550,HY!$G$9:$AN$9,FY!E$2)</f>
        <v>-326.87700000000001</v>
      </c>
      <c r="F81" s="17">
        <f>SUMIFS(HY!$G$550:$AN$550,HY!$G$9:$AN$9,FY!F$2)</f>
        <v>-171.673</v>
      </c>
      <c r="G81" s="17">
        <f>SUMIFS(HY!$G$550:$AN$550,HY!$G$9:$AN$9,FY!G$2)</f>
        <v>-100.065</v>
      </c>
      <c r="H81" s="17">
        <f>SUMIFS(HY!$G$550:$AN$550,HY!$G$9:$AN$9,FY!H$2)</f>
        <v>-254.74600000000001</v>
      </c>
      <c r="I81" s="17">
        <f>SUMIFS(HY!$G$550:$AN$550,HY!$G$9:$AN$9,FY!I$2)</f>
        <v>-303.68900000000002</v>
      </c>
      <c r="J81" s="17">
        <f>SUMIFS(HY!$G$550:$AN$550,HY!$G$9:$AN$9,FY!J$2)</f>
        <v>-161.589</v>
      </c>
      <c r="K81" s="17">
        <f>SUMIFS(HY!$G$550:$AN$550,HY!$G$9:$AN$9,FY!K$2)</f>
        <v>-102.967</v>
      </c>
      <c r="L81" s="17">
        <f>SUMIFS(HY!$G$550:$AN$550,HY!$G$9:$AN$9,FY!L$2)</f>
        <v>-80</v>
      </c>
      <c r="M81" s="17">
        <f>SUMIFS(HY!$G$550:$AN$550,HY!$G$9:$AN$9,FY!M$2)</f>
        <v>-68.768978399999995</v>
      </c>
      <c r="N81" s="17">
        <f>SUMIFS(HY!$G$550:$AN$550,HY!$G$9:$AN$9,FY!N$2)</f>
        <v>-71.944951000000003</v>
      </c>
      <c r="O81" s="17">
        <f>SUMIFS(HY!$G$550:$AN$550,HY!$G$9:$AN$9,FY!O$2)</f>
        <v>-74.865923555759991</v>
      </c>
      <c r="P81" s="17">
        <f>SUMIFS(HY!$G$550:$AN$550,HY!$G$9:$AN$9,FY!P$2)</f>
        <v>-77.912158747650409</v>
      </c>
      <c r="Q81" s="17">
        <f>SUMIFS(HY!$G$550:$AN$550,HY!$G$9:$AN$9,FY!Q$2)</f>
        <v>-81.07219271011769</v>
      </c>
      <c r="R81" s="17">
        <f>SUMIFS(HY!$G$550:$AN$550,HY!$G$9:$AN$9,FY!R$2)</f>
        <v>-84.409152057346091</v>
      </c>
      <c r="S81" s="17">
        <f>SUMIFS(HY!$G$550:$AN$550,HY!$G$9:$AN$9,FY!S$2)</f>
        <v>-87.387240714082878</v>
      </c>
      <c r="T81" s="551"/>
    </row>
    <row r="82" spans="1:20">
      <c r="B82" s="9" t="s">
        <v>290</v>
      </c>
      <c r="C82" s="17"/>
      <c r="D82" s="17">
        <f>SUMIFS(HY!$G$551:$AN$551,HY!$G$9:$AN$9,FY!D$2)</f>
        <v>-29.129000000000005</v>
      </c>
      <c r="E82" s="17">
        <f>SUMIFS(HY!$G$551:$AN$551,HY!$G$9:$AN$9,FY!E$2)</f>
        <v>-20.515000000000001</v>
      </c>
      <c r="F82" s="17">
        <f>SUMIFS(HY!$G$551:$AN$551,HY!$G$9:$AN$9,FY!F$2)</f>
        <v>-2.399</v>
      </c>
      <c r="G82" s="17">
        <f>SUMIFS(HY!$G$551:$AN$551,HY!$G$9:$AN$9,FY!G$2)</f>
        <v>-11.411</v>
      </c>
      <c r="H82" s="17">
        <f>SUMIFS(HY!$G$551:$AN$551,HY!$G$9:$AN$9,FY!H$2)</f>
        <v>-8.1129999999999995</v>
      </c>
      <c r="I82" s="17">
        <f>SUMIFS(HY!$G$551:$AN$551,HY!$G$9:$AN$9,FY!I$2)</f>
        <v>-7.0469999999999997</v>
      </c>
      <c r="J82" s="17">
        <f>SUMIFS(HY!$G$551:$AN$551,HY!$G$9:$AN$9,FY!J$2)</f>
        <v>-2.2559999999999998</v>
      </c>
      <c r="K82" s="17">
        <f>SUMIFS(HY!$G$551:$AN$551,HY!$G$9:$AN$9,FY!K$2)</f>
        <v>-10.66</v>
      </c>
      <c r="L82" s="17">
        <f>SUMIFS(HY!$G$551:$AN$551,HY!$G$9:$AN$9,FY!L$2)</f>
        <v>-8.4093400000000003</v>
      </c>
      <c r="M82" s="17">
        <f>SUMIFS(HY!$G$551:$AN$551,HY!$G$9:$AN$9,FY!M$2)</f>
        <v>-8.5961222999999993</v>
      </c>
      <c r="N82" s="17">
        <f>SUMIFS(HY!$G$551:$AN$551,HY!$G$9:$AN$9,FY!N$2)</f>
        <v>-8.9931188750000004</v>
      </c>
      <c r="O82" s="17">
        <f>SUMIFS(HY!$G$551:$AN$551,HY!$G$9:$AN$9,FY!O$2)</f>
        <v>-9.3582404444699989</v>
      </c>
      <c r="P82" s="17">
        <f>SUMIFS(HY!$G$551:$AN$551,HY!$G$9:$AN$9,FY!P$2)</f>
        <v>-9.7390198434563011</v>
      </c>
      <c r="Q82" s="17">
        <f>SUMIFS(HY!$G$551:$AN$551,HY!$G$9:$AN$9,FY!Q$2)</f>
        <v>-10.134024088764711</v>
      </c>
      <c r="R82" s="17">
        <f>SUMIFS(HY!$G$551:$AN$551,HY!$G$9:$AN$9,FY!R$2)</f>
        <v>-10.551144007168261</v>
      </c>
      <c r="S82" s="17">
        <f>SUMIFS(HY!$G$551:$AN$551,HY!$G$9:$AN$9,FY!S$2)</f>
        <v>-10.92340508926036</v>
      </c>
      <c r="T82" s="551"/>
    </row>
    <row r="83" spans="1:20">
      <c r="B83" s="9" t="s">
        <v>292</v>
      </c>
      <c r="C83" s="17"/>
      <c r="D83" s="17">
        <f>SUMIFS(HY!$G$553:$AN$553,HY!$G$9:$AN$9,FY!D$2)</f>
        <v>224.86099999999999</v>
      </c>
      <c r="E83" s="17">
        <f>SUMIFS(HY!$G$553:$AN$553,HY!$G$9:$AN$9,FY!E$2)</f>
        <v>128.946</v>
      </c>
      <c r="F83" s="17">
        <f>SUMIFS(HY!$G$553:$AN$553,HY!$G$9:$AN$9,FY!F$2)</f>
        <v>0</v>
      </c>
      <c r="G83" s="17">
        <f>SUMIFS(HY!$G$553:$AN$553,HY!$G$9:$AN$9,FY!G$2)</f>
        <v>3.25</v>
      </c>
      <c r="H83" s="17">
        <f>SUMIFS(HY!$G$553:$AN$553,HY!$G$9:$AN$9,FY!H$2)</f>
        <v>7.8120000000000003</v>
      </c>
      <c r="I83" s="17">
        <f>SUMIFS(HY!$G$553:$AN$553,HY!$G$9:$AN$9,FY!I$2)</f>
        <v>0</v>
      </c>
      <c r="J83" s="17">
        <f>SUMIFS(HY!$G$553:$AN$553,HY!$G$9:$AN$9,FY!J$2)</f>
        <v>56.755000000000003</v>
      </c>
      <c r="K83" s="17">
        <f>SUMIFS(HY!$G$553:$AN$553,HY!$G$9:$AN$9,FY!K$2)</f>
        <v>0</v>
      </c>
      <c r="L83" s="17">
        <f>SUMIFS(HY!$G$553:$AN$553,HY!$G$9:$AN$9,FY!L$2)</f>
        <v>284.05599999999998</v>
      </c>
      <c r="M83" s="17">
        <f>SUMIFS(HY!$G$553:$AN$553,HY!$G$9:$AN$9,FY!M$2)</f>
        <v>0</v>
      </c>
      <c r="N83" s="17">
        <f>SUMIFS(HY!$G$553:$AN$553,HY!$G$9:$AN$9,FY!N$2)</f>
        <v>0</v>
      </c>
      <c r="O83" s="17">
        <f>SUMIFS(HY!$G$553:$AN$553,HY!$G$9:$AN$9,FY!O$2)</f>
        <v>0</v>
      </c>
      <c r="P83" s="17">
        <f>SUMIFS(HY!$G$553:$AN$553,HY!$G$9:$AN$9,FY!P$2)</f>
        <v>0</v>
      </c>
      <c r="Q83" s="17">
        <f>SUMIFS(HY!$G$553:$AN$553,HY!$G$9:$AN$9,FY!Q$2)</f>
        <v>0</v>
      </c>
      <c r="R83" s="17">
        <f>SUMIFS(HY!$G$553:$AN$553,HY!$G$9:$AN$9,FY!R$2)</f>
        <v>0</v>
      </c>
      <c r="S83" s="17">
        <f>SUMIFS(HY!$G$553:$AN$553,HY!$G$9:$AN$9,FY!S$2)</f>
        <v>0</v>
      </c>
      <c r="T83" s="551"/>
    </row>
    <row r="84" spans="1:20">
      <c r="B84" s="9" t="s">
        <v>1173</v>
      </c>
      <c r="C84" s="17"/>
      <c r="D84" s="17">
        <f>SUMIFS(HY!$G$552:$AN$552,HY!$G$9:$AN$9,FY!D$2)+SUMIFS(HY!$G$554:$AN$554,HY!$G$9:$AN$9,FY!D$2)</f>
        <v>-8.5640000000000001</v>
      </c>
      <c r="E84" s="17">
        <f>SUMIFS(HY!$G$552:$AN$552,HY!$G$9:$AN$9,FY!E$2)+SUMIFS(HY!$G$554:$AN$554,HY!$G$9:$AN$9,FY!E$2)</f>
        <v>119.17699999999999</v>
      </c>
      <c r="F84" s="17">
        <f>SUMIFS(HY!$G$552:$AN$552,HY!$G$9:$AN$9,FY!F$2)+SUMIFS(HY!$G$554:$AN$554,HY!$G$9:$AN$9,FY!F$2)</f>
        <v>-77.507000000000005</v>
      </c>
      <c r="G84" s="17">
        <f>SUMIFS(HY!$G$552:$AN$552,HY!$G$9:$AN$9,FY!G$2)+SUMIFS(HY!$G$554:$AN$554,HY!$G$9:$AN$9,FY!G$2)</f>
        <v>76.546999999999997</v>
      </c>
      <c r="H84" s="17">
        <f>SUMIFS(HY!$G$552:$AN$552,HY!$G$9:$AN$9,FY!H$2)+SUMIFS(HY!$G$554:$AN$554,HY!$G$9:$AN$9,FY!H$2)</f>
        <v>203.61099999999999</v>
      </c>
      <c r="I84" s="17">
        <f>SUMIFS(HY!$G$552:$AN$552,HY!$G$9:$AN$9,FY!I$2)+SUMIFS(HY!$G$554:$AN$554,HY!$G$9:$AN$9,FY!I$2)</f>
        <v>-8.6760000000000002</v>
      </c>
      <c r="J84" s="17">
        <f>SUMIFS(HY!$G$552:$AN$552,HY!$G$9:$AN$9,FY!J$2)+SUMIFS(HY!$G$554:$AN$554,HY!$G$9:$AN$9,FY!J$2)</f>
        <v>12.391999999999999</v>
      </c>
      <c r="K84" s="17">
        <f>SUMIFS(HY!$G$552:$AN$552,HY!$G$9:$AN$9,FY!K$2)+SUMIFS(HY!$G$554:$AN$554,HY!$G$9:$AN$9,FY!K$2)</f>
        <v>-4.2999999999999997E-2</v>
      </c>
      <c r="L84" s="17">
        <f>SUMIFS(HY!$G$552:$AN$552,HY!$G$9:$AN$9,FY!L$2)+SUMIFS(HY!$G$554:$AN$554,HY!$G$9:$AN$9,FY!L$2)</f>
        <v>0</v>
      </c>
      <c r="M84" s="17">
        <f>SUMIFS(HY!$G$552:$AN$552,HY!$G$9:$AN$9,FY!M$2)+SUMIFS(HY!$G$554:$AN$554,HY!$G$9:$AN$9,FY!M$2)</f>
        <v>0</v>
      </c>
      <c r="N84" s="17">
        <f>SUMIFS(HY!$G$552:$AN$552,HY!$G$9:$AN$9,FY!N$2)+SUMIFS(HY!$G$554:$AN$554,HY!$G$9:$AN$9,FY!N$2)</f>
        <v>0</v>
      </c>
      <c r="O84" s="17">
        <f>SUMIFS(HY!$G$552:$AN$552,HY!$G$9:$AN$9,FY!O$2)+SUMIFS(HY!$G$554:$AN$554,HY!$G$9:$AN$9,FY!O$2)</f>
        <v>0</v>
      </c>
      <c r="P84" s="17">
        <f>SUMIFS(HY!$G$552:$AN$552,HY!$G$9:$AN$9,FY!P$2)+SUMIFS(HY!$G$554:$AN$554,HY!$G$9:$AN$9,FY!P$2)</f>
        <v>0</v>
      </c>
      <c r="Q84" s="17">
        <f>SUMIFS(HY!$G$552:$AN$552,HY!$G$9:$AN$9,FY!Q$2)+SUMIFS(HY!$G$554:$AN$554,HY!$G$9:$AN$9,FY!Q$2)</f>
        <v>0</v>
      </c>
      <c r="R84" s="17">
        <f>SUMIFS(HY!$G$552:$AN$552,HY!$G$9:$AN$9,FY!R$2)+SUMIFS(HY!$G$554:$AN$554,HY!$G$9:$AN$9,FY!R$2)</f>
        <v>0</v>
      </c>
      <c r="S84" s="17">
        <f>SUMIFS(HY!$G$552:$AN$552,HY!$G$9:$AN$9,FY!S$2)+SUMIFS(HY!$G$554:$AN$554,HY!$G$9:$AN$9,FY!S$2)</f>
        <v>0</v>
      </c>
      <c r="T84" s="551"/>
    </row>
    <row r="85" spans="1:20">
      <c r="B85" s="19" t="s">
        <v>176</v>
      </c>
      <c r="C85" s="21"/>
      <c r="D85" s="21" t="s">
        <v>176</v>
      </c>
      <c r="E85" s="21" t="s">
        <v>176</v>
      </c>
      <c r="F85" s="21" t="s">
        <v>176</v>
      </c>
      <c r="G85" s="21" t="s">
        <v>176</v>
      </c>
      <c r="H85" s="21" t="s">
        <v>176</v>
      </c>
      <c r="I85" s="21" t="s">
        <v>176</v>
      </c>
      <c r="J85" s="21" t="s">
        <v>176</v>
      </c>
      <c r="K85" s="21" t="s">
        <v>176</v>
      </c>
      <c r="L85" s="21" t="s">
        <v>176</v>
      </c>
      <c r="M85" s="21" t="s">
        <v>176</v>
      </c>
      <c r="N85" s="21" t="s">
        <v>176</v>
      </c>
      <c r="O85" s="21" t="s">
        <v>176</v>
      </c>
      <c r="P85" s="21" t="s">
        <v>176</v>
      </c>
      <c r="Q85" s="21" t="s">
        <v>176</v>
      </c>
      <c r="R85" s="21" t="s">
        <v>176</v>
      </c>
      <c r="S85" s="21" t="s">
        <v>176</v>
      </c>
      <c r="T85" s="555"/>
    </row>
    <row r="86" spans="1:20" s="13" customFormat="1">
      <c r="A86" s="610"/>
      <c r="B86" s="13" t="s">
        <v>1174</v>
      </c>
      <c r="C86" s="24"/>
      <c r="D86" s="24">
        <f>SUMIFS(HY!$G$556:$AD$556,HY!$G$9:$AD$9,FY!D$2)</f>
        <v>-116.483</v>
      </c>
      <c r="E86" s="24">
        <f>SUMIFS(HY!$G$556:$AD$556,HY!$G$9:$AD$9,FY!E$2)</f>
        <v>-99.269000000000005</v>
      </c>
      <c r="F86" s="24">
        <f>SUMIFS(HY!$G$556:$AD$556,HY!$G$9:$AD$9,FY!F$2)</f>
        <v>-251.57900000000004</v>
      </c>
      <c r="G86" s="24">
        <f>SUMIFS(HY!$G$556:$AD$556,HY!$G$9:$AD$9,FY!G$2)</f>
        <v>-31.678999999999995</v>
      </c>
      <c r="H86" s="24">
        <f>SUMIFS(HY!$G$556:$AD$556,HY!$G$9:$AD$9,FY!H$2)</f>
        <v>-51.436000000000007</v>
      </c>
      <c r="I86" s="24">
        <f>SUMIFS(HY!$G$556:$AD$556,HY!$G$9:$AD$9,FY!I$2)</f>
        <v>-319.41200000000003</v>
      </c>
      <c r="J86" s="24">
        <f>SUMIFS(HY!$G$556:$AD$556,HY!$G$9:$AD$9,FY!J$2)</f>
        <v>-94.698000000000008</v>
      </c>
      <c r="K86" s="24">
        <f>SUMIFS(HY!$G$556:$AD$556,HY!$G$9:$AD$9,FY!K$2)</f>
        <v>-113.66999999999999</v>
      </c>
      <c r="L86" s="24">
        <f>SUMIFS(HY!$G$556:$AD$556,HY!$G$9:$AD$9,FY!L$2)</f>
        <v>195.64666</v>
      </c>
      <c r="M86" s="24">
        <f>SUMIFS(HY!$G$556:$AD$556,HY!$G$9:$AD$9,FY!M$2)</f>
        <v>-77.365100699999999</v>
      </c>
      <c r="N86" s="24">
        <f>SUMIFS(HY!$G$556:$AD$556,HY!$G$9:$AD$9,FY!N$2)</f>
        <v>-80.938069874999997</v>
      </c>
      <c r="O86" s="24">
        <f>SUMIFS(HY!$G$556:$AD$556,HY!$G$9:$AD$9,FY!O$2)</f>
        <v>-84.22416400022999</v>
      </c>
      <c r="P86" s="24">
        <f>SUMIFS(HY!$G$556:$AD$556,HY!$G$9:$AD$9,FY!P$2)</f>
        <v>0</v>
      </c>
      <c r="Q86" s="24">
        <f>SUMIFS(HY!$G$556:$AD$556,HY!$G$9:$AD$9,FY!Q$2)</f>
        <v>0</v>
      </c>
      <c r="R86" s="24">
        <f>SUMIFS(HY!$G$556:$AD$556,HY!$G$9:$AD$9,FY!R$2)</f>
        <v>0</v>
      </c>
      <c r="S86" s="24">
        <f>SUMIFS(HY!$G$556:$AD$556,HY!$G$9:$AD$9,FY!S$2)</f>
        <v>0</v>
      </c>
      <c r="T86" s="552"/>
    </row>
    <row r="87" spans="1:20">
      <c r="B87" s="9" t="s">
        <v>1175</v>
      </c>
      <c r="C87" s="18"/>
      <c r="D87" s="18"/>
      <c r="E87" s="18">
        <f t="shared" ref="E87:O87" si="32">(E86/D86)-1</f>
        <v>-0.14778122129409443</v>
      </c>
      <c r="F87" s="18">
        <f t="shared" si="32"/>
        <v>1.5343158488551314</v>
      </c>
      <c r="G87" s="18">
        <f t="shared" si="32"/>
        <v>-0.87407931504616843</v>
      </c>
      <c r="H87" s="18">
        <f t="shared" si="32"/>
        <v>0.62366236307964318</v>
      </c>
      <c r="I87" s="18">
        <f t="shared" si="32"/>
        <v>5.2098919045026824</v>
      </c>
      <c r="J87" s="18">
        <f t="shared" si="32"/>
        <v>-0.7035239753046223</v>
      </c>
      <c r="K87" s="18">
        <f t="shared" si="32"/>
        <v>0.20034214027751363</v>
      </c>
      <c r="L87" s="18">
        <f t="shared" si="32"/>
        <v>-2.7211811383830389</v>
      </c>
      <c r="M87" s="18">
        <f t="shared" si="32"/>
        <v>-1.3954327699741973</v>
      </c>
      <c r="N87" s="18">
        <f t="shared" si="32"/>
        <v>4.618321623925703E-2</v>
      </c>
      <c r="O87" s="18">
        <f t="shared" si="32"/>
        <v>4.0600104874072285E-2</v>
      </c>
      <c r="P87" s="18">
        <f t="shared" ref="P87" si="33">(P86/O86)-1</f>
        <v>-1</v>
      </c>
      <c r="Q87" s="18" t="e">
        <f t="shared" ref="Q87" si="34">(Q86/P86)-1</f>
        <v>#DIV/0!</v>
      </c>
      <c r="R87" s="18" t="e">
        <f t="shared" ref="R87" si="35">(R86/Q86)-1</f>
        <v>#DIV/0!</v>
      </c>
      <c r="S87" s="18" t="e">
        <f t="shared" ref="S87" si="36">(S86/R86)-1</f>
        <v>#DIV/0!</v>
      </c>
      <c r="T87" s="553"/>
    </row>
    <row r="88" spans="1:20">
      <c r="C88" s="33"/>
      <c r="D88" s="33"/>
      <c r="E88" s="33"/>
      <c r="F88" s="33"/>
      <c r="G88" s="33"/>
      <c r="H88" s="33"/>
      <c r="I88" s="33"/>
      <c r="J88" s="33"/>
      <c r="K88" s="33"/>
      <c r="L88" s="33"/>
      <c r="M88" s="33"/>
      <c r="N88" s="33"/>
      <c r="O88" s="33"/>
      <c r="P88" s="33"/>
      <c r="Q88" s="33"/>
      <c r="R88" s="33"/>
      <c r="S88" s="33"/>
      <c r="T88" s="556"/>
    </row>
    <row r="89" spans="1:20">
      <c r="B89" s="9" t="s">
        <v>1176</v>
      </c>
      <c r="C89" s="17"/>
      <c r="D89" s="17">
        <f>SUMIFS(HY!$G$565:$AN$565,HY!$G$9:$AN$9,FY!D$2)</f>
        <v>36.586999999999989</v>
      </c>
      <c r="E89" s="17">
        <f>SUMIFS(HY!$G$565:$AN$565,HY!$G$9:$AN$9,FY!E$2)</f>
        <v>92.873000000000047</v>
      </c>
      <c r="F89" s="17">
        <f>SUMIFS(HY!$G$565:$AN$565,HY!$G$9:$AN$9,FY!F$2)</f>
        <v>-30.11099999999999</v>
      </c>
      <c r="G89" s="17">
        <f>SUMIFS(HY!$G$565:$AN$565,HY!$G$9:$AN$9,FY!G$2)</f>
        <v>42.676000000000045</v>
      </c>
      <c r="H89" s="17">
        <f>SUMIFS(HY!$G$565:$AN$565,HY!$G$9:$AN$9,FY!H$2)</f>
        <v>40.886999999999944</v>
      </c>
      <c r="I89" s="17">
        <f>SUMIFS(HY!$G$565:$AN$565,HY!$G$9:$AN$9,FY!I$2)</f>
        <v>39.563999999999965</v>
      </c>
      <c r="J89" s="17">
        <f>SUMIFS(HY!$G$565:$AN$565,HY!$G$9:$AN$9,FY!J$2)</f>
        <v>47.54099999999994</v>
      </c>
      <c r="K89" s="17">
        <f>SUMIFS(HY!$G$565:$AN$565,HY!$G$9:$AN$9,FY!K$2)</f>
        <v>-150.0140000000001</v>
      </c>
      <c r="L89" s="17">
        <f>SUMIFS(HY!$G$565:$AN$565,HY!$G$9:$AN$9,FY!L$2)</f>
        <v>-285</v>
      </c>
      <c r="M89" s="17">
        <f>SUMIFS(HY!$G$565:$AN$565,HY!$G$9:$AN$9,FY!M$2)</f>
        <v>0</v>
      </c>
      <c r="N89" s="17">
        <f>SUMIFS(HY!$G$565:$AN$565,HY!$G$9:$AN$9,FY!N$2)</f>
        <v>0</v>
      </c>
      <c r="O89" s="17">
        <f>SUMIFS(HY!$G$565:$AN$565,HY!$G$9:$AN$9,FY!O$2)</f>
        <v>0</v>
      </c>
      <c r="P89" s="17">
        <f>SUMIFS(HY!$G$565:$AN$565,HY!$G$9:$AN$9,FY!P$2)</f>
        <v>0</v>
      </c>
      <c r="Q89" s="17">
        <f>SUMIFS(HY!$G$565:$AN$565,HY!$G$9:$AN$9,FY!Q$2)</f>
        <v>0</v>
      </c>
      <c r="R89" s="17">
        <f>SUMIFS(HY!$G$565:$AN$565,HY!$G$9:$AN$9,FY!R$2)</f>
        <v>0</v>
      </c>
      <c r="S89" s="17">
        <f>SUMIFS(HY!$G$565:$AN$565,HY!$G$9:$AN$9,FY!S$2)</f>
        <v>0</v>
      </c>
      <c r="T89" s="551"/>
    </row>
    <row r="90" spans="1:20">
      <c r="B90" s="9" t="s">
        <v>238</v>
      </c>
      <c r="C90" s="17"/>
      <c r="D90" s="17">
        <f>SUMIFS(HY!$G$561:$AN$561,HY!$G$9:$AN$9,FY!D$2)</f>
        <v>0</v>
      </c>
      <c r="E90" s="17">
        <f>SUMIFS(HY!$G$561:$AN$561,HY!$G$9:$AN$9,FY!E$2)</f>
        <v>177.59700000000001</v>
      </c>
      <c r="F90" s="17">
        <f>SUMIFS(HY!$G$561:$AN$561,HY!$G$9:$AN$9,FY!F$2)</f>
        <v>48.737000000000002</v>
      </c>
      <c r="G90" s="17">
        <f>SUMIFS(HY!$G$561:$AN$561,HY!$G$9:$AN$9,FY!G$2)</f>
        <v>0</v>
      </c>
      <c r="H90" s="17">
        <f>SUMIFS(HY!$G$561:$AN$561,HY!$G$9:$AN$9,FY!H$2)</f>
        <v>0</v>
      </c>
      <c r="I90" s="17">
        <f>SUMIFS(HY!$G$561:$AN$561,HY!$G$9:$AN$9,FY!I$2)</f>
        <v>0</v>
      </c>
      <c r="J90" s="17">
        <f>SUMIFS(HY!$G$561:$AN$561,HY!$G$9:$AN$9,FY!J$2)</f>
        <v>0</v>
      </c>
      <c r="K90" s="17">
        <f>SUMIFS(HY!$G$561:$AN$561,HY!$G$9:$AN$9,FY!K$2)</f>
        <v>229.02699999999999</v>
      </c>
      <c r="L90" s="17">
        <f>SUMIFS(HY!$G$561:$AN$561,HY!$G$9:$AN$9,FY!L$2)</f>
        <v>0</v>
      </c>
      <c r="M90" s="17">
        <f>SUMIFS(HY!$G$561:$AN$561,HY!$G$9:$AN$9,FY!M$2)</f>
        <v>0</v>
      </c>
      <c r="N90" s="17">
        <f>SUMIFS(HY!$G$561:$AN$561,HY!$G$9:$AN$9,FY!N$2)</f>
        <v>0</v>
      </c>
      <c r="O90" s="17">
        <f>SUMIFS(HY!$G$561:$AN$561,HY!$G$9:$AN$9,FY!O$2)</f>
        <v>0</v>
      </c>
      <c r="P90" s="17">
        <f>SUMIFS(HY!$G$561:$AN$561,HY!$G$9:$AN$9,FY!P$2)</f>
        <v>0</v>
      </c>
      <c r="Q90" s="17">
        <f>SUMIFS(HY!$G$561:$AN$561,HY!$G$9:$AN$9,FY!Q$2)</f>
        <v>0</v>
      </c>
      <c r="R90" s="17">
        <f>SUMIFS(HY!$G$561:$AN$561,HY!$G$9:$AN$9,FY!R$2)</f>
        <v>0</v>
      </c>
      <c r="S90" s="17">
        <f>SUMIFS(HY!$G$561:$AN$561,HY!$G$9:$AN$9,FY!S$2)</f>
        <v>0</v>
      </c>
      <c r="T90" s="551"/>
    </row>
    <row r="91" spans="1:20">
      <c r="B91" s="9" t="s">
        <v>242</v>
      </c>
      <c r="C91" s="17"/>
      <c r="D91" s="17">
        <f>SUMIFS(HY!$G$562:$AN$562,HY!$G$9:$AN$9,FY!D$2)</f>
        <v>0</v>
      </c>
      <c r="E91" s="17">
        <f>SUMIFS(HY!$G$562:$AN$562,HY!$G$9:$AN$9,FY!E$2)</f>
        <v>-19.992999999999999</v>
      </c>
      <c r="F91" s="17">
        <f>SUMIFS(HY!$G$562:$AN$562,HY!$G$9:$AN$9,FY!F$2)</f>
        <v>0</v>
      </c>
      <c r="G91" s="17">
        <f>SUMIFS(HY!$G$562:$AN$562,HY!$G$9:$AN$9,FY!G$2)</f>
        <v>0</v>
      </c>
      <c r="H91" s="17">
        <f>SUMIFS(HY!$G$562:$AN$562,HY!$G$9:$AN$9,FY!H$2)</f>
        <v>0</v>
      </c>
      <c r="I91" s="17">
        <f>SUMIFS(HY!$G$562:$AN$562,HY!$G$9:$AN$9,FY!I$2)</f>
        <v>0</v>
      </c>
      <c r="J91" s="17">
        <f>SUMIFS(HY!$G$562:$AN$562,HY!$G$9:$AN$9,FY!J$2)</f>
        <v>0</v>
      </c>
      <c r="K91" s="17">
        <f>SUMIFS(HY!$G$562:$AN$562,HY!$G$9:$AN$9,FY!K$2)</f>
        <v>0</v>
      </c>
      <c r="L91" s="17">
        <f>SUMIFS(HY!$G$562:$AN$562,HY!$G$9:$AN$9,FY!L$2)</f>
        <v>0</v>
      </c>
      <c r="M91" s="17">
        <f>SUMIFS(HY!$G$562:$AN$562,HY!$G$9:$AN$9,FY!M$2)</f>
        <v>0</v>
      </c>
      <c r="N91" s="17">
        <f>SUMIFS(HY!$G$562:$AN$562,HY!$G$9:$AN$9,FY!N$2)</f>
        <v>0</v>
      </c>
      <c r="O91" s="17">
        <f>SUMIFS(HY!$G$562:$AN$562,HY!$G$9:$AN$9,FY!O$2)</f>
        <v>0</v>
      </c>
      <c r="P91" s="17">
        <f>SUMIFS(HY!$G$562:$AN$562,HY!$G$9:$AN$9,FY!P$2)</f>
        <v>0</v>
      </c>
      <c r="Q91" s="17">
        <f>SUMIFS(HY!$G$562:$AN$562,HY!$G$9:$AN$9,FY!Q$2)</f>
        <v>0</v>
      </c>
      <c r="R91" s="17">
        <f>SUMIFS(HY!$G$562:$AN$562,HY!$G$9:$AN$9,FY!R$2)</f>
        <v>0</v>
      </c>
      <c r="S91" s="17">
        <f>SUMIFS(HY!$G$562:$AN$562,HY!$G$9:$AN$9,FY!S$2)</f>
        <v>0</v>
      </c>
      <c r="T91" s="551"/>
    </row>
    <row r="92" spans="1:20">
      <c r="B92" s="9" t="s">
        <v>1177</v>
      </c>
      <c r="C92" s="17"/>
      <c r="D92" s="17">
        <f>SUMIFS(HY!$G$563:$AN$563,HY!$G$9:$AN$9,FY!D$2)</f>
        <v>-127.098</v>
      </c>
      <c r="E92" s="17">
        <f>SUMIFS(HY!$G$563:$AN$563,HY!$G$9:$AN$9,FY!E$2)</f>
        <v>-133.28800000000001</v>
      </c>
      <c r="F92" s="17">
        <f>SUMIFS(HY!$G$563:$AN$563,HY!$G$9:$AN$9,FY!F$2)</f>
        <v>0</v>
      </c>
      <c r="G92" s="17">
        <f>SUMIFS(HY!$G$563:$AN$563,HY!$G$9:$AN$9,FY!G$2)</f>
        <v>-53.082000000000001</v>
      </c>
      <c r="H92" s="17">
        <f>SUMIFS(HY!$G$563:$AN$563,HY!$G$9:$AN$9,FY!H$2)</f>
        <v>-45.533000000000001</v>
      </c>
      <c r="I92" s="17">
        <f>SUMIFS(HY!$G$563:$AN$563,HY!$G$9:$AN$9,FY!I$2)</f>
        <v>-85.382000000000005</v>
      </c>
      <c r="J92" s="17">
        <f>SUMIFS(HY!$G$563:$AN$563,HY!$G$9:$AN$9,FY!J$2)</f>
        <v>0</v>
      </c>
      <c r="K92" s="17">
        <f>SUMIFS(HY!$G$563:$AN$563,HY!$G$9:$AN$9,FY!K$2)</f>
        <v>0</v>
      </c>
      <c r="L92" s="17">
        <f>SUMIFS(HY!$G$563:$AN$563,HY!$G$9:$AN$9,FY!L$2)</f>
        <v>0</v>
      </c>
      <c r="M92" s="17">
        <f>SUMIFS(HY!$G$563:$AN$563,HY!$G$9:$AN$9,FY!M$2)</f>
        <v>0</v>
      </c>
      <c r="N92" s="17">
        <f>SUMIFS(HY!$G$563:$AN$563,HY!$G$9:$AN$9,FY!N$2)</f>
        <v>0</v>
      </c>
      <c r="O92" s="17">
        <f>SUMIFS(HY!$G$563:$AN$563,HY!$G$9:$AN$9,FY!O$2)</f>
        <v>0</v>
      </c>
      <c r="P92" s="17">
        <f>SUMIFS(HY!$G$563:$AN$563,HY!$G$9:$AN$9,FY!P$2)</f>
        <v>-71.215087646568819</v>
      </c>
      <c r="Q92" s="17">
        <f>SUMIFS(HY!$G$563:$AN$563,HY!$G$9:$AN$9,FY!Q$2)</f>
        <v>-78.193090968036728</v>
      </c>
      <c r="R92" s="17">
        <f>SUMIFS(HY!$G$563:$AN$563,HY!$G$9:$AN$9,FY!R$2)</f>
        <v>-85.079344867908162</v>
      </c>
      <c r="S92" s="17">
        <f>SUMIFS(HY!$G$563:$AN$563,HY!$G$9:$AN$9,FY!S$2)</f>
        <v>-90.707364012277765</v>
      </c>
      <c r="T92" s="551"/>
    </row>
    <row r="93" spans="1:20">
      <c r="B93" s="9" t="s">
        <v>1178</v>
      </c>
      <c r="C93" s="17"/>
      <c r="D93" s="17">
        <f>SUMIFS(HY!$G$564:$AN$564,HY!$G$9:$AN$9,FY!D$2)</f>
        <v>0</v>
      </c>
      <c r="E93" s="17">
        <f>SUMIFS(HY!$G$564:$AN$564,HY!$G$9:$AN$9,FY!E$2)</f>
        <v>0</v>
      </c>
      <c r="F93" s="17">
        <f>SUMIFS(HY!$G$564:$AN$564,HY!$G$9:$AN$9,FY!F$2)</f>
        <v>0</v>
      </c>
      <c r="G93" s="17">
        <f>SUMIFS(HY!$G$564:$AN$564,HY!$G$9:$AN$9,FY!G$2)</f>
        <v>0</v>
      </c>
      <c r="H93" s="17">
        <f>SUMIFS(HY!$G$564:$AN$564,HY!$G$9:$AN$9,FY!H$2)</f>
        <v>0</v>
      </c>
      <c r="I93" s="17">
        <f>SUMIFS(HY!$G$564:$AN$564,HY!$G$9:$AN$9,FY!I$2)</f>
        <v>0</v>
      </c>
      <c r="J93" s="17">
        <f>SUMIFS(HY!$G$564:$AN$564,HY!$G$9:$AN$9,FY!J$2)</f>
        <v>0</v>
      </c>
      <c r="K93" s="17">
        <f>SUMIFS(HY!$G$564:$AN$564,HY!$G$9:$AN$9,FY!K$2)</f>
        <v>0</v>
      </c>
      <c r="L93" s="17">
        <f>SUMIFS(HY!$G$564:$AN$564,HY!$G$9:$AN$9,FY!L$2)</f>
        <v>0</v>
      </c>
      <c r="M93" s="17">
        <f>SUMIFS(HY!$G$564:$AN$564,HY!$G$9:$AN$9,FY!M$2)</f>
        <v>0</v>
      </c>
      <c r="N93" s="17">
        <f>SUMIFS(HY!$G$564:$AN$564,HY!$G$9:$AN$9,FY!N$2)</f>
        <v>0</v>
      </c>
      <c r="O93" s="17">
        <f>SUMIFS(HY!$G$564:$AN$564,HY!$G$9:$AN$9,FY!O$2)</f>
        <v>0</v>
      </c>
      <c r="P93" s="17">
        <f>SUMIFS(HY!$G$564:$AN$564,HY!$G$9:$AN$9,FY!P$2)</f>
        <v>0</v>
      </c>
      <c r="Q93" s="17">
        <f>SUMIFS(HY!$G$564:$AN$564,HY!$G$9:$AN$9,FY!Q$2)</f>
        <v>0</v>
      </c>
      <c r="R93" s="17">
        <f>SUMIFS(HY!$G$564:$AN$564,HY!$G$9:$AN$9,FY!R$2)</f>
        <v>0</v>
      </c>
      <c r="S93" s="17">
        <f>SUMIFS(HY!$G$564:$AN$564,HY!$G$9:$AN$9,FY!S$2)</f>
        <v>0</v>
      </c>
      <c r="T93" s="551"/>
    </row>
    <row r="94" spans="1:20">
      <c r="B94" s="9" t="s">
        <v>110</v>
      </c>
      <c r="C94" s="17"/>
      <c r="D94" s="17">
        <f>SUMIFS(HY!$G$566:$AN$566,HY!$G$9:$AN$9,FY!D$2)</f>
        <v>-80.434000000000026</v>
      </c>
      <c r="E94" s="17">
        <f>SUMIFS(HY!$G$566:$AN$566,HY!$G$9:$AN$9,FY!E$2)</f>
        <v>-126.49600000000005</v>
      </c>
      <c r="F94" s="17">
        <f>SUMIFS(HY!$G$566:$AN$566,HY!$G$9:$AN$9,FY!F$2)</f>
        <v>-57.202000000000019</v>
      </c>
      <c r="G94" s="17">
        <f>SUMIFS(HY!$G$566:$AN$566,HY!$G$9:$AN$9,FY!G$2)</f>
        <v>-52.179000000000045</v>
      </c>
      <c r="H94" s="17">
        <f>SUMIFS(HY!$G$566:$AN$566,HY!$G$9:$AN$9,FY!H$2)</f>
        <v>-33.864999999999938</v>
      </c>
      <c r="I94" s="17">
        <f>SUMIFS(HY!$G$566:$AN$566,HY!$G$9:$AN$9,FY!I$2)</f>
        <v>-29.07199999999996</v>
      </c>
      <c r="J94" s="17">
        <f>SUMIFS(HY!$G$566:$AN$566,HY!$G$9:$AN$9,FY!J$2)</f>
        <v>19.73300000000005</v>
      </c>
      <c r="K94" s="17">
        <f>SUMIFS(HY!$G$566:$AN$566,HY!$G$9:$AN$9,FY!K$2)</f>
        <v>-12.090999999999912</v>
      </c>
      <c r="L94" s="17">
        <f>SUMIFS(HY!$G$566:$AN$566,HY!$G$9:$AN$9,FY!L$2)</f>
        <v>0</v>
      </c>
      <c r="M94" s="17">
        <f>SUMIFS(HY!$G$566:$AN$566,HY!$G$9:$AN$9,FY!M$2)</f>
        <v>0</v>
      </c>
      <c r="N94" s="17">
        <f>SUMIFS(HY!$G$566:$AN$566,HY!$G$9:$AN$9,FY!N$2)</f>
        <v>0</v>
      </c>
      <c r="O94" s="17">
        <f>SUMIFS(HY!$G$566:$AN$566,HY!$G$9:$AN$9,FY!O$2)</f>
        <v>0</v>
      </c>
      <c r="P94" s="17">
        <f>SUMIFS(HY!$G$566:$AN$566,HY!$G$9:$AN$9,FY!P$2)</f>
        <v>0</v>
      </c>
      <c r="Q94" s="17">
        <f>SUMIFS(HY!$G$566:$AN$566,HY!$G$9:$AN$9,FY!Q$2)</f>
        <v>0</v>
      </c>
      <c r="R94" s="17">
        <f>SUMIFS(HY!$G$566:$AN$566,HY!$G$9:$AN$9,FY!R$2)</f>
        <v>0</v>
      </c>
      <c r="S94" s="17">
        <f>SUMIFS(HY!$G$566:$AN$566,HY!$G$9:$AN$9,FY!S$2)</f>
        <v>0</v>
      </c>
      <c r="T94" s="551"/>
    </row>
    <row r="95" spans="1:20">
      <c r="B95" s="19" t="s">
        <v>176</v>
      </c>
      <c r="C95" s="21"/>
      <c r="D95" s="21" t="s">
        <v>176</v>
      </c>
      <c r="E95" s="21" t="s">
        <v>176</v>
      </c>
      <c r="F95" s="21" t="s">
        <v>176</v>
      </c>
      <c r="G95" s="21" t="s">
        <v>176</v>
      </c>
      <c r="H95" s="21" t="s">
        <v>176</v>
      </c>
      <c r="I95" s="21" t="s">
        <v>176</v>
      </c>
      <c r="J95" s="21" t="s">
        <v>176</v>
      </c>
      <c r="K95" s="21" t="s">
        <v>176</v>
      </c>
      <c r="L95" s="21" t="s">
        <v>176</v>
      </c>
      <c r="M95" s="21" t="s">
        <v>176</v>
      </c>
      <c r="N95" s="21" t="s">
        <v>176</v>
      </c>
      <c r="O95" s="21" t="s">
        <v>176</v>
      </c>
      <c r="P95" s="21" t="s">
        <v>176</v>
      </c>
      <c r="Q95" s="21" t="s">
        <v>176</v>
      </c>
      <c r="R95" s="21" t="s">
        <v>176</v>
      </c>
      <c r="S95" s="21" t="s">
        <v>176</v>
      </c>
      <c r="T95" s="555"/>
    </row>
    <row r="96" spans="1:20" s="13" customFormat="1">
      <c r="A96" s="610"/>
      <c r="B96" s="13" t="s">
        <v>1179</v>
      </c>
      <c r="C96" s="24"/>
      <c r="D96" s="24">
        <f>SUMIFS(HY!$G$567:$AN$567,HY!$G$9:$AN$9,FY!D$2)</f>
        <v>-170.94500000000002</v>
      </c>
      <c r="E96" s="24">
        <f>SUMIFS(HY!$G$567:$AN$567,HY!$G$9:$AN$9,FY!E$2)</f>
        <v>-9.3070000000000022</v>
      </c>
      <c r="F96" s="24">
        <f>SUMIFS(HY!$G$567:$AN$567,HY!$G$9:$AN$9,FY!F$2)</f>
        <v>-38.576000000000008</v>
      </c>
      <c r="G96" s="24">
        <f>SUMIFS(HY!$G$567:$AN$567,HY!$G$9:$AN$9,FY!G$2)</f>
        <v>-62.585000000000001</v>
      </c>
      <c r="H96" s="24">
        <f>SUMIFS(HY!$G$567:$AN$567,HY!$G$9:$AN$9,FY!H$2)</f>
        <v>-38.510999999999996</v>
      </c>
      <c r="I96" s="24">
        <f>SUMIFS(HY!$G$567:$AN$567,HY!$G$9:$AN$9,FY!I$2)</f>
        <v>-74.89</v>
      </c>
      <c r="J96" s="24">
        <f>SUMIFS(HY!$G$567:$AN$567,HY!$G$9:$AN$9,FY!J$2)</f>
        <v>40.499000000000002</v>
      </c>
      <c r="K96" s="24">
        <f>SUMIFS(HY!$G$567:$AN$567,HY!$G$9:$AN$9,FY!K$2)</f>
        <v>24.91</v>
      </c>
      <c r="L96" s="24">
        <f>SUMIFS(HY!$G$567:$AN$567,HY!$G$9:$AN$9,FY!L$2)</f>
        <v>-311.72411404815125</v>
      </c>
      <c r="M96" s="24">
        <f>SUMIFS(HY!$G$567:$AN$567,HY!$G$9:$AN$9,FY!M$2)</f>
        <v>-21.935186810000655</v>
      </c>
      <c r="N96" s="24">
        <f>SUMIFS(HY!$G$567:$AN$567,HY!$G$9:$AN$9,FY!N$2)</f>
        <v>-19.650921251912443</v>
      </c>
      <c r="O96" s="24">
        <f>SUMIFS(HY!$G$567:$AN$567,HY!$G$9:$AN$9,FY!O$2)</f>
        <v>-16.707393769213969</v>
      </c>
      <c r="P96" s="24">
        <f>SUMIFS(HY!$G$567:$AN$567,HY!$G$9:$AN$9,FY!P$2)</f>
        <v>-85.19439474361215</v>
      </c>
      <c r="Q96" s="24">
        <f>SUMIFS(HY!$G$567:$AN$567,HY!$G$9:$AN$9,FY!Q$2)</f>
        <v>-91.01251452348636</v>
      </c>
      <c r="R96" s="24">
        <f>SUMIFS(HY!$G$567:$AN$567,HY!$G$9:$AN$9,FY!R$2)</f>
        <v>-96.750654621075768</v>
      </c>
      <c r="S96" s="24">
        <f>SUMIFS(HY!$G$567:$AN$567,HY!$G$9:$AN$9,FY!S$2)</f>
        <v>-101.32701141954196</v>
      </c>
      <c r="T96" s="552"/>
    </row>
    <row r="97" spans="1:20">
      <c r="C97" s="17"/>
      <c r="D97" s="17"/>
      <c r="E97" s="17"/>
      <c r="F97" s="17"/>
      <c r="G97" s="17"/>
      <c r="H97" s="17"/>
      <c r="I97" s="17"/>
      <c r="J97" s="17"/>
      <c r="K97" s="17"/>
      <c r="L97" s="17"/>
      <c r="M97" s="17"/>
      <c r="N97" s="17"/>
      <c r="O97" s="17"/>
      <c r="P97" s="17"/>
      <c r="Q97" s="17"/>
      <c r="R97" s="17"/>
      <c r="S97" s="17"/>
      <c r="T97" s="551"/>
    </row>
    <row r="98" spans="1:20">
      <c r="B98" s="9" t="s">
        <v>1180</v>
      </c>
      <c r="C98" s="17"/>
      <c r="D98" s="17">
        <f>SUMIFS(HY!$G$570:$AN$570,HY!$G$9:$AN$9,FY!D$2)</f>
        <v>-34.381</v>
      </c>
      <c r="E98" s="17">
        <f>SUMIFS(HY!$G$570:$AN$570,HY!$G$9:$AN$9,FY!E$2)</f>
        <v>12.649999999999991</v>
      </c>
      <c r="F98" s="17">
        <f>SUMIFS(HY!$G$570:$AN$570,HY!$G$9:$AN$9,FY!F$2)</f>
        <v>-4.2839999999999918</v>
      </c>
      <c r="G98" s="17">
        <f>SUMIFS(HY!$G$570:$AN$570,HY!$G$9:$AN$9,FY!G$2)</f>
        <v>-1.2420000000000009</v>
      </c>
      <c r="H98" s="17">
        <f>SUMIFS(HY!$G$570:$AN$570,HY!$G$9:$AN$9,FY!H$2)</f>
        <v>196.315</v>
      </c>
      <c r="I98" s="17">
        <f>SUMIFS(HY!$G$570:$AN$570,HY!$G$9:$AN$9,FY!I$2)</f>
        <v>-184.477</v>
      </c>
      <c r="J98" s="17">
        <f>SUMIFS(HY!$G$570:$AN$570,HY!$G$9:$AN$9,FY!J$2)</f>
        <v>-9.0370000000000026</v>
      </c>
      <c r="K98" s="17">
        <f>SUMIFS(HY!$G$570:$AN$570,HY!$G$9:$AN$9,FY!K$2)</f>
        <v>32.916000000000011</v>
      </c>
      <c r="L98" s="17">
        <f>SUMIFS(HY!$G$570:$AN$570,HY!$G$9:$AN$9,FY!L$2)</f>
        <v>8.7291624475767691</v>
      </c>
      <c r="M98" s="17">
        <f>SUMIFS(HY!$G$570:$AN$570,HY!$G$9:$AN$9,FY!M$2)</f>
        <v>62.932440947483705</v>
      </c>
      <c r="N98" s="17">
        <f>SUMIFS(HY!$G$570:$AN$570,HY!$G$9:$AN$9,FY!N$2)</f>
        <v>92.487067818247709</v>
      </c>
      <c r="O98" s="17">
        <f>SUMIFS(HY!$G$570:$AN$570,HY!$G$9:$AN$9,FY!O$2)</f>
        <v>106.40562816263753</v>
      </c>
      <c r="P98" s="17">
        <f>SUMIFS(HY!$G$570:$AN$570,HY!$G$9:$AN$9,FY!P$2)</f>
        <v>40.395497885742756</v>
      </c>
      <c r="Q98" s="17">
        <f>SUMIFS(HY!$G$570:$AN$570,HY!$G$9:$AN$9,FY!Q$2)</f>
        <v>37.183655850200594</v>
      </c>
      <c r="R98" s="17">
        <f>SUMIFS(HY!$G$570:$AN$570,HY!$G$9:$AN$9,FY!R$2)</f>
        <v>36.610240156738854</v>
      </c>
      <c r="S98" s="17">
        <f>SUMIFS(HY!$G$570:$AN$570,HY!$G$9:$AN$9,FY!S$2)</f>
        <v>32.204457583529006</v>
      </c>
      <c r="T98" s="551"/>
    </row>
    <row r="99" spans="1:20">
      <c r="B99" s="9" t="s">
        <v>1181</v>
      </c>
      <c r="C99" s="17"/>
      <c r="D99" s="17">
        <f>SUMIFS(HY!$G$571:$AN$571,HY!$G$9:$AN$9,FY!D$2)</f>
        <v>0</v>
      </c>
      <c r="E99" s="17">
        <f>SUMIFS(HY!$G$571:$AN$571,HY!$G$9:$AN$9,FY!E$2)</f>
        <v>0</v>
      </c>
      <c r="F99" s="17">
        <f>SUMIFS(HY!$G$571:$AN$571,HY!$G$9:$AN$9,FY!F$2)</f>
        <v>0</v>
      </c>
      <c r="G99" s="17">
        <f>SUMIFS(HY!$G$571:$AN$571,HY!$G$9:$AN$9,FY!G$2)</f>
        <v>0</v>
      </c>
      <c r="H99" s="17">
        <f>SUMIFS(HY!$G$571:$AN$571,HY!$G$9:$AN$9,FY!H$2)</f>
        <v>0</v>
      </c>
      <c r="I99" s="17">
        <f>SUMIFS(HY!$G$571:$AN$571,HY!$G$9:$AN$9,FY!I$2)</f>
        <v>0</v>
      </c>
      <c r="J99" s="17">
        <f>SUMIFS(HY!$G$571:$AN$571,HY!$G$9:$AN$9,FY!J$2)</f>
        <v>0</v>
      </c>
      <c r="K99" s="17">
        <f>SUMIFS(HY!$G$571:$AN$571,HY!$G$9:$AN$9,FY!K$2)</f>
        <v>0</v>
      </c>
      <c r="L99" s="17">
        <f>SUMIFS(HY!$G$571:$AN$571,HY!$G$9:$AN$9,FY!L$2)</f>
        <v>0</v>
      </c>
      <c r="M99" s="17">
        <f>SUMIFS(HY!$G$571:$AN$571,HY!$G$9:$AN$9,FY!M$2)</f>
        <v>0</v>
      </c>
      <c r="N99" s="17">
        <f>SUMIFS(HY!$G$571:$AN$571,HY!$G$9:$AN$9,FY!N$2)</f>
        <v>0</v>
      </c>
      <c r="O99" s="17">
        <f>SUMIFS(HY!$G$571:$AN$571,HY!$G$9:$AN$9,FY!O$2)</f>
        <v>0</v>
      </c>
      <c r="P99" s="17">
        <f>SUMIFS(HY!$G$571:$AN$571,HY!$G$9:$AN$9,FY!P$2)</f>
        <v>0</v>
      </c>
      <c r="Q99" s="17">
        <f>SUMIFS(HY!$G$571:$AN$571,HY!$G$9:$AN$9,FY!Q$2)</f>
        <v>0</v>
      </c>
      <c r="R99" s="17">
        <f>SUMIFS(HY!$G$571:$AN$571,HY!$G$9:$AN$9,FY!R$2)</f>
        <v>0</v>
      </c>
      <c r="S99" s="17">
        <f>SUMIFS(HY!$G$571:$AN$571,HY!$G$9:$AN$9,FY!S$2)</f>
        <v>0</v>
      </c>
      <c r="T99" s="551"/>
    </row>
    <row r="100" spans="1:20" s="13" customFormat="1">
      <c r="A100" s="610"/>
      <c r="B100" s="13" t="s">
        <v>1182</v>
      </c>
      <c r="C100" s="24"/>
      <c r="D100" s="24">
        <f t="shared" ref="D100:O100" si="37">D98+D99</f>
        <v>-34.381</v>
      </c>
      <c r="E100" s="24">
        <f t="shared" si="37"/>
        <v>12.649999999999991</v>
      </c>
      <c r="F100" s="24">
        <f t="shared" si="37"/>
        <v>-4.2839999999999918</v>
      </c>
      <c r="G100" s="24">
        <f t="shared" si="37"/>
        <v>-1.2420000000000009</v>
      </c>
      <c r="H100" s="24">
        <f t="shared" si="37"/>
        <v>196.315</v>
      </c>
      <c r="I100" s="24">
        <f t="shared" si="37"/>
        <v>-184.477</v>
      </c>
      <c r="J100" s="24">
        <f t="shared" si="37"/>
        <v>-9.0370000000000026</v>
      </c>
      <c r="K100" s="24">
        <f t="shared" si="37"/>
        <v>32.916000000000011</v>
      </c>
      <c r="L100" s="24">
        <f t="shared" si="37"/>
        <v>8.7291624475767691</v>
      </c>
      <c r="M100" s="24">
        <f t="shared" si="37"/>
        <v>62.932440947483705</v>
      </c>
      <c r="N100" s="24">
        <f t="shared" si="37"/>
        <v>92.487067818247709</v>
      </c>
      <c r="O100" s="24">
        <f t="shared" si="37"/>
        <v>106.40562816263753</v>
      </c>
      <c r="P100" s="24">
        <f t="shared" ref="P100:S100" si="38">P98+P99</f>
        <v>40.395497885742756</v>
      </c>
      <c r="Q100" s="24">
        <f t="shared" si="38"/>
        <v>37.183655850200594</v>
      </c>
      <c r="R100" s="24">
        <f t="shared" si="38"/>
        <v>36.610240156738854</v>
      </c>
      <c r="S100" s="24">
        <f t="shared" si="38"/>
        <v>32.204457583529006</v>
      </c>
      <c r="T100" s="552"/>
    </row>
    <row r="101" spans="1:20">
      <c r="B101" s="9" t="s">
        <v>1183</v>
      </c>
      <c r="C101" s="17"/>
      <c r="D101" s="17">
        <f t="shared" ref="D101:O101" si="39">C102</f>
        <v>75.954999999999998</v>
      </c>
      <c r="E101" s="17">
        <f t="shared" si="39"/>
        <v>41.573999999999998</v>
      </c>
      <c r="F101" s="17">
        <f t="shared" si="39"/>
        <v>54.223999999999997</v>
      </c>
      <c r="G101" s="17">
        <f t="shared" si="39"/>
        <v>49.94</v>
      </c>
      <c r="H101" s="17">
        <f t="shared" si="39"/>
        <v>48.698</v>
      </c>
      <c r="I101" s="17">
        <f t="shared" si="39"/>
        <v>245.01300000000001</v>
      </c>
      <c r="J101" s="17">
        <f t="shared" si="39"/>
        <v>60.536000000000001</v>
      </c>
      <c r="K101" s="17">
        <f t="shared" si="39"/>
        <v>51.499000000000002</v>
      </c>
      <c r="L101" s="17">
        <f t="shared" si="39"/>
        <v>84.415000000000006</v>
      </c>
      <c r="M101" s="17">
        <f t="shared" si="39"/>
        <v>93.144162447576775</v>
      </c>
      <c r="N101" s="17">
        <f t="shared" si="39"/>
        <v>156.07660339506049</v>
      </c>
      <c r="O101" s="17">
        <f t="shared" si="39"/>
        <v>248.56367121330823</v>
      </c>
      <c r="P101" s="17">
        <f t="shared" ref="P101" si="40">O102</f>
        <v>354.96929937594575</v>
      </c>
      <c r="Q101" s="17">
        <f t="shared" ref="Q101" si="41">P102</f>
        <v>395.36479726168852</v>
      </c>
      <c r="R101" s="17">
        <f t="shared" ref="R101" si="42">Q102</f>
        <v>432.5484531118891</v>
      </c>
      <c r="S101" s="17">
        <f t="shared" ref="S101" si="43">R102</f>
        <v>469.15869326862799</v>
      </c>
      <c r="T101" s="551"/>
    </row>
    <row r="102" spans="1:20" s="13" customFormat="1">
      <c r="A102" s="610"/>
      <c r="B102" s="13" t="s">
        <v>1184</v>
      </c>
      <c r="C102" s="24">
        <f>HY!F573</f>
        <v>75.954999999999998</v>
      </c>
      <c r="D102" s="24">
        <f>INDEX(HY!$G573:$AN573,MATCH(D$3,HY!$G$4:$AN$4,0))</f>
        <v>41.573999999999998</v>
      </c>
      <c r="E102" s="24">
        <f>INDEX(HY!$G573:$AN573,MATCH(E$3,HY!$G$4:$AN$4,0))</f>
        <v>54.223999999999997</v>
      </c>
      <c r="F102" s="24">
        <f>INDEX(HY!$G573:$AN573,MATCH(F$3,HY!$G$4:$AN$4,0))</f>
        <v>49.94</v>
      </c>
      <c r="G102" s="24">
        <f>INDEX(HY!$G573:$AN573,MATCH(G$3,HY!$G$4:$AN$4,0))</f>
        <v>48.698</v>
      </c>
      <c r="H102" s="24">
        <f>INDEX(HY!$G573:$AN573,MATCH(H$3,HY!$G$4:$AN$4,0))</f>
        <v>245.01300000000001</v>
      </c>
      <c r="I102" s="24">
        <f>INDEX(HY!$G573:$AN573,MATCH(I$3,HY!$G$4:$AN$4,0))</f>
        <v>60.536000000000001</v>
      </c>
      <c r="J102" s="24">
        <f>INDEX(HY!$G573:$AN573,MATCH(J$3,HY!$G$4:$AN$4,0))</f>
        <v>51.499000000000002</v>
      </c>
      <c r="K102" s="24">
        <f>INDEX(HY!$G573:$AN573,MATCH(K$3,HY!$G$4:$AN$4,0))</f>
        <v>84.415000000000006</v>
      </c>
      <c r="L102" s="24">
        <f>INDEX(HY!$G573:$AN573,MATCH(L$3,HY!$G$4:$AN$4,0))</f>
        <v>93.144162447576775</v>
      </c>
      <c r="M102" s="24">
        <f>INDEX(HY!$G573:$AN573,MATCH(M$3,HY!$G$4:$AN$4,0))</f>
        <v>156.07660339506049</v>
      </c>
      <c r="N102" s="24">
        <f>INDEX(HY!$G573:$AN573,MATCH(N$3,HY!$G$4:$AN$4,0))</f>
        <v>248.56367121330823</v>
      </c>
      <c r="O102" s="24">
        <f>INDEX(HY!$G573:$AN573,MATCH(O$3,HY!$G$4:$AN$4,0))</f>
        <v>354.96929937594575</v>
      </c>
      <c r="P102" s="24">
        <f>INDEX(HY!$G573:$AN573,MATCH(P$3,HY!$G$4:$AN$4,0))</f>
        <v>395.36479726168852</v>
      </c>
      <c r="Q102" s="24">
        <f>INDEX(HY!$G573:$AN573,MATCH(Q$3,HY!$G$4:$AN$4,0))</f>
        <v>432.5484531118891</v>
      </c>
      <c r="R102" s="24">
        <f>INDEX(HY!$G573:$AN573,MATCH(R$3,HY!$G$4:$AN$4,0))</f>
        <v>469.15869326862799</v>
      </c>
      <c r="S102" s="24">
        <f>INDEX(HY!$G573:$AN573,MATCH(S$3,HY!$G$4:$AN$4,0))</f>
        <v>501.36315085215699</v>
      </c>
      <c r="T102" s="552"/>
    </row>
    <row r="103" spans="1:20">
      <c r="C103" s="22"/>
      <c r="D103" s="22"/>
      <c r="E103" s="22"/>
      <c r="F103" s="22"/>
      <c r="G103" s="22"/>
      <c r="H103" s="22"/>
      <c r="I103" s="22"/>
      <c r="J103" s="22"/>
      <c r="K103" s="22"/>
      <c r="L103" s="22"/>
      <c r="M103" s="22"/>
      <c r="N103" s="22"/>
      <c r="O103" s="22"/>
      <c r="P103" s="22"/>
      <c r="Q103" s="22"/>
      <c r="R103" s="22"/>
      <c r="S103" s="22"/>
      <c r="T103" s="557"/>
    </row>
    <row r="104" spans="1:20">
      <c r="B104" s="241" t="s">
        <v>303</v>
      </c>
      <c r="C104" s="22"/>
      <c r="D104" s="240">
        <f t="shared" ref="D104:O104" si="44">D102-(D101+D78+D86+D96)</f>
        <v>0</v>
      </c>
      <c r="E104" s="240">
        <f t="shared" si="44"/>
        <v>0</v>
      </c>
      <c r="F104" s="240">
        <f t="shared" si="44"/>
        <v>0</v>
      </c>
      <c r="G104" s="240">
        <f t="shared" si="44"/>
        <v>0</v>
      </c>
      <c r="H104" s="240">
        <f t="shared" si="44"/>
        <v>0</v>
      </c>
      <c r="I104" s="240">
        <f t="shared" si="44"/>
        <v>0</v>
      </c>
      <c r="J104" s="240">
        <f t="shared" si="44"/>
        <v>0</v>
      </c>
      <c r="K104" s="240">
        <f t="shared" si="44"/>
        <v>0</v>
      </c>
      <c r="L104" s="240">
        <f t="shared" si="44"/>
        <v>0</v>
      </c>
      <c r="M104" s="240">
        <f t="shared" si="44"/>
        <v>0</v>
      </c>
      <c r="N104" s="240">
        <f t="shared" si="44"/>
        <v>0</v>
      </c>
      <c r="O104" s="240">
        <f t="shared" si="44"/>
        <v>0</v>
      </c>
      <c r="P104" s="240">
        <f t="shared" ref="P104:S104" si="45">P102-(P101+P78+P86+P96)</f>
        <v>-87.6511785911066</v>
      </c>
      <c r="Q104" s="240">
        <f t="shared" si="45"/>
        <v>-91.206216798882338</v>
      </c>
      <c r="R104" s="240">
        <f t="shared" si="45"/>
        <v>-94.960296064514296</v>
      </c>
      <c r="S104" s="240">
        <f t="shared" si="45"/>
        <v>-98.310645803343277</v>
      </c>
      <c r="T104" s="558"/>
    </row>
    <row r="105" spans="1:20">
      <c r="C105" s="22"/>
      <c r="D105" s="22"/>
      <c r="E105" s="22"/>
      <c r="F105" s="22"/>
      <c r="G105" s="22"/>
      <c r="H105" s="22"/>
      <c r="I105" s="22"/>
      <c r="J105" s="22"/>
      <c r="K105" s="22"/>
      <c r="L105" s="22"/>
      <c r="M105" s="22"/>
      <c r="N105" s="22"/>
      <c r="O105" s="22"/>
      <c r="P105" s="22"/>
      <c r="Q105" s="22"/>
      <c r="R105" s="22"/>
      <c r="S105" s="22"/>
      <c r="T105" s="557"/>
    </row>
    <row r="106" spans="1:20">
      <c r="A106" s="608" t="s">
        <v>7</v>
      </c>
      <c r="B106" s="517" t="s">
        <v>304</v>
      </c>
      <c r="C106" s="518"/>
      <c r="D106" s="518" t="s">
        <v>1153</v>
      </c>
      <c r="E106" s="518" t="s">
        <v>1154</v>
      </c>
      <c r="F106" s="519">
        <v>2021</v>
      </c>
      <c r="G106" s="519">
        <v>2022</v>
      </c>
      <c r="H106" s="519">
        <v>2023</v>
      </c>
      <c r="I106" s="518">
        <v>2024</v>
      </c>
      <c r="J106" s="518">
        <v>2025</v>
      </c>
      <c r="K106" s="518">
        <v>2026</v>
      </c>
      <c r="L106" s="518">
        <v>2027</v>
      </c>
      <c r="M106" s="518">
        <v>2028</v>
      </c>
      <c r="N106" s="518">
        <v>2029</v>
      </c>
      <c r="O106" s="518">
        <v>2030</v>
      </c>
      <c r="P106" s="518">
        <v>2030</v>
      </c>
      <c r="Q106" s="518">
        <v>2030</v>
      </c>
      <c r="R106" s="518">
        <v>2030</v>
      </c>
      <c r="S106" s="518">
        <v>2030</v>
      </c>
      <c r="T106" s="550"/>
    </row>
    <row r="107" spans="1:20">
      <c r="B107" s="9" t="s">
        <v>263</v>
      </c>
      <c r="C107" s="17"/>
      <c r="D107" s="17">
        <f>INDEX(HY!$G578:$AN578,MATCH(D$3,HY!$G$4:$AN$4,0))</f>
        <v>41.573999999999998</v>
      </c>
      <c r="E107" s="17">
        <f>INDEX(HY!$G578:$AN578,MATCH(E$3,HY!$G$4:$AN$4,0))</f>
        <v>54.223999999999997</v>
      </c>
      <c r="F107" s="17">
        <f>INDEX(HY!$G578:$AN578,MATCH(F$3,HY!$G$4:$AN$4,0))</f>
        <v>49.94</v>
      </c>
      <c r="G107" s="17">
        <f>INDEX(HY!$G578:$AN578,MATCH(G$3,HY!$G$4:$AN$4,0))</f>
        <v>48.698</v>
      </c>
      <c r="H107" s="17">
        <f>INDEX(HY!$G578:$AN578,MATCH(H$3,HY!$G$4:$AN$4,0))</f>
        <v>245.01300000000001</v>
      </c>
      <c r="I107" s="17">
        <f>INDEX(HY!$G578:$AN578,MATCH(I$3,HY!$G$4:$AN$4,0))</f>
        <v>60.536000000000001</v>
      </c>
      <c r="J107" s="17">
        <f>INDEX(HY!$G578:$AN578,MATCH(J$3,HY!$G$4:$AN$4,0))</f>
        <v>51.499000000000002</v>
      </c>
      <c r="K107" s="17">
        <f>INDEX(HY!$G578:$AN578,MATCH(K$3,HY!$G$4:$AN$4,0))</f>
        <v>84.415000000000006</v>
      </c>
      <c r="L107" s="17">
        <f>INDEX(HY!$G578:$AN578,MATCH(L$3,HY!$G$4:$AN$4,0))</f>
        <v>93.144162447576775</v>
      </c>
      <c r="M107" s="17">
        <f>INDEX(HY!$G578:$AN578,MATCH(M$3,HY!$G$4:$AN$4,0))</f>
        <v>156.07660339506049</v>
      </c>
      <c r="N107" s="17">
        <f>INDEX(HY!$G578:$AN578,MATCH(N$3,HY!$G$4:$AN$4,0))</f>
        <v>248.56367121330823</v>
      </c>
      <c r="O107" s="17">
        <f>INDEX(HY!$G578:$AN578,MATCH(O$3,HY!$G$4:$AN$4,0))</f>
        <v>354.96929937594575</v>
      </c>
      <c r="P107" s="17">
        <f>INDEX(HY!$G578:$AN578,MATCH(P$3,HY!$G$4:$AN$4,0))</f>
        <v>395.36479726168852</v>
      </c>
      <c r="Q107" s="17">
        <f>INDEX(HY!$G578:$AN578,MATCH(Q$3,HY!$G$4:$AN$4,0))</f>
        <v>432.5484531118891</v>
      </c>
      <c r="R107" s="17">
        <f>INDEX(HY!$G578:$AN578,MATCH(R$3,HY!$G$4:$AN$4,0))</f>
        <v>469.15869326862799</v>
      </c>
      <c r="S107" s="17">
        <f>INDEX(HY!$G578:$AN578,MATCH(S$3,HY!$G$4:$AN$4,0))</f>
        <v>501.36315085215699</v>
      </c>
      <c r="T107" s="551"/>
    </row>
    <row r="108" spans="1:20">
      <c r="B108" s="9" t="s">
        <v>305</v>
      </c>
      <c r="C108" s="17"/>
      <c r="D108" s="17">
        <f>INDEX(HY!$G579:$AN579,MATCH(D$3,HY!$G$4:$AN$4,0))</f>
        <v>49.292999999999999</v>
      </c>
      <c r="E108" s="17">
        <f>INDEX(HY!$G579:$AN579,MATCH(E$3,HY!$G$4:$AN$4,0))</f>
        <v>42.252000000000002</v>
      </c>
      <c r="F108" s="17">
        <f>INDEX(HY!$G579:$AN579,MATCH(F$3,HY!$G$4:$AN$4,0))</f>
        <v>33.405000000000001</v>
      </c>
      <c r="G108" s="17">
        <f>INDEX(HY!$G579:$AN579,MATCH(G$3,HY!$G$4:$AN$4,0))</f>
        <v>25.826000000000001</v>
      </c>
      <c r="H108" s="17">
        <f>INDEX(HY!$G579:$AN579,MATCH(H$3,HY!$G$4:$AN$4,0))</f>
        <v>50.832999999999998</v>
      </c>
      <c r="I108" s="17">
        <f>INDEX(HY!$G579:$AN579,MATCH(I$3,HY!$G$4:$AN$4,0))</f>
        <v>86.878</v>
      </c>
      <c r="J108" s="17">
        <f>INDEX(HY!$G579:$AN579,MATCH(J$3,HY!$G$4:$AN$4,0))</f>
        <v>23.98</v>
      </c>
      <c r="K108" s="17">
        <f>INDEX(HY!$G579:$AN579,MATCH(K$3,HY!$G$4:$AN$4,0))</f>
        <v>29.821000000000002</v>
      </c>
      <c r="L108" s="17">
        <f>INDEX(HY!$G579:$AN579,MATCH(L$3,HY!$G$4:$AN$4,0))</f>
        <v>30.573345374695865</v>
      </c>
      <c r="M108" s="17">
        <f>INDEX(HY!$G579:$AN579,MATCH(M$3,HY!$G$4:$AN$4,0))</f>
        <v>31.090482660994219</v>
      </c>
      <c r="N108" s="17">
        <f>INDEX(HY!$G579:$AN579,MATCH(N$3,HY!$G$4:$AN$4,0))</f>
        <v>32.506894529890275</v>
      </c>
      <c r="O108" s="17">
        <f>INDEX(HY!$G579:$AN579,MATCH(O$3,HY!$G$4:$AN$4,0))</f>
        <v>33.826365036198901</v>
      </c>
      <c r="P108" s="17">
        <f>INDEX(HY!$G579:$AN579,MATCH(P$3,HY!$G$4:$AN$4,0))</f>
        <v>35.176320252229239</v>
      </c>
      <c r="Q108" s="17">
        <f>INDEX(HY!$G579:$AN579,MATCH(Q$3,HY!$G$4:$AN$4,0))</f>
        <v>36.398778781659225</v>
      </c>
      <c r="R108" s="17">
        <f>INDEX(HY!$G579:$AN579,MATCH(R$3,HY!$G$4:$AN$4,0))</f>
        <v>38.102864015816579</v>
      </c>
      <c r="S108" s="17">
        <f>INDEX(HY!$G579:$AN579,MATCH(S$3,HY!$G$4:$AN$4,0))</f>
        <v>39.442210870117421</v>
      </c>
      <c r="T108" s="551"/>
    </row>
    <row r="109" spans="1:20">
      <c r="B109" s="9" t="s">
        <v>225</v>
      </c>
      <c r="C109" s="17"/>
      <c r="D109" s="17">
        <f>INDEX(HY!$G580:$AN580,MATCH(D$3,HY!$G$4:$AN$4,0))</f>
        <v>6.4589999999999996</v>
      </c>
      <c r="E109" s="17">
        <f>INDEX(HY!$G580:$AN580,MATCH(E$3,HY!$G$4:$AN$4,0))</f>
        <v>6.6280000000000001</v>
      </c>
      <c r="F109" s="17">
        <f>INDEX(HY!$G580:$AN580,MATCH(F$3,HY!$G$4:$AN$4,0))</f>
        <v>7.1870000000000003</v>
      </c>
      <c r="G109" s="17">
        <f>INDEX(HY!$G580:$AN580,MATCH(G$3,HY!$G$4:$AN$4,0))</f>
        <v>7.5279999999999996</v>
      </c>
      <c r="H109" s="17">
        <f>INDEX(HY!$G580:$AN580,MATCH(H$3,HY!$G$4:$AN$4,0))</f>
        <v>8.5820000000000007</v>
      </c>
      <c r="I109" s="17">
        <f>INDEX(HY!$G580:$AN580,MATCH(I$3,HY!$G$4:$AN$4,0))</f>
        <v>8.375</v>
      </c>
      <c r="J109" s="17">
        <f>INDEX(HY!$G580:$AN580,MATCH(J$3,HY!$G$4:$AN$4,0))</f>
        <v>8.1110000000000007</v>
      </c>
      <c r="K109" s="17">
        <f>INDEX(HY!$G580:$AN580,MATCH(K$3,HY!$G$4:$AN$4,0))</f>
        <v>8.1940000000000008</v>
      </c>
      <c r="L109" s="17">
        <f>INDEX(HY!$G580:$AN580,MATCH(L$3,HY!$G$4:$AN$4,0))</f>
        <v>8.5171411965042871</v>
      </c>
      <c r="M109" s="17">
        <f>INDEX(HY!$G580:$AN580,MATCH(M$3,HY!$G$4:$AN$4,0))</f>
        <v>8.4225925116491993</v>
      </c>
      <c r="N109" s="17">
        <f>INDEX(HY!$G580:$AN580,MATCH(N$3,HY!$G$4:$AN$4,0))</f>
        <v>8.6636658685408108</v>
      </c>
      <c r="O109" s="17">
        <f>INDEX(HY!$G580:$AN580,MATCH(O$3,HY!$G$4:$AN$4,0))</f>
        <v>9.0139513617391493</v>
      </c>
      <c r="P109" s="17">
        <f>INDEX(HY!$G580:$AN580,MATCH(P$3,HY!$G$4:$AN$4,0))</f>
        <v>9.3724207041659628</v>
      </c>
      <c r="Q109" s="17">
        <f>INDEX(HY!$G580:$AN580,MATCH(Q$3,HY!$G$4:$AN$4,0))</f>
        <v>9.6947901830155363</v>
      </c>
      <c r="R109" s="17">
        <f>INDEX(HY!$G580:$AN580,MATCH(R$3,HY!$G$4:$AN$4,0))</f>
        <v>10.142998549741204</v>
      </c>
      <c r="S109" s="17">
        <f>INDEX(HY!$G580:$AN580,MATCH(S$3,HY!$G$4:$AN$4,0))</f>
        <v>10.54118857573315</v>
      </c>
      <c r="T109" s="551"/>
    </row>
    <row r="110" spans="1:20">
      <c r="B110" s="9" t="s">
        <v>306</v>
      </c>
      <c r="C110" s="17"/>
      <c r="D110" s="17">
        <f>INDEX(HY!$G581:$AN581,MATCH(D$3,HY!$G$4:$AN$4,0))</f>
        <v>0.93</v>
      </c>
      <c r="E110" s="17">
        <f>INDEX(HY!$G581:$AN581,MATCH(E$3,HY!$G$4:$AN$4,0))</f>
        <v>1.9890000000000001</v>
      </c>
      <c r="F110" s="17">
        <f>INDEX(HY!$G581:$AN581,MATCH(F$3,HY!$G$4:$AN$4,0))</f>
        <v>0</v>
      </c>
      <c r="G110" s="17">
        <f>INDEX(HY!$G581:$AN581,MATCH(G$3,HY!$G$4:$AN$4,0))</f>
        <v>4.431</v>
      </c>
      <c r="H110" s="17">
        <f>INDEX(HY!$G581:$AN581,MATCH(H$3,HY!$G$4:$AN$4,0))</f>
        <v>1.2E-2</v>
      </c>
      <c r="I110" s="17">
        <f>INDEX(HY!$G581:$AN581,MATCH(I$3,HY!$G$4:$AN$4,0))</f>
        <v>7.0000000000000001E-3</v>
      </c>
      <c r="J110" s="17">
        <f>INDEX(HY!$G581:$AN581,MATCH(J$3,HY!$G$4:$AN$4,0))</f>
        <v>0</v>
      </c>
      <c r="K110" s="17">
        <f>INDEX(HY!$G581:$AN581,MATCH(K$3,HY!$G$4:$AN$4,0))</f>
        <v>29.085999999999999</v>
      </c>
      <c r="L110" s="17">
        <f>INDEX(HY!$G581:$AN581,MATCH(L$3,HY!$G$4:$AN$4,0))</f>
        <v>29.085999999999999</v>
      </c>
      <c r="M110" s="17">
        <f>INDEX(HY!$G581:$AN581,MATCH(M$3,HY!$G$4:$AN$4,0))</f>
        <v>29.085999999999999</v>
      </c>
      <c r="N110" s="17">
        <f>INDEX(HY!$G581:$AN581,MATCH(N$3,HY!$G$4:$AN$4,0))</f>
        <v>29.085999999999999</v>
      </c>
      <c r="O110" s="17">
        <f>INDEX(HY!$G581:$AN581,MATCH(O$3,HY!$G$4:$AN$4,0))</f>
        <v>29.085999999999999</v>
      </c>
      <c r="P110" s="17">
        <f>INDEX(HY!$G581:$AN581,MATCH(P$3,HY!$G$4:$AN$4,0))</f>
        <v>29.085999999999999</v>
      </c>
      <c r="Q110" s="17">
        <f>INDEX(HY!$G581:$AN581,MATCH(Q$3,HY!$G$4:$AN$4,0))</f>
        <v>29.085999999999999</v>
      </c>
      <c r="R110" s="17">
        <f>INDEX(HY!$G581:$AN581,MATCH(R$3,HY!$G$4:$AN$4,0))</f>
        <v>29.085999999999999</v>
      </c>
      <c r="S110" s="17">
        <f>INDEX(HY!$G581:$AN581,MATCH(S$3,HY!$G$4:$AN$4,0))</f>
        <v>29.085999999999999</v>
      </c>
      <c r="T110" s="551"/>
    </row>
    <row r="111" spans="1:20">
      <c r="B111" s="9" t="s">
        <v>307</v>
      </c>
      <c r="C111" s="17"/>
      <c r="D111" s="17">
        <f>INDEX(HY!$G582:$AN582,MATCH(D$3,HY!$G$4:$AN$4,0))</f>
        <v>115.687</v>
      </c>
      <c r="E111" s="17">
        <f>INDEX(HY!$G582:$AN582,MATCH(E$3,HY!$G$4:$AN$4,0))</f>
        <v>11.019</v>
      </c>
      <c r="F111" s="17">
        <f>INDEX(HY!$G582:$AN582,MATCH(F$3,HY!$G$4:$AN$4,0))</f>
        <v>13.516999999999999</v>
      </c>
      <c r="G111" s="17">
        <f>INDEX(HY!$G582:$AN582,MATCH(G$3,HY!$G$4:$AN$4,0))</f>
        <v>26.646000000000001</v>
      </c>
      <c r="H111" s="17">
        <f>INDEX(HY!$G582:$AN582,MATCH(H$3,HY!$G$4:$AN$4,0))</f>
        <v>0</v>
      </c>
      <c r="I111" s="17">
        <f>INDEX(HY!$G582:$AN582,MATCH(I$3,HY!$G$4:$AN$4,0))</f>
        <v>13</v>
      </c>
      <c r="J111" s="17">
        <f>INDEX(HY!$G582:$AN582,MATCH(J$3,HY!$G$4:$AN$4,0))</f>
        <v>0</v>
      </c>
      <c r="K111" s="17">
        <f>INDEX(HY!$G582:$AN582,MATCH(K$3,HY!$G$4:$AN$4,0))</f>
        <v>74.055999999999997</v>
      </c>
      <c r="L111" s="17">
        <f>INDEX(HY!$G582:$AN582,MATCH(L$3,HY!$G$4:$AN$4,0))</f>
        <v>0</v>
      </c>
      <c r="M111" s="17">
        <f>INDEX(HY!$G582:$AN582,MATCH(M$3,HY!$G$4:$AN$4,0))</f>
        <v>0</v>
      </c>
      <c r="N111" s="17">
        <f>INDEX(HY!$G582:$AN582,MATCH(N$3,HY!$G$4:$AN$4,0))</f>
        <v>0</v>
      </c>
      <c r="O111" s="17">
        <f>INDEX(HY!$G582:$AN582,MATCH(O$3,HY!$G$4:$AN$4,0))</f>
        <v>0</v>
      </c>
      <c r="P111" s="17">
        <f>INDEX(HY!$G582:$AN582,MATCH(P$3,HY!$G$4:$AN$4,0))</f>
        <v>0</v>
      </c>
      <c r="Q111" s="17">
        <f>INDEX(HY!$G582:$AN582,MATCH(Q$3,HY!$G$4:$AN$4,0))</f>
        <v>0</v>
      </c>
      <c r="R111" s="17">
        <f>INDEX(HY!$G582:$AN582,MATCH(R$3,HY!$G$4:$AN$4,0))</f>
        <v>0</v>
      </c>
      <c r="S111" s="17">
        <f>INDEX(HY!$G582:$AN582,MATCH(S$3,HY!$G$4:$AN$4,0))</f>
        <v>0</v>
      </c>
      <c r="T111" s="551"/>
    </row>
    <row r="112" spans="1:20">
      <c r="B112" s="9" t="s">
        <v>110</v>
      </c>
      <c r="C112" s="17"/>
      <c r="D112" s="17">
        <f>INDEX(HY!$G583:$AN583,MATCH(D$3,HY!$G$4:$AN$4,0))</f>
        <v>8.5000000000000006E-2</v>
      </c>
      <c r="E112" s="17">
        <f>INDEX(HY!$G583:$AN583,MATCH(E$3,HY!$G$4:$AN$4,0))</f>
        <v>102.85899999999999</v>
      </c>
      <c r="F112" s="17">
        <f>INDEX(HY!$G583:$AN583,MATCH(F$3,HY!$G$4:$AN$4,0))</f>
        <v>175.50800000000001</v>
      </c>
      <c r="G112" s="17">
        <f>INDEX(HY!$G583:$AN583,MATCH(G$3,HY!$G$4:$AN$4,0))</f>
        <v>212.83799999999999</v>
      </c>
      <c r="H112" s="17">
        <f>INDEX(HY!$G583:$AN583,MATCH(H$3,HY!$G$4:$AN$4,0))</f>
        <v>14.102</v>
      </c>
      <c r="I112" s="17">
        <f>INDEX(HY!$G583:$AN583,MATCH(I$3,HY!$G$4:$AN$4,0))</f>
        <v>20.393000000000001</v>
      </c>
      <c r="J112" s="17">
        <f>INDEX(HY!$G583:$AN583,MATCH(J$3,HY!$G$4:$AN$4,0))</f>
        <v>0.16500000000000001</v>
      </c>
      <c r="K112" s="17">
        <f>INDEX(HY!$G583:$AN583,MATCH(K$3,HY!$G$4:$AN$4,0))</f>
        <v>30.016999999999999</v>
      </c>
      <c r="L112" s="17">
        <f>INDEX(HY!$G583:$AN583,MATCH(L$3,HY!$G$4:$AN$4,0))</f>
        <v>30.016999999999999</v>
      </c>
      <c r="M112" s="17">
        <f>INDEX(HY!$G583:$AN583,MATCH(M$3,HY!$G$4:$AN$4,0))</f>
        <v>30.016999999999999</v>
      </c>
      <c r="N112" s="17">
        <f>INDEX(HY!$G583:$AN583,MATCH(N$3,HY!$G$4:$AN$4,0))</f>
        <v>30.016999999999999</v>
      </c>
      <c r="O112" s="17">
        <f>INDEX(HY!$G583:$AN583,MATCH(O$3,HY!$G$4:$AN$4,0))</f>
        <v>30.016999999999999</v>
      </c>
      <c r="P112" s="17">
        <f>INDEX(HY!$G583:$AN583,MATCH(P$3,HY!$G$4:$AN$4,0))</f>
        <v>30.016999999999999</v>
      </c>
      <c r="Q112" s="17">
        <f>INDEX(HY!$G583:$AN583,MATCH(Q$3,HY!$G$4:$AN$4,0))</f>
        <v>30.016999999999999</v>
      </c>
      <c r="R112" s="17">
        <f>INDEX(HY!$G583:$AN583,MATCH(R$3,HY!$G$4:$AN$4,0))</f>
        <v>30.016999999999999</v>
      </c>
      <c r="S112" s="17">
        <f>INDEX(HY!$G583:$AN583,MATCH(S$3,HY!$G$4:$AN$4,0))</f>
        <v>30.016999999999999</v>
      </c>
      <c r="T112" s="551"/>
    </row>
    <row r="113" spans="1:21">
      <c r="B113" s="19" t="s">
        <v>176</v>
      </c>
      <c r="C113" s="17"/>
      <c r="D113" s="17" t="s">
        <v>176</v>
      </c>
      <c r="E113" s="17" t="s">
        <v>176</v>
      </c>
      <c r="F113" s="17" t="s">
        <v>176</v>
      </c>
      <c r="G113" s="17" t="s">
        <v>176</v>
      </c>
      <c r="H113" s="17" t="s">
        <v>176</v>
      </c>
      <c r="I113" s="17" t="s">
        <v>176</v>
      </c>
      <c r="J113" s="17" t="s">
        <v>176</v>
      </c>
      <c r="K113" s="17" t="s">
        <v>176</v>
      </c>
      <c r="L113" s="17" t="s">
        <v>176</v>
      </c>
      <c r="M113" s="17" t="s">
        <v>176</v>
      </c>
      <c r="N113" s="17" t="s">
        <v>176</v>
      </c>
      <c r="O113" s="17" t="s">
        <v>176</v>
      </c>
      <c r="P113" s="17" t="s">
        <v>176</v>
      </c>
      <c r="Q113" s="17" t="s">
        <v>176</v>
      </c>
      <c r="R113" s="17" t="s">
        <v>176</v>
      </c>
      <c r="S113" s="17" t="s">
        <v>176</v>
      </c>
      <c r="T113" s="551"/>
    </row>
    <row r="114" spans="1:21" s="13" customFormat="1">
      <c r="A114" s="610"/>
      <c r="B114" s="13" t="s">
        <v>716</v>
      </c>
      <c r="C114" s="24"/>
      <c r="D114" s="24">
        <f t="shared" ref="D114:O114" si="46">SUM(D107:D113)</f>
        <v>214.02799999999999</v>
      </c>
      <c r="E114" s="24">
        <f t="shared" si="46"/>
        <v>218.971</v>
      </c>
      <c r="F114" s="24">
        <f t="shared" si="46"/>
        <v>279.55700000000002</v>
      </c>
      <c r="G114" s="24">
        <f t="shared" si="46"/>
        <v>325.96699999999998</v>
      </c>
      <c r="H114" s="24">
        <f t="shared" si="46"/>
        <v>318.54199999999997</v>
      </c>
      <c r="I114" s="24">
        <f t="shared" si="46"/>
        <v>189.18899999999999</v>
      </c>
      <c r="J114" s="24">
        <f t="shared" si="46"/>
        <v>83.75500000000001</v>
      </c>
      <c r="K114" s="24">
        <f t="shared" si="46"/>
        <v>255.589</v>
      </c>
      <c r="L114" s="24">
        <f t="shared" si="46"/>
        <v>191.33764901877691</v>
      </c>
      <c r="M114" s="24">
        <f t="shared" si="46"/>
        <v>254.69267856770392</v>
      </c>
      <c r="N114" s="24">
        <f t="shared" si="46"/>
        <v>348.8372316117393</v>
      </c>
      <c r="O114" s="24">
        <f t="shared" si="46"/>
        <v>456.91261577388383</v>
      </c>
      <c r="P114" s="24">
        <f t="shared" ref="P114:S114" si="47">SUM(P107:P113)</f>
        <v>499.01653821808372</v>
      </c>
      <c r="Q114" s="24">
        <f t="shared" si="47"/>
        <v>537.74502207656394</v>
      </c>
      <c r="R114" s="24">
        <f t="shared" si="47"/>
        <v>576.50755583418584</v>
      </c>
      <c r="S114" s="24">
        <f t="shared" si="47"/>
        <v>610.44955029800758</v>
      </c>
      <c r="T114" s="552"/>
    </row>
    <row r="115" spans="1:21">
      <c r="C115" s="17"/>
      <c r="D115" s="17"/>
      <c r="E115" s="17"/>
      <c r="F115" s="17"/>
      <c r="G115" s="17"/>
      <c r="H115" s="17"/>
      <c r="I115" s="17"/>
      <c r="J115" s="17"/>
      <c r="K115" s="17"/>
      <c r="L115" s="17"/>
      <c r="M115" s="17"/>
      <c r="N115" s="17"/>
      <c r="O115" s="17"/>
      <c r="P115" s="17"/>
      <c r="Q115" s="17"/>
      <c r="R115" s="17"/>
      <c r="S115" s="17"/>
      <c r="T115" s="551"/>
    </row>
    <row r="116" spans="1:21">
      <c r="B116" s="9" t="s">
        <v>309</v>
      </c>
      <c r="C116" s="17"/>
      <c r="D116" s="17">
        <f>INDEX(HY!$G587:$AN587,MATCH(D$3,HY!$G$4:$AN$4,0))</f>
        <v>1436.2570000000001</v>
      </c>
      <c r="E116" s="17">
        <f>INDEX(HY!$G587:$AN587,MATCH(E$3,HY!$G$4:$AN$4,0))</f>
        <v>1528.902</v>
      </c>
      <c r="F116" s="17">
        <f>INDEX(HY!$G587:$AN587,MATCH(F$3,HY!$G$4:$AN$4,0))</f>
        <v>1370.7619999999999</v>
      </c>
      <c r="G116" s="17">
        <f>INDEX(HY!$G587:$AN587,MATCH(G$3,HY!$G$4:$AN$4,0))</f>
        <v>1442.68</v>
      </c>
      <c r="H116" s="17">
        <f>INDEX(HY!$G587:$AN587,MATCH(H$3,HY!$G$4:$AN$4,0))</f>
        <v>1652.4760000000001</v>
      </c>
      <c r="I116" s="17">
        <f>INDEX(HY!$G587:$AN587,MATCH(I$3,HY!$G$4:$AN$4,0))</f>
        <v>1816.961</v>
      </c>
      <c r="J116" s="17">
        <f>INDEX(HY!$G587:$AN587,MATCH(J$3,HY!$G$4:$AN$4,0))</f>
        <v>1877.4079999999999</v>
      </c>
      <c r="K116" s="17">
        <f>INDEX(HY!$G587:$AN587,MATCH(K$3,HY!$G$4:$AN$4,0))</f>
        <v>1593.41</v>
      </c>
      <c r="L116" s="17">
        <f>INDEX(HY!$G587:$AN587,MATCH(L$3,HY!$G$4:$AN$4,0))</f>
        <v>1364.6531222222222</v>
      </c>
      <c r="M116" s="17">
        <f>INDEX(HY!$G587:$AN587,MATCH(M$3,HY!$G$4:$AN$4,0))</f>
        <v>1342.818177614321</v>
      </c>
      <c r="N116" s="17">
        <f>INDEX(HY!$G587:$AN587,MATCH(N$3,HY!$G$4:$AN$4,0))</f>
        <v>1325.5304856091154</v>
      </c>
      <c r="O116" s="17">
        <f>INDEX(HY!$G587:$AN587,MATCH(O$3,HY!$G$4:$AN$4,0))</f>
        <v>1312.24819866487</v>
      </c>
      <c r="P116" s="17">
        <f>INDEX(HY!$G587:$AN587,MATCH(P$3,HY!$G$4:$AN$4,0))</f>
        <v>1302.8309478355879</v>
      </c>
      <c r="Q116" s="17">
        <f>INDEX(HY!$G587:$AN587,MATCH(Q$3,HY!$G$4:$AN$4,0))</f>
        <v>1297.1380690594126</v>
      </c>
      <c r="R116" s="17">
        <f>INDEX(HY!$G587:$AN587,MATCH(R$3,HY!$G$4:$AN$4,0))</f>
        <v>1295.0993561995049</v>
      </c>
      <c r="S116" s="17">
        <f>INDEX(HY!$G587:$AN587,MATCH(S$3,HY!$G$4:$AN$4,0))</f>
        <v>1296.1223358399202</v>
      </c>
      <c r="T116" s="551"/>
    </row>
    <row r="117" spans="1:21">
      <c r="B117" s="9" t="s">
        <v>310</v>
      </c>
      <c r="C117" s="17"/>
      <c r="D117" s="17">
        <f>INDEX(HY!$G588:$AN588,MATCH(D$3,HY!$G$4:$AN$4,0))</f>
        <v>798.40800000000002</v>
      </c>
      <c r="E117" s="17">
        <f>INDEX(HY!$G588:$AN588,MATCH(E$3,HY!$G$4:$AN$4,0))</f>
        <v>649.53099999999995</v>
      </c>
      <c r="F117" s="17">
        <f>INDEX(HY!$G588:$AN588,MATCH(F$3,HY!$G$4:$AN$4,0))</f>
        <v>627.06500000000005</v>
      </c>
      <c r="G117" s="17">
        <f>INDEX(HY!$G588:$AN588,MATCH(G$3,HY!$G$4:$AN$4,0))</f>
        <v>623.89700000000005</v>
      </c>
      <c r="H117" s="17">
        <f>INDEX(HY!$G588:$AN588,MATCH(H$3,HY!$G$4:$AN$4,0))</f>
        <v>566.553</v>
      </c>
      <c r="I117" s="17">
        <f>INDEX(HY!$G588:$AN588,MATCH(I$3,HY!$G$4:$AN$4,0))</f>
        <v>544.60699999999997</v>
      </c>
      <c r="J117" s="17">
        <f>INDEX(HY!$G588:$AN588,MATCH(J$3,HY!$G$4:$AN$4,0))</f>
        <v>555.81299999999999</v>
      </c>
      <c r="K117" s="17">
        <f>INDEX(HY!$G588:$AN588,MATCH(K$3,HY!$G$4:$AN$4,0))</f>
        <v>555.255</v>
      </c>
      <c r="L117" s="17">
        <f>INDEX(HY!$G588:$AN588,MATCH(L$3,HY!$G$4:$AN$4,0))</f>
        <v>549.45965784298244</v>
      </c>
      <c r="M117" s="17">
        <f>INDEX(HY!$G588:$AN588,MATCH(M$3,HY!$G$4:$AN$4,0))</f>
        <v>543.99761658265572</v>
      </c>
      <c r="N117" s="17">
        <f>INDEX(HY!$G588:$AN588,MATCH(N$3,HY!$G$4:$AN$4,0))</f>
        <v>539.06888251200678</v>
      </c>
      <c r="O117" s="17">
        <f>INDEX(HY!$G588:$AN588,MATCH(O$3,HY!$G$4:$AN$4,0))</f>
        <v>534.62853015965368</v>
      </c>
      <c r="P117" s="17">
        <f>INDEX(HY!$G588:$AN588,MATCH(P$3,HY!$G$4:$AN$4,0))</f>
        <v>530.67962384462055</v>
      </c>
      <c r="Q117" s="17">
        <f>INDEX(HY!$G588:$AN588,MATCH(Q$3,HY!$G$4:$AN$4,0))</f>
        <v>527.22381139695597</v>
      </c>
      <c r="R117" s="17">
        <f>INDEX(HY!$G588:$AN588,MATCH(R$3,HY!$G$4:$AN$4,0))</f>
        <v>524.27049858133239</v>
      </c>
      <c r="S117" s="17">
        <f>INDEX(HY!$G588:$AN588,MATCH(S$3,HY!$G$4:$AN$4,0))</f>
        <v>521.76230624476489</v>
      </c>
      <c r="T117" s="551"/>
    </row>
    <row r="118" spans="1:21" ht="12">
      <c r="B118" s="9" t="s">
        <v>306</v>
      </c>
      <c r="C118" s="17"/>
      <c r="D118" s="17">
        <f>INDEX(HY!$G589:$AN589,MATCH(D$3,HY!$G$4:$AN$4,0))</f>
        <v>4.843</v>
      </c>
      <c r="E118" s="17">
        <f>INDEX(HY!$G589:$AN589,MATCH(E$3,HY!$G$4:$AN$4,0))</f>
        <v>6.8769999999999998</v>
      </c>
      <c r="F118" s="17">
        <f>INDEX(HY!$G589:$AN589,MATCH(F$3,HY!$G$4:$AN$4,0))</f>
        <v>9.74</v>
      </c>
      <c r="G118" s="17">
        <f>INDEX(HY!$G589:$AN589,MATCH(G$3,HY!$G$4:$AN$4,0))</f>
        <v>19.372</v>
      </c>
      <c r="H118" s="17">
        <f>INDEX(HY!$G589:$AN589,MATCH(H$3,HY!$G$4:$AN$4,0))</f>
        <v>25.465</v>
      </c>
      <c r="I118" s="17">
        <f>INDEX(HY!$G589:$AN589,MATCH(I$3,HY!$G$4:$AN$4,0))</f>
        <v>52.35</v>
      </c>
      <c r="J118" s="17">
        <f>INDEX(HY!$G589:$AN589,MATCH(J$3,HY!$G$4:$AN$4,0))</f>
        <v>48.750999999999998</v>
      </c>
      <c r="K118" s="17">
        <f>INDEX(HY!$G589:$AN589,MATCH(K$3,HY!$G$4:$AN$4,0))</f>
        <v>44.423999999999999</v>
      </c>
      <c r="L118" s="17">
        <f>INDEX(HY!$G589:$AN589,MATCH(L$3,HY!$G$4:$AN$4,0))</f>
        <v>44.423999999999999</v>
      </c>
      <c r="M118" s="17">
        <f>INDEX(HY!$G589:$AN589,MATCH(M$3,HY!$G$4:$AN$4,0))</f>
        <v>44.423999999999999</v>
      </c>
      <c r="N118" s="17">
        <f>INDEX(HY!$G589:$AN589,MATCH(N$3,HY!$G$4:$AN$4,0))</f>
        <v>44.423999999999999</v>
      </c>
      <c r="O118" s="17">
        <f>INDEX(HY!$G589:$AN589,MATCH(O$3,HY!$G$4:$AN$4,0))</f>
        <v>44.423999999999999</v>
      </c>
      <c r="P118" s="17">
        <f>INDEX(HY!$G589:$AN589,MATCH(P$3,HY!$G$4:$AN$4,0))</f>
        <v>44.423999999999999</v>
      </c>
      <c r="Q118" s="17">
        <f>INDEX(HY!$G589:$AN589,MATCH(Q$3,HY!$G$4:$AN$4,0))</f>
        <v>44.423999999999999</v>
      </c>
      <c r="R118" s="17">
        <f>INDEX(HY!$G589:$AN589,MATCH(R$3,HY!$G$4:$AN$4,0))</f>
        <v>44.423999999999999</v>
      </c>
      <c r="S118" s="17">
        <f>INDEX(HY!$G589:$AN589,MATCH(S$3,HY!$G$4:$AN$4,0))</f>
        <v>44.423999999999999</v>
      </c>
      <c r="T118" s="551"/>
      <c r="U118" s="689" t="s">
        <v>1185</v>
      </c>
    </row>
    <row r="119" spans="1:21">
      <c r="B119" s="9" t="s">
        <v>311</v>
      </c>
      <c r="C119" s="17"/>
      <c r="D119" s="17">
        <f>INDEX(HY!$G590:$AN590,MATCH(D$3,HY!$G$4:$AN$4,0))</f>
        <v>1.5529999999999999</v>
      </c>
      <c r="E119" s="17">
        <f>INDEX(HY!$G590:$AN590,MATCH(E$3,HY!$G$4:$AN$4,0))</f>
        <v>0</v>
      </c>
      <c r="F119" s="17">
        <f>INDEX(HY!$G590:$AN590,MATCH(F$3,HY!$G$4:$AN$4,0))</f>
        <v>0</v>
      </c>
      <c r="G119" s="17">
        <f>INDEX(HY!$G590:$AN590,MATCH(G$3,HY!$G$4:$AN$4,0))</f>
        <v>42.136000000000003</v>
      </c>
      <c r="H119" s="17">
        <f>INDEX(HY!$G590:$AN590,MATCH(H$3,HY!$G$4:$AN$4,0))</f>
        <v>43.2</v>
      </c>
      <c r="I119" s="17">
        <f>INDEX(HY!$G590:$AN590,MATCH(I$3,HY!$G$4:$AN$4,0))</f>
        <v>0</v>
      </c>
      <c r="J119" s="17">
        <f>INDEX(HY!$G590:$AN590,MATCH(J$3,HY!$G$4:$AN$4,0))</f>
        <v>0</v>
      </c>
      <c r="K119" s="17">
        <f>INDEX(HY!$G590:$AN590,MATCH(K$3,HY!$G$4:$AN$4,0))</f>
        <v>0</v>
      </c>
      <c r="L119" s="17">
        <f>INDEX(HY!$G590:$AN590,MATCH(L$3,HY!$G$4:$AN$4,0))</f>
        <v>0</v>
      </c>
      <c r="M119" s="17">
        <f>INDEX(HY!$G590:$AN590,MATCH(M$3,HY!$G$4:$AN$4,0))</f>
        <v>0</v>
      </c>
      <c r="N119" s="17">
        <f>INDEX(HY!$G590:$AN590,MATCH(N$3,HY!$G$4:$AN$4,0))</f>
        <v>0</v>
      </c>
      <c r="O119" s="17">
        <f>INDEX(HY!$G590:$AN590,MATCH(O$3,HY!$G$4:$AN$4,0))</f>
        <v>0</v>
      </c>
      <c r="P119" s="17">
        <f>INDEX(HY!$G590:$AN590,MATCH(P$3,HY!$G$4:$AN$4,0))</f>
        <v>0</v>
      </c>
      <c r="Q119" s="17">
        <f>INDEX(HY!$G590:$AN590,MATCH(Q$3,HY!$G$4:$AN$4,0))</f>
        <v>0</v>
      </c>
      <c r="R119" s="17">
        <f>INDEX(HY!$G590:$AN590,MATCH(R$3,HY!$G$4:$AN$4,0))</f>
        <v>0</v>
      </c>
      <c r="S119" s="17">
        <f>INDEX(HY!$G590:$AN590,MATCH(S$3,HY!$G$4:$AN$4,0))</f>
        <v>0</v>
      </c>
      <c r="T119" s="551"/>
    </row>
    <row r="120" spans="1:21">
      <c r="B120" s="9" t="s">
        <v>312</v>
      </c>
      <c r="C120" s="17"/>
      <c r="D120" s="17">
        <f>INDEX(HY!$G591:$AN591,MATCH(D$3,HY!$G$4:$AN$4,0))</f>
        <v>40.659999999999997</v>
      </c>
      <c r="E120" s="17">
        <f>INDEX(HY!$G591:$AN591,MATCH(E$3,HY!$G$4:$AN$4,0))</f>
        <v>72.400000000000006</v>
      </c>
      <c r="F120" s="17">
        <f>INDEX(HY!$G591:$AN591,MATCH(F$3,HY!$G$4:$AN$4,0))</f>
        <v>124.36799999999999</v>
      </c>
      <c r="G120" s="17">
        <f>INDEX(HY!$G591:$AN591,MATCH(G$3,HY!$G$4:$AN$4,0))</f>
        <v>119.72</v>
      </c>
      <c r="H120" s="17">
        <f>INDEX(HY!$G591:$AN591,MATCH(H$3,HY!$G$4:$AN$4,0))</f>
        <v>108.803</v>
      </c>
      <c r="I120" s="17">
        <f>INDEX(HY!$G591:$AN591,MATCH(I$3,HY!$G$4:$AN$4,0))</f>
        <v>78.8</v>
      </c>
      <c r="J120" s="17">
        <f>INDEX(HY!$G591:$AN591,MATCH(J$3,HY!$G$4:$AN$4,0))</f>
        <v>78.724999999999994</v>
      </c>
      <c r="K120" s="17">
        <f>INDEX(HY!$G591:$AN591,MATCH(K$3,HY!$G$4:$AN$4,0))</f>
        <v>20.75</v>
      </c>
      <c r="L120" s="17">
        <f>INDEX(HY!$G591:$AN591,MATCH(L$3,HY!$G$4:$AN$4,0))</f>
        <v>20.75</v>
      </c>
      <c r="M120" s="17">
        <f>INDEX(HY!$G591:$AN591,MATCH(M$3,HY!$G$4:$AN$4,0))</f>
        <v>20.75</v>
      </c>
      <c r="N120" s="17">
        <f>INDEX(HY!$G591:$AN591,MATCH(N$3,HY!$G$4:$AN$4,0))</f>
        <v>20.75</v>
      </c>
      <c r="O120" s="17">
        <f>INDEX(HY!$G591:$AN591,MATCH(O$3,HY!$G$4:$AN$4,0))</f>
        <v>20.75</v>
      </c>
      <c r="P120" s="17">
        <f>INDEX(HY!$G591:$AN591,MATCH(P$3,HY!$G$4:$AN$4,0))</f>
        <v>20.75</v>
      </c>
      <c r="Q120" s="17">
        <f>INDEX(HY!$G591:$AN591,MATCH(Q$3,HY!$G$4:$AN$4,0))</f>
        <v>20.75</v>
      </c>
      <c r="R120" s="17">
        <f>INDEX(HY!$G591:$AN591,MATCH(R$3,HY!$G$4:$AN$4,0))</f>
        <v>20.75</v>
      </c>
      <c r="S120" s="17">
        <f>INDEX(HY!$G591:$AN591,MATCH(S$3,HY!$G$4:$AN$4,0))</f>
        <v>20.75</v>
      </c>
      <c r="T120" s="551"/>
    </row>
    <row r="121" spans="1:21">
      <c r="B121" s="9" t="s">
        <v>313</v>
      </c>
      <c r="C121" s="17"/>
      <c r="D121" s="17">
        <f>INDEX(HY!$G592:$AN592,MATCH(D$3,HY!$G$4:$AN$4,0))</f>
        <v>0</v>
      </c>
      <c r="E121" s="17">
        <f>INDEX(HY!$G592:$AN592,MATCH(E$3,HY!$G$4:$AN$4,0))</f>
        <v>51.966999999999999</v>
      </c>
      <c r="F121" s="17">
        <f>INDEX(HY!$G592:$AN592,MATCH(F$3,HY!$G$4:$AN$4,0))</f>
        <v>126.755</v>
      </c>
      <c r="G121" s="17">
        <f>INDEX(HY!$G592:$AN592,MATCH(G$3,HY!$G$4:$AN$4,0))</f>
        <v>126.41200000000001</v>
      </c>
      <c r="H121" s="17">
        <f>INDEX(HY!$G592:$AN592,MATCH(H$3,HY!$G$4:$AN$4,0))</f>
        <v>122.538</v>
      </c>
      <c r="I121" s="17">
        <f>INDEX(HY!$G592:$AN592,MATCH(I$3,HY!$G$4:$AN$4,0))</f>
        <v>98.578999999999994</v>
      </c>
      <c r="J121" s="17">
        <f>INDEX(HY!$G592:$AN592,MATCH(J$3,HY!$G$4:$AN$4,0))</f>
        <v>113.907</v>
      </c>
      <c r="K121" s="17">
        <f>INDEX(HY!$G592:$AN592,MATCH(K$3,HY!$G$4:$AN$4,0))</f>
        <v>113.02500000000001</v>
      </c>
      <c r="L121" s="17">
        <f>INDEX(HY!$G592:$AN592,MATCH(L$3,HY!$G$4:$AN$4,0))</f>
        <v>113.02500000000001</v>
      </c>
      <c r="M121" s="17">
        <f>INDEX(HY!$G592:$AN592,MATCH(M$3,HY!$G$4:$AN$4,0))</f>
        <v>113.02500000000001</v>
      </c>
      <c r="N121" s="17">
        <f>INDEX(HY!$G592:$AN592,MATCH(N$3,HY!$G$4:$AN$4,0))</f>
        <v>113.02500000000001</v>
      </c>
      <c r="O121" s="17">
        <f>INDEX(HY!$G592:$AN592,MATCH(O$3,HY!$G$4:$AN$4,0))</f>
        <v>113.02500000000001</v>
      </c>
      <c r="P121" s="17">
        <f>INDEX(HY!$G592:$AN592,MATCH(P$3,HY!$G$4:$AN$4,0))</f>
        <v>113.02500000000001</v>
      </c>
      <c r="Q121" s="17">
        <f>INDEX(HY!$G592:$AN592,MATCH(Q$3,HY!$G$4:$AN$4,0))</f>
        <v>113.02500000000001</v>
      </c>
      <c r="R121" s="17">
        <f>INDEX(HY!$G592:$AN592,MATCH(R$3,HY!$G$4:$AN$4,0))</f>
        <v>113.02500000000001</v>
      </c>
      <c r="S121" s="17">
        <f>INDEX(HY!$G592:$AN592,MATCH(S$3,HY!$G$4:$AN$4,0))</f>
        <v>113.02500000000001</v>
      </c>
      <c r="T121" s="551"/>
    </row>
    <row r="122" spans="1:21">
      <c r="B122" s="9" t="s">
        <v>110</v>
      </c>
      <c r="C122" s="17"/>
      <c r="D122" s="17">
        <f>INDEX(HY!$G593:$AN593,MATCH(D$3,HY!$G$4:$AN$4,0))</f>
        <v>56.201000000000001</v>
      </c>
      <c r="E122" s="17">
        <f>INDEX(HY!$G593:$AN593,MATCH(E$3,HY!$G$4:$AN$4,0))</f>
        <v>260.67400000000004</v>
      </c>
      <c r="F122" s="17">
        <f>INDEX(HY!$G593:$AN593,MATCH(F$3,HY!$G$4:$AN$4,0))</f>
        <v>248.714</v>
      </c>
      <c r="G122" s="17">
        <f>INDEX(HY!$G593:$AN593,MATCH(G$3,HY!$G$4:$AN$4,0))</f>
        <v>43.518000000000001</v>
      </c>
      <c r="H122" s="17">
        <f>INDEX(HY!$G593:$AN593,MATCH(H$3,HY!$G$4:$AN$4,0))</f>
        <v>25.920999999999999</v>
      </c>
      <c r="I122" s="17">
        <f>INDEX(HY!$G593:$AN593,MATCH(I$3,HY!$G$4:$AN$4,0))</f>
        <v>0.55000000000000004</v>
      </c>
      <c r="J122" s="17">
        <f>INDEX(HY!$G593:$AN593,MATCH(J$3,HY!$G$4:$AN$4,0))</f>
        <v>1.325</v>
      </c>
      <c r="K122" s="17">
        <f>INDEX(HY!$G593:$AN593,MATCH(K$3,HY!$G$4:$AN$4,0))</f>
        <v>22.545000000000002</v>
      </c>
      <c r="L122" s="17">
        <f>INDEX(HY!$G593:$AN593,MATCH(L$3,HY!$G$4:$AN$4,0))</f>
        <v>22.545000000000002</v>
      </c>
      <c r="M122" s="17">
        <f>INDEX(HY!$G593:$AN593,MATCH(M$3,HY!$G$4:$AN$4,0))</f>
        <v>22.545000000000002</v>
      </c>
      <c r="N122" s="17">
        <f>INDEX(HY!$G593:$AN593,MATCH(N$3,HY!$G$4:$AN$4,0))</f>
        <v>22.545000000000002</v>
      </c>
      <c r="O122" s="17">
        <f>INDEX(HY!$G593:$AN593,MATCH(O$3,HY!$G$4:$AN$4,0))</f>
        <v>22.545000000000002</v>
      </c>
      <c r="P122" s="17">
        <f>INDEX(HY!$G593:$AN593,MATCH(P$3,HY!$G$4:$AN$4,0))</f>
        <v>22.545000000000002</v>
      </c>
      <c r="Q122" s="17">
        <f>INDEX(HY!$G593:$AN593,MATCH(Q$3,HY!$G$4:$AN$4,0))</f>
        <v>22.545000000000002</v>
      </c>
      <c r="R122" s="17">
        <f>INDEX(HY!$G593:$AN593,MATCH(R$3,HY!$G$4:$AN$4,0))</f>
        <v>22.545000000000002</v>
      </c>
      <c r="S122" s="17">
        <f>INDEX(HY!$G593:$AN593,MATCH(S$3,HY!$G$4:$AN$4,0))</f>
        <v>22.545000000000002</v>
      </c>
      <c r="T122" s="551"/>
    </row>
    <row r="123" spans="1:21">
      <c r="B123" s="19" t="s">
        <v>176</v>
      </c>
      <c r="C123" s="17"/>
      <c r="D123" s="17" t="s">
        <v>176</v>
      </c>
      <c r="E123" s="17" t="s">
        <v>176</v>
      </c>
      <c r="F123" s="17" t="s">
        <v>176</v>
      </c>
      <c r="G123" s="17" t="s">
        <v>176</v>
      </c>
      <c r="H123" s="17" t="s">
        <v>176</v>
      </c>
      <c r="I123" s="17" t="s">
        <v>176</v>
      </c>
      <c r="J123" s="17" t="s">
        <v>176</v>
      </c>
      <c r="K123" s="17" t="s">
        <v>176</v>
      </c>
      <c r="L123" s="17" t="s">
        <v>176</v>
      </c>
      <c r="M123" s="17" t="s">
        <v>176</v>
      </c>
      <c r="N123" s="17" t="s">
        <v>176</v>
      </c>
      <c r="O123" s="17" t="s">
        <v>176</v>
      </c>
      <c r="P123" s="17" t="s">
        <v>176</v>
      </c>
      <c r="Q123" s="17" t="s">
        <v>176</v>
      </c>
      <c r="R123" s="17" t="s">
        <v>176</v>
      </c>
      <c r="S123" s="17" t="s">
        <v>176</v>
      </c>
      <c r="T123" s="551"/>
    </row>
    <row r="124" spans="1:21" s="13" customFormat="1">
      <c r="A124" s="610"/>
      <c r="B124" s="13" t="s">
        <v>738</v>
      </c>
      <c r="C124" s="24"/>
      <c r="D124" s="24">
        <f t="shared" ref="D124:O124" si="48">SUM(D116:D123)</f>
        <v>2337.9219999999996</v>
      </c>
      <c r="E124" s="24">
        <f t="shared" si="48"/>
        <v>2570.3510000000001</v>
      </c>
      <c r="F124" s="24">
        <f t="shared" si="48"/>
        <v>2507.404</v>
      </c>
      <c r="G124" s="24">
        <f t="shared" si="48"/>
        <v>2417.7349999999997</v>
      </c>
      <c r="H124" s="24">
        <f t="shared" si="48"/>
        <v>2544.9559999999997</v>
      </c>
      <c r="I124" s="24">
        <f t="shared" si="48"/>
        <v>2591.8470000000007</v>
      </c>
      <c r="J124" s="24">
        <f t="shared" si="48"/>
        <v>2675.9290000000001</v>
      </c>
      <c r="K124" s="24">
        <f t="shared" si="48"/>
        <v>2349.4090000000001</v>
      </c>
      <c r="L124" s="24">
        <f t="shared" si="48"/>
        <v>2114.8567800652049</v>
      </c>
      <c r="M124" s="24">
        <f t="shared" si="48"/>
        <v>2087.5597941969768</v>
      </c>
      <c r="N124" s="24">
        <f t="shared" si="48"/>
        <v>2065.3433681211222</v>
      </c>
      <c r="O124" s="24">
        <f t="shared" si="48"/>
        <v>2047.6207288245237</v>
      </c>
      <c r="P124" s="24">
        <f t="shared" ref="P124:S124" si="49">SUM(P116:P123)</f>
        <v>2034.2545716802088</v>
      </c>
      <c r="Q124" s="24">
        <f t="shared" si="49"/>
        <v>2025.1058804563686</v>
      </c>
      <c r="R124" s="24">
        <f t="shared" si="49"/>
        <v>2020.1138547808373</v>
      </c>
      <c r="S124" s="24">
        <f t="shared" si="49"/>
        <v>2018.6286420846852</v>
      </c>
      <c r="T124" s="552"/>
    </row>
    <row r="125" spans="1:21">
      <c r="B125" s="9" t="s">
        <v>1186</v>
      </c>
      <c r="C125" s="17"/>
      <c r="D125" s="17">
        <f t="shared" ref="D125:O125" si="50">D124+D114</f>
        <v>2551.9499999999994</v>
      </c>
      <c r="E125" s="17">
        <f t="shared" si="50"/>
        <v>2789.3220000000001</v>
      </c>
      <c r="F125" s="17">
        <f t="shared" si="50"/>
        <v>2786.9610000000002</v>
      </c>
      <c r="G125" s="17">
        <f t="shared" si="50"/>
        <v>2743.7019999999998</v>
      </c>
      <c r="H125" s="17">
        <f t="shared" si="50"/>
        <v>2863.4979999999996</v>
      </c>
      <c r="I125" s="17">
        <f t="shared" si="50"/>
        <v>2781.0360000000005</v>
      </c>
      <c r="J125" s="17">
        <f t="shared" si="50"/>
        <v>2759.6840000000002</v>
      </c>
      <c r="K125" s="17">
        <f t="shared" si="50"/>
        <v>2604.998</v>
      </c>
      <c r="L125" s="17">
        <f t="shared" si="50"/>
        <v>2306.194429083982</v>
      </c>
      <c r="M125" s="17">
        <f t="shared" si="50"/>
        <v>2342.2524727646805</v>
      </c>
      <c r="N125" s="17">
        <f t="shared" si="50"/>
        <v>2414.1805997328615</v>
      </c>
      <c r="O125" s="17">
        <f t="shared" si="50"/>
        <v>2504.5333445984074</v>
      </c>
      <c r="P125" s="17">
        <f t="shared" ref="P125:S125" si="51">P124+P114</f>
        <v>2533.2711098982927</v>
      </c>
      <c r="Q125" s="17">
        <f t="shared" si="51"/>
        <v>2562.8509025329327</v>
      </c>
      <c r="R125" s="17">
        <f t="shared" si="51"/>
        <v>2596.6214106150233</v>
      </c>
      <c r="S125" s="17">
        <f t="shared" si="51"/>
        <v>2629.0781923826926</v>
      </c>
      <c r="T125" s="551"/>
    </row>
    <row r="126" spans="1:21">
      <c r="C126" s="17"/>
      <c r="D126" s="17"/>
      <c r="E126" s="17"/>
      <c r="F126" s="17"/>
      <c r="G126" s="17"/>
      <c r="H126" s="17"/>
      <c r="I126" s="17"/>
      <c r="J126" s="17"/>
      <c r="K126" s="17"/>
      <c r="L126" s="17"/>
      <c r="M126" s="17"/>
      <c r="N126" s="17"/>
      <c r="O126" s="17"/>
      <c r="P126" s="17"/>
      <c r="Q126" s="17"/>
      <c r="R126" s="17"/>
      <c r="S126" s="17"/>
      <c r="T126" s="551"/>
    </row>
    <row r="127" spans="1:21">
      <c r="B127" s="9" t="s">
        <v>316</v>
      </c>
      <c r="C127" s="17"/>
      <c r="D127" s="17">
        <f>INDEX(HY!$G599:$AN599,MATCH(D$3,HY!$G$4:$AN$4,0))</f>
        <v>0</v>
      </c>
      <c r="E127" s="17">
        <f>INDEX(HY!$G599:$AN599,MATCH(E$3,HY!$G$4:$AN$4,0))</f>
        <v>0</v>
      </c>
      <c r="F127" s="17">
        <f>INDEX(HY!$G599:$AN599,MATCH(F$3,HY!$G$4:$AN$4,0))</f>
        <v>0</v>
      </c>
      <c r="G127" s="17">
        <f>INDEX(HY!$G599:$AN599,MATCH(G$3,HY!$G$4:$AN$4,0))</f>
        <v>0</v>
      </c>
      <c r="H127" s="17">
        <f>INDEX(HY!$G599:$AN599,MATCH(H$3,HY!$G$4:$AN$4,0))</f>
        <v>0</v>
      </c>
      <c r="I127" s="17">
        <f>INDEX(HY!$G599:$AN599,MATCH(I$3,HY!$G$4:$AN$4,0))</f>
        <v>0</v>
      </c>
      <c r="J127" s="17">
        <f>INDEX(HY!$G599:$AN599,MATCH(J$3,HY!$G$4:$AN$4,0))</f>
        <v>0</v>
      </c>
      <c r="K127" s="17">
        <f>INDEX(HY!$G599:$AN599,MATCH(K$3,HY!$G$4:$AN$4,0))</f>
        <v>0</v>
      </c>
      <c r="L127" s="17">
        <f>INDEX(HY!$G599:$AN599,MATCH(L$3,HY!$G$4:$AN$4,0))</f>
        <v>0</v>
      </c>
      <c r="M127" s="17">
        <f>INDEX(HY!$G599:$AN599,MATCH(M$3,HY!$G$4:$AN$4,0))</f>
        <v>0</v>
      </c>
      <c r="N127" s="17">
        <f>INDEX(HY!$G599:$AN599,MATCH(N$3,HY!$G$4:$AN$4,0))</f>
        <v>0</v>
      </c>
      <c r="O127" s="17">
        <f>INDEX(HY!$G599:$AN599,MATCH(O$3,HY!$G$4:$AN$4,0))</f>
        <v>0</v>
      </c>
      <c r="P127" s="17">
        <f>INDEX(HY!$G599:$AN599,MATCH(P$3,HY!$G$4:$AN$4,0))</f>
        <v>0</v>
      </c>
      <c r="Q127" s="17">
        <f>INDEX(HY!$G599:$AN599,MATCH(Q$3,HY!$G$4:$AN$4,0))</f>
        <v>0</v>
      </c>
      <c r="R127" s="17">
        <f>INDEX(HY!$G599:$AN599,MATCH(R$3,HY!$G$4:$AN$4,0))</f>
        <v>0</v>
      </c>
      <c r="S127" s="17">
        <f>INDEX(HY!$G599:$AN599,MATCH(S$3,HY!$G$4:$AN$4,0))</f>
        <v>0</v>
      </c>
      <c r="T127" s="551"/>
    </row>
    <row r="128" spans="1:21">
      <c r="B128" s="9" t="s">
        <v>317</v>
      </c>
      <c r="C128" s="17"/>
      <c r="D128" s="17">
        <f>INDEX(HY!$G600:$AN600,MATCH(D$3,HY!$G$4:$AN$4,0))</f>
        <v>228.11199999999999</v>
      </c>
      <c r="E128" s="17">
        <f>INDEX(HY!$G600:$AN600,MATCH(E$3,HY!$G$4:$AN$4,0))</f>
        <v>221.84200000000001</v>
      </c>
      <c r="F128" s="17">
        <f>INDEX(HY!$G600:$AN600,MATCH(F$3,HY!$G$4:$AN$4,0))</f>
        <v>200.16499999999999</v>
      </c>
      <c r="G128" s="17">
        <f>INDEX(HY!$G600:$AN600,MATCH(G$3,HY!$G$4:$AN$4,0))</f>
        <v>187.19900000000001</v>
      </c>
      <c r="H128" s="17">
        <f>INDEX(HY!$G600:$AN600,MATCH(H$3,HY!$G$4:$AN$4,0))</f>
        <v>215.99700000000001</v>
      </c>
      <c r="I128" s="17">
        <f>INDEX(HY!$G600:$AN600,MATCH(I$3,HY!$G$4:$AN$4,0))</f>
        <v>226.79599999999999</v>
      </c>
      <c r="J128" s="17">
        <f>INDEX(HY!$G600:$AN600,MATCH(J$3,HY!$G$4:$AN$4,0))</f>
        <v>143.82400000000001</v>
      </c>
      <c r="K128" s="17">
        <f>INDEX(HY!$G600:$AN600,MATCH(K$3,HY!$G$4:$AN$4,0))</f>
        <v>150.96700000000001</v>
      </c>
      <c r="L128" s="17">
        <f>INDEX(HY!$G600:$AN600,MATCH(L$3,HY!$G$4:$AN$4,0))</f>
        <v>153.71310623204423</v>
      </c>
      <c r="M128" s="17">
        <f>INDEX(HY!$G600:$AN600,MATCH(M$3,HY!$G$4:$AN$4,0))</f>
        <v>152.00673883670328</v>
      </c>
      <c r="N128" s="17">
        <f>INDEX(HY!$G600:$AN600,MATCH(N$3,HY!$G$4:$AN$4,0))</f>
        <v>156.35751025902096</v>
      </c>
      <c r="O128" s="17">
        <f>INDEX(HY!$G600:$AN600,MATCH(O$3,HY!$G$4:$AN$4,0))</f>
        <v>162.67928771759352</v>
      </c>
      <c r="P128" s="17">
        <f>INDEX(HY!$G600:$AN600,MATCH(P$3,HY!$G$4:$AN$4,0))</f>
        <v>169.14876319558596</v>
      </c>
      <c r="Q128" s="17">
        <f>INDEX(HY!$G600:$AN600,MATCH(Q$3,HY!$G$4:$AN$4,0))</f>
        <v>174.96672638359922</v>
      </c>
      <c r="R128" s="17">
        <f>INDEX(HY!$G600:$AN600,MATCH(R$3,HY!$G$4:$AN$4,0))</f>
        <v>183.05576690776837</v>
      </c>
      <c r="S128" s="17">
        <f>INDEX(HY!$G600:$AN600,MATCH(S$3,HY!$G$4:$AN$4,0))</f>
        <v>190.24210142467905</v>
      </c>
      <c r="T128" s="551"/>
    </row>
    <row r="129" spans="1:21">
      <c r="B129" s="9" t="s">
        <v>318</v>
      </c>
      <c r="C129" s="17"/>
      <c r="D129" s="17">
        <f>INDEX(HY!$G601:$AN601,MATCH(D$3,HY!$G$4:$AN$4,0))</f>
        <v>14.653</v>
      </c>
      <c r="E129" s="17">
        <f>INDEX(HY!$G601:$AN601,MATCH(E$3,HY!$G$4:$AN$4,0))</f>
        <v>0.77600000000000002</v>
      </c>
      <c r="F129" s="17">
        <f>INDEX(HY!$G601:$AN601,MATCH(F$3,HY!$G$4:$AN$4,0))</f>
        <v>16.256</v>
      </c>
      <c r="G129" s="17">
        <f>INDEX(HY!$G601:$AN601,MATCH(G$3,HY!$G$4:$AN$4,0))</f>
        <v>9.4E-2</v>
      </c>
      <c r="H129" s="17">
        <f>INDEX(HY!$G601:$AN601,MATCH(H$3,HY!$G$4:$AN$4,0))</f>
        <v>42.848999999999997</v>
      </c>
      <c r="I129" s="17">
        <f>INDEX(HY!$G601:$AN601,MATCH(I$3,HY!$G$4:$AN$4,0))</f>
        <v>34.707000000000001</v>
      </c>
      <c r="J129" s="17">
        <f>INDEX(HY!$G601:$AN601,MATCH(J$3,HY!$G$4:$AN$4,0))</f>
        <v>10.943</v>
      </c>
      <c r="K129" s="17">
        <f>INDEX(HY!$G601:$AN601,MATCH(K$3,HY!$G$4:$AN$4,0))</f>
        <v>0</v>
      </c>
      <c r="L129" s="17">
        <f>INDEX(HY!$G601:$AN601,MATCH(L$3,HY!$G$4:$AN$4,0))</f>
        <v>0</v>
      </c>
      <c r="M129" s="17">
        <f>INDEX(HY!$G601:$AN601,MATCH(M$3,HY!$G$4:$AN$4,0))</f>
        <v>0</v>
      </c>
      <c r="N129" s="17">
        <f>INDEX(HY!$G601:$AN601,MATCH(N$3,HY!$G$4:$AN$4,0))</f>
        <v>0</v>
      </c>
      <c r="O129" s="17">
        <f>INDEX(HY!$G601:$AN601,MATCH(O$3,HY!$G$4:$AN$4,0))</f>
        <v>0</v>
      </c>
      <c r="P129" s="17">
        <f>INDEX(HY!$G601:$AN601,MATCH(P$3,HY!$G$4:$AN$4,0))</f>
        <v>0</v>
      </c>
      <c r="Q129" s="17">
        <f>INDEX(HY!$G601:$AN601,MATCH(Q$3,HY!$G$4:$AN$4,0))</f>
        <v>0</v>
      </c>
      <c r="R129" s="17">
        <f>INDEX(HY!$G601:$AN601,MATCH(R$3,HY!$G$4:$AN$4,0))</f>
        <v>0</v>
      </c>
      <c r="S129" s="17">
        <f>INDEX(HY!$G601:$AN601,MATCH(S$3,HY!$G$4:$AN$4,0))</f>
        <v>0</v>
      </c>
      <c r="T129" s="551"/>
    </row>
    <row r="130" spans="1:21">
      <c r="B130" s="9" t="s">
        <v>199</v>
      </c>
      <c r="C130" s="17"/>
      <c r="D130" s="17">
        <f>INDEX(HY!$G602:$AN602,MATCH(D$3,HY!$G$4:$AN$4,0))</f>
        <v>0</v>
      </c>
      <c r="E130" s="17">
        <f>INDEX(HY!$G602:$AN602,MATCH(E$3,HY!$G$4:$AN$4,0))</f>
        <v>0.48499999999999999</v>
      </c>
      <c r="F130" s="17">
        <f>INDEX(HY!$G602:$AN602,MATCH(F$3,HY!$G$4:$AN$4,0))</f>
        <v>3.0139999999999998</v>
      </c>
      <c r="G130" s="17">
        <f>INDEX(HY!$G602:$AN602,MATCH(G$3,HY!$G$4:$AN$4,0))</f>
        <v>3.5760000000000001</v>
      </c>
      <c r="H130" s="17">
        <f>INDEX(HY!$G602:$AN602,MATCH(H$3,HY!$G$4:$AN$4,0))</f>
        <v>3.0449999999999999</v>
      </c>
      <c r="I130" s="17">
        <f>INDEX(HY!$G602:$AN602,MATCH(I$3,HY!$G$4:$AN$4,0))</f>
        <v>3.2850000000000001</v>
      </c>
      <c r="J130" s="17">
        <f>INDEX(HY!$G602:$AN602,MATCH(J$3,HY!$G$4:$AN$4,0))</f>
        <v>6.8090000000000002</v>
      </c>
      <c r="K130" s="17">
        <f>INDEX(HY!$G602:$AN602,MATCH(K$3,HY!$G$4:$AN$4,0))</f>
        <v>7.9240000000000004</v>
      </c>
      <c r="L130" s="17">
        <f>INDEX(HY!$G602:$AN602,MATCH(L$3,HY!$G$4:$AN$4,0))</f>
        <v>7.9240000000000004</v>
      </c>
      <c r="M130" s="17">
        <f>INDEX(HY!$G602:$AN602,MATCH(M$3,HY!$G$4:$AN$4,0))</f>
        <v>7.9240000000000004</v>
      </c>
      <c r="N130" s="17">
        <f>INDEX(HY!$G602:$AN602,MATCH(N$3,HY!$G$4:$AN$4,0))</f>
        <v>7.9240000000000004</v>
      </c>
      <c r="O130" s="17">
        <f>INDEX(HY!$G602:$AN602,MATCH(O$3,HY!$G$4:$AN$4,0))</f>
        <v>7.9240000000000004</v>
      </c>
      <c r="P130" s="17">
        <f>INDEX(HY!$G602:$AN602,MATCH(P$3,HY!$G$4:$AN$4,0))</f>
        <v>7.9240000000000004</v>
      </c>
      <c r="Q130" s="17">
        <f>INDEX(HY!$G602:$AN602,MATCH(Q$3,HY!$G$4:$AN$4,0))</f>
        <v>7.9240000000000004</v>
      </c>
      <c r="R130" s="17">
        <f>INDEX(HY!$G602:$AN602,MATCH(R$3,HY!$G$4:$AN$4,0))</f>
        <v>7.9240000000000004</v>
      </c>
      <c r="S130" s="17">
        <f>INDEX(HY!$G602:$AN602,MATCH(S$3,HY!$G$4:$AN$4,0))</f>
        <v>7.9240000000000004</v>
      </c>
      <c r="T130" s="551"/>
    </row>
    <row r="131" spans="1:21">
      <c r="B131" s="9" t="s">
        <v>319</v>
      </c>
      <c r="C131" s="17"/>
      <c r="D131" s="17">
        <f>INDEX(HY!$G603:$AN603,MATCH(D$3,HY!$G$4:$AN$4,0))</f>
        <v>49.127000000000002</v>
      </c>
      <c r="E131" s="17">
        <f>INDEX(HY!$G603:$AN603,MATCH(E$3,HY!$G$4:$AN$4,0))</f>
        <v>302.50900000000001</v>
      </c>
      <c r="F131" s="17">
        <f>INDEX(HY!$G603:$AN603,MATCH(F$3,HY!$G$4:$AN$4,0))</f>
        <v>48.030999999999999</v>
      </c>
      <c r="G131" s="17">
        <f>INDEX(HY!$G603:$AN603,MATCH(G$3,HY!$G$4:$AN$4,0))</f>
        <v>78</v>
      </c>
      <c r="H131" s="17">
        <f>INDEX(HY!$G603:$AN603,MATCH(H$3,HY!$G$4:$AN$4,0))</f>
        <v>45.814</v>
      </c>
      <c r="I131" s="17">
        <f>INDEX(HY!$G603:$AN603,MATCH(I$3,HY!$G$4:$AN$4,0))</f>
        <v>241.11600000000001</v>
      </c>
      <c r="J131" s="17">
        <f>INDEX(HY!$G603:$AN603,MATCH(J$3,HY!$G$4:$AN$4,0))</f>
        <v>0</v>
      </c>
      <c r="K131" s="17">
        <f>INDEX(HY!$G603:$AN603,MATCH(K$3,HY!$G$4:$AN$4,0))</f>
        <v>175</v>
      </c>
      <c r="L131" s="17">
        <f>INDEX(HY!$G603:$AN603,MATCH(L$3,HY!$G$4:$AN$4,0))</f>
        <v>0</v>
      </c>
      <c r="M131" s="17">
        <f>INDEX(HY!$G603:$AN603,MATCH(M$3,HY!$G$4:$AN$4,0))</f>
        <v>0</v>
      </c>
      <c r="N131" s="17">
        <f>INDEX(HY!$G603:$AN603,MATCH(N$3,HY!$G$4:$AN$4,0))</f>
        <v>0</v>
      </c>
      <c r="O131" s="17">
        <f>INDEX(HY!$G603:$AN603,MATCH(O$3,HY!$G$4:$AN$4,0))</f>
        <v>0</v>
      </c>
      <c r="P131" s="17">
        <f>INDEX(HY!$G603:$AN603,MATCH(P$3,HY!$G$4:$AN$4,0))</f>
        <v>0</v>
      </c>
      <c r="Q131" s="17">
        <f>INDEX(HY!$G603:$AN603,MATCH(Q$3,HY!$G$4:$AN$4,0))</f>
        <v>0</v>
      </c>
      <c r="R131" s="17">
        <f>INDEX(HY!$G603:$AN603,MATCH(R$3,HY!$G$4:$AN$4,0))</f>
        <v>0</v>
      </c>
      <c r="S131" s="17">
        <f>INDEX(HY!$G603:$AN603,MATCH(S$3,HY!$G$4:$AN$4,0))</f>
        <v>0</v>
      </c>
      <c r="T131" s="551"/>
    </row>
    <row r="132" spans="1:21">
      <c r="B132" s="9" t="s">
        <v>110</v>
      </c>
      <c r="C132" s="17"/>
      <c r="D132" s="17">
        <f>INDEX(HY!$G604:$AN604,MATCH(D$3,HY!$G$4:$AN$4,0))</f>
        <v>0.78400000000000003</v>
      </c>
      <c r="E132" s="17">
        <f>INDEX(HY!$G604:$AN604,MATCH(E$3,HY!$G$4:$AN$4,0))</f>
        <v>159.27799999999999</v>
      </c>
      <c r="F132" s="17">
        <f>INDEX(HY!$G604:$AN604,MATCH(F$3,HY!$G$4:$AN$4,0))</f>
        <v>2.0880000000000001</v>
      </c>
      <c r="G132" s="17">
        <f>INDEX(HY!$G604:$AN604,MATCH(G$3,HY!$G$4:$AN$4,0))</f>
        <v>1.2E-2</v>
      </c>
      <c r="H132" s="17">
        <f>INDEX(HY!$G604:$AN604,MATCH(H$3,HY!$G$4:$AN$4,0))</f>
        <v>39.832000000000001</v>
      </c>
      <c r="I132" s="17">
        <f>INDEX(HY!$G604:$AN604,MATCH(I$3,HY!$G$4:$AN$4,0))</f>
        <v>0.36599999999999999</v>
      </c>
      <c r="J132" s="17">
        <f>INDEX(HY!$G604:$AN604,MATCH(J$3,HY!$G$4:$AN$4,0))</f>
        <v>246.95499999999998</v>
      </c>
      <c r="K132" s="17">
        <f>INDEX(HY!$G604:$AN604,MATCH(K$3,HY!$G$4:$AN$4,0))</f>
        <v>0.505</v>
      </c>
      <c r="L132" s="17">
        <f>INDEX(HY!$G604:$AN604,MATCH(L$3,HY!$G$4:$AN$4,0))</f>
        <v>0.505</v>
      </c>
      <c r="M132" s="17">
        <f>INDEX(HY!$G604:$AN604,MATCH(M$3,HY!$G$4:$AN$4,0))</f>
        <v>0.505</v>
      </c>
      <c r="N132" s="17">
        <f>INDEX(HY!$G604:$AN604,MATCH(N$3,HY!$G$4:$AN$4,0))</f>
        <v>0.505</v>
      </c>
      <c r="O132" s="17">
        <f>INDEX(HY!$G604:$AN604,MATCH(O$3,HY!$G$4:$AN$4,0))</f>
        <v>0.505</v>
      </c>
      <c r="P132" s="17">
        <f>INDEX(HY!$G604:$AN604,MATCH(P$3,HY!$G$4:$AN$4,0))</f>
        <v>0.505</v>
      </c>
      <c r="Q132" s="17">
        <f>INDEX(HY!$G604:$AN604,MATCH(Q$3,HY!$G$4:$AN$4,0))</f>
        <v>0.505</v>
      </c>
      <c r="R132" s="17">
        <f>INDEX(HY!$G604:$AN604,MATCH(R$3,HY!$G$4:$AN$4,0))</f>
        <v>0.505</v>
      </c>
      <c r="S132" s="17">
        <f>INDEX(HY!$G604:$AN604,MATCH(S$3,HY!$G$4:$AN$4,0))</f>
        <v>0.505</v>
      </c>
      <c r="T132" s="551"/>
    </row>
    <row r="133" spans="1:21">
      <c r="B133" s="19" t="s">
        <v>176</v>
      </c>
      <c r="C133" s="17"/>
      <c r="D133" s="17" t="s">
        <v>176</v>
      </c>
      <c r="E133" s="17" t="s">
        <v>176</v>
      </c>
      <c r="F133" s="17" t="s">
        <v>176</v>
      </c>
      <c r="G133" s="17" t="s">
        <v>176</v>
      </c>
      <c r="H133" s="17" t="s">
        <v>176</v>
      </c>
      <c r="I133" s="17" t="s">
        <v>176</v>
      </c>
      <c r="J133" s="17" t="s">
        <v>176</v>
      </c>
      <c r="K133" s="17" t="s">
        <v>176</v>
      </c>
      <c r="L133" s="17" t="s">
        <v>176</v>
      </c>
      <c r="M133" s="17" t="s">
        <v>176</v>
      </c>
      <c r="N133" s="17" t="s">
        <v>176</v>
      </c>
      <c r="O133" s="17" t="s">
        <v>176</v>
      </c>
      <c r="P133" s="17" t="s">
        <v>176</v>
      </c>
      <c r="Q133" s="17" t="s">
        <v>176</v>
      </c>
      <c r="R133" s="17" t="s">
        <v>176</v>
      </c>
      <c r="S133" s="17" t="s">
        <v>176</v>
      </c>
      <c r="T133" s="551"/>
    </row>
    <row r="134" spans="1:21" s="13" customFormat="1">
      <c r="A134" s="610"/>
      <c r="B134" s="13" t="s">
        <v>1187</v>
      </c>
      <c r="C134" s="24"/>
      <c r="D134" s="24">
        <f t="shared" ref="D134:O134" si="52">SUM(D127:D133)</f>
        <v>292.67599999999999</v>
      </c>
      <c r="E134" s="24">
        <f t="shared" si="52"/>
        <v>684.8900000000001</v>
      </c>
      <c r="F134" s="24">
        <f t="shared" si="52"/>
        <v>269.55400000000003</v>
      </c>
      <c r="G134" s="24">
        <f t="shared" si="52"/>
        <v>268.88100000000003</v>
      </c>
      <c r="H134" s="24">
        <f t="shared" si="52"/>
        <v>347.53700000000003</v>
      </c>
      <c r="I134" s="24">
        <f t="shared" si="52"/>
        <v>506.27</v>
      </c>
      <c r="J134" s="24">
        <f t="shared" si="52"/>
        <v>408.53100000000001</v>
      </c>
      <c r="K134" s="24">
        <f t="shared" si="52"/>
        <v>334.39600000000002</v>
      </c>
      <c r="L134" s="24">
        <f t="shared" si="52"/>
        <v>162.14210623204423</v>
      </c>
      <c r="M134" s="24">
        <f t="shared" si="52"/>
        <v>160.43573883670328</v>
      </c>
      <c r="N134" s="24">
        <f t="shared" si="52"/>
        <v>164.78651025902096</v>
      </c>
      <c r="O134" s="24">
        <f t="shared" si="52"/>
        <v>171.10828771759353</v>
      </c>
      <c r="P134" s="24">
        <f t="shared" ref="P134:S134" si="53">SUM(P127:P133)</f>
        <v>177.57776319558596</v>
      </c>
      <c r="Q134" s="24">
        <f t="shared" si="53"/>
        <v>183.39572638359923</v>
      </c>
      <c r="R134" s="24">
        <f t="shared" si="53"/>
        <v>191.48476690776837</v>
      </c>
      <c r="S134" s="24">
        <f t="shared" si="53"/>
        <v>198.67110142467905</v>
      </c>
      <c r="T134" s="552"/>
    </row>
    <row r="135" spans="1:21">
      <c r="C135" s="17"/>
      <c r="D135" s="17"/>
      <c r="E135" s="17"/>
      <c r="F135" s="17"/>
      <c r="G135" s="17"/>
      <c r="H135" s="17"/>
      <c r="I135" s="17"/>
      <c r="J135" s="17"/>
      <c r="K135" s="17"/>
      <c r="L135" s="17"/>
      <c r="M135" s="17"/>
      <c r="N135" s="17"/>
      <c r="O135" s="17"/>
      <c r="P135" s="17"/>
      <c r="Q135" s="17"/>
      <c r="R135" s="17"/>
      <c r="S135" s="17"/>
      <c r="T135" s="551"/>
    </row>
    <row r="136" spans="1:21">
      <c r="B136" s="9" t="s">
        <v>321</v>
      </c>
      <c r="C136" s="17"/>
      <c r="D136" s="17">
        <f>INDEX(HY!$G608:$AN608,MATCH(D$3,HY!$G$4:$AN$4,0))</f>
        <v>70.16</v>
      </c>
      <c r="E136" s="17">
        <f>INDEX(HY!$G608:$AN608,MATCH(E$3,HY!$G$4:$AN$4,0))</f>
        <v>45.174999999999997</v>
      </c>
      <c r="F136" s="17">
        <f>INDEX(HY!$G608:$AN608,MATCH(F$3,HY!$G$4:$AN$4,0))</f>
        <v>51.975000000000001</v>
      </c>
      <c r="G136" s="17">
        <f>INDEX(HY!$G608:$AN608,MATCH(G$3,HY!$G$4:$AN$4,0))</f>
        <v>60.591000000000001</v>
      </c>
      <c r="H136" s="17">
        <f>INDEX(HY!$G608:$AN608,MATCH(H$3,HY!$G$4:$AN$4,0))</f>
        <v>56.1</v>
      </c>
      <c r="I136" s="17">
        <f>INDEX(HY!$G608:$AN608,MATCH(I$3,HY!$G$4:$AN$4,0))</f>
        <v>210.739</v>
      </c>
      <c r="J136" s="17">
        <f>INDEX(HY!$G608:$AN608,MATCH(J$3,HY!$G$4:$AN$4,0))</f>
        <v>207.69200000000001</v>
      </c>
      <c r="K136" s="17">
        <f>INDEX(HY!$G608:$AN608,MATCH(K$3,HY!$G$4:$AN$4,0))</f>
        <v>170.245</v>
      </c>
      <c r="L136" s="17">
        <f>INDEX(HY!$G608:$AN608,MATCH(L$3,HY!$G$4:$AN$4,0))</f>
        <v>170.245</v>
      </c>
      <c r="M136" s="17">
        <f>INDEX(HY!$G608:$AN608,MATCH(M$3,HY!$G$4:$AN$4,0))</f>
        <v>170.245</v>
      </c>
      <c r="N136" s="17">
        <f>INDEX(HY!$G608:$AN608,MATCH(N$3,HY!$G$4:$AN$4,0))</f>
        <v>170.245</v>
      </c>
      <c r="O136" s="17">
        <f>INDEX(HY!$G608:$AN608,MATCH(O$3,HY!$G$4:$AN$4,0))</f>
        <v>170.245</v>
      </c>
      <c r="P136" s="17">
        <f>INDEX(HY!$G608:$AN608,MATCH(P$3,HY!$G$4:$AN$4,0))</f>
        <v>170.245</v>
      </c>
      <c r="Q136" s="17">
        <f>INDEX(HY!$G608:$AN608,MATCH(Q$3,HY!$G$4:$AN$4,0))</f>
        <v>170.245</v>
      </c>
      <c r="R136" s="17">
        <f>INDEX(HY!$G608:$AN608,MATCH(R$3,HY!$G$4:$AN$4,0))</f>
        <v>170.245</v>
      </c>
      <c r="S136" s="17">
        <f>INDEX(HY!$G608:$AN608,MATCH(S$3,HY!$G$4:$AN$4,0))</f>
        <v>170.245</v>
      </c>
      <c r="T136" s="551"/>
    </row>
    <row r="137" spans="1:21">
      <c r="B137" s="9" t="s">
        <v>322</v>
      </c>
      <c r="C137" s="17"/>
      <c r="D137" s="17">
        <f>INDEX(HY!$G609:$AN609,MATCH(D$3,HY!$G$4:$AN$4,0))</f>
        <v>0</v>
      </c>
      <c r="E137" s="17">
        <f>INDEX(HY!$G609:$AN609,MATCH(E$3,HY!$G$4:$AN$4,0))</f>
        <v>52.188000000000002</v>
      </c>
      <c r="F137" s="17">
        <f>INDEX(HY!$G609:$AN609,MATCH(F$3,HY!$G$4:$AN$4,0))</f>
        <v>115.79300000000001</v>
      </c>
      <c r="G137" s="17">
        <f>INDEX(HY!$G609:$AN609,MATCH(G$3,HY!$G$4:$AN$4,0))</f>
        <v>117.53</v>
      </c>
      <c r="H137" s="17">
        <f>INDEX(HY!$G609:$AN609,MATCH(H$3,HY!$G$4:$AN$4,0))</f>
        <v>116.84</v>
      </c>
      <c r="I137" s="17">
        <f>INDEX(HY!$G609:$AN609,MATCH(I$3,HY!$G$4:$AN$4,0))</f>
        <v>118.14700000000001</v>
      </c>
      <c r="J137" s="17">
        <f>INDEX(HY!$G609:$AN609,MATCH(J$3,HY!$G$4:$AN$4,0))</f>
        <v>130.154</v>
      </c>
      <c r="K137" s="17">
        <f>INDEX(HY!$G609:$AN609,MATCH(K$3,HY!$G$4:$AN$4,0))</f>
        <v>146.304</v>
      </c>
      <c r="L137" s="17">
        <f>INDEX(HY!$G609:$AN609,MATCH(L$3,HY!$G$4:$AN$4,0))</f>
        <v>146.304</v>
      </c>
      <c r="M137" s="17">
        <f>INDEX(HY!$G609:$AN609,MATCH(M$3,HY!$G$4:$AN$4,0))</f>
        <v>146.304</v>
      </c>
      <c r="N137" s="17">
        <f>INDEX(HY!$G609:$AN609,MATCH(N$3,HY!$G$4:$AN$4,0))</f>
        <v>146.304</v>
      </c>
      <c r="O137" s="17">
        <f>INDEX(HY!$G609:$AN609,MATCH(O$3,HY!$G$4:$AN$4,0))</f>
        <v>146.304</v>
      </c>
      <c r="P137" s="17">
        <f>INDEX(HY!$G609:$AN609,MATCH(P$3,HY!$G$4:$AN$4,0))</f>
        <v>146.304</v>
      </c>
      <c r="Q137" s="17">
        <f>INDEX(HY!$G609:$AN609,MATCH(Q$3,HY!$G$4:$AN$4,0))</f>
        <v>146.304</v>
      </c>
      <c r="R137" s="17">
        <f>INDEX(HY!$G609:$AN609,MATCH(R$3,HY!$G$4:$AN$4,0))</f>
        <v>146.304</v>
      </c>
      <c r="S137" s="17">
        <f>INDEX(HY!$G609:$AN609,MATCH(S$3,HY!$G$4:$AN$4,0))</f>
        <v>146.304</v>
      </c>
      <c r="T137" s="551"/>
    </row>
    <row r="138" spans="1:21">
      <c r="B138" s="9" t="s">
        <v>323</v>
      </c>
      <c r="C138" s="17"/>
      <c r="D138" s="17">
        <f>INDEX(HY!$G610:$AN610,MATCH(D$3,HY!$G$4:$AN$4,0))</f>
        <v>495.91300000000001</v>
      </c>
      <c r="E138" s="17">
        <f>INDEX(HY!$G610:$AN610,MATCH(E$3,HY!$G$4:$AN$4,0))</f>
        <v>282.73099999999999</v>
      </c>
      <c r="F138" s="17">
        <f>INDEX(HY!$G610:$AN610,MATCH(F$3,HY!$G$4:$AN$4,0))</f>
        <v>440.964</v>
      </c>
      <c r="G138" s="17">
        <f>INDEX(HY!$G610:$AN610,MATCH(G$3,HY!$G$4:$AN$4,0))</f>
        <v>451.37200000000001</v>
      </c>
      <c r="H138" s="17">
        <f>INDEX(HY!$G610:$AN610,MATCH(H$3,HY!$G$4:$AN$4,0))</f>
        <v>525.66600000000005</v>
      </c>
      <c r="I138" s="17">
        <f>INDEX(HY!$G610:$AN610,MATCH(I$3,HY!$G$4:$AN$4,0))</f>
        <v>368.38099999999997</v>
      </c>
      <c r="J138" s="17">
        <f>INDEX(HY!$G610:$AN610,MATCH(J$3,HY!$G$4:$AN$4,0))</f>
        <v>666.48400000000004</v>
      </c>
      <c r="K138" s="17">
        <f>INDEX(HY!$G610:$AN610,MATCH(K$3,HY!$G$4:$AN$4,0))</f>
        <v>390.108</v>
      </c>
      <c r="L138" s="17">
        <f>INDEX(HY!$G610:$AN610,MATCH(L$3,HY!$G$4:$AN$4,0))</f>
        <v>280.108</v>
      </c>
      <c r="M138" s="17">
        <f>INDEX(HY!$G610:$AN610,MATCH(M$3,HY!$G$4:$AN$4,0))</f>
        <v>280.108</v>
      </c>
      <c r="N138" s="17">
        <f>INDEX(HY!$G610:$AN610,MATCH(N$3,HY!$G$4:$AN$4,0))</f>
        <v>280.108</v>
      </c>
      <c r="O138" s="17">
        <f>INDEX(HY!$G610:$AN610,MATCH(O$3,HY!$G$4:$AN$4,0))</f>
        <v>280.108</v>
      </c>
      <c r="P138" s="17">
        <f>INDEX(HY!$G610:$AN610,MATCH(P$3,HY!$G$4:$AN$4,0))</f>
        <v>280.108</v>
      </c>
      <c r="Q138" s="17">
        <f>INDEX(HY!$G610:$AN610,MATCH(Q$3,HY!$G$4:$AN$4,0))</f>
        <v>280.108</v>
      </c>
      <c r="R138" s="17">
        <f>INDEX(HY!$G610:$AN610,MATCH(R$3,HY!$G$4:$AN$4,0))</f>
        <v>280.108</v>
      </c>
      <c r="S138" s="17">
        <f>INDEX(HY!$G610:$AN610,MATCH(S$3,HY!$G$4:$AN$4,0))</f>
        <v>280.108</v>
      </c>
      <c r="T138" s="551"/>
    </row>
    <row r="139" spans="1:21">
      <c r="B139" s="9" t="s">
        <v>110</v>
      </c>
      <c r="C139" s="17"/>
      <c r="D139" s="17">
        <f>INDEX(HY!$G611:$AN611,MATCH(D$3,HY!$G$4:$AN$4,0))</f>
        <v>537.22899999999993</v>
      </c>
      <c r="E139" s="17">
        <f>INDEX(HY!$G611:$AN611,MATCH(E$3,HY!$G$4:$AN$4,0))</f>
        <v>289.73099999999999</v>
      </c>
      <c r="F139" s="17">
        <f>INDEX(HY!$G611:$AN611,MATCH(F$3,HY!$G$4:$AN$4,0))</f>
        <v>271.59100000000001</v>
      </c>
      <c r="G139" s="17">
        <f>INDEX(HY!$G611:$AN611,MATCH(G$3,HY!$G$4:$AN$4,0))</f>
        <v>274.05400000000003</v>
      </c>
      <c r="H139" s="17">
        <f>INDEX(HY!$G611:$AN611,MATCH(H$3,HY!$G$4:$AN$4,0))</f>
        <v>287.15800000000002</v>
      </c>
      <c r="I139" s="17">
        <f>INDEX(HY!$G611:$AN611,MATCH(I$3,HY!$G$4:$AN$4,0))</f>
        <v>273.63799999999998</v>
      </c>
      <c r="J139" s="17">
        <f>INDEX(HY!$G611:$AN611,MATCH(J$3,HY!$G$4:$AN$4,0))</f>
        <v>16.399000000000001</v>
      </c>
      <c r="K139" s="17">
        <f>INDEX(HY!$G611:$AN611,MATCH(K$3,HY!$G$4:$AN$4,0))</f>
        <v>18.911000000000001</v>
      </c>
      <c r="L139" s="17">
        <f>INDEX(HY!$G611:$AN611,MATCH(L$3,HY!$G$4:$AN$4,0))</f>
        <v>18.911000000000001</v>
      </c>
      <c r="M139" s="17">
        <f>INDEX(HY!$G611:$AN611,MATCH(M$3,HY!$G$4:$AN$4,0))</f>
        <v>18.911000000000001</v>
      </c>
      <c r="N139" s="17">
        <f>INDEX(HY!$G611:$AN611,MATCH(N$3,HY!$G$4:$AN$4,0))</f>
        <v>18.911000000000001</v>
      </c>
      <c r="O139" s="17">
        <f>INDEX(HY!$G611:$AN611,MATCH(O$3,HY!$G$4:$AN$4,0))</f>
        <v>18.911000000000001</v>
      </c>
      <c r="P139" s="17">
        <f>INDEX(HY!$G611:$AN611,MATCH(P$3,HY!$G$4:$AN$4,0))</f>
        <v>18.911000000000001</v>
      </c>
      <c r="Q139" s="17">
        <f>INDEX(HY!$G611:$AN611,MATCH(Q$3,HY!$G$4:$AN$4,0))</f>
        <v>18.911000000000001</v>
      </c>
      <c r="R139" s="17">
        <f>INDEX(HY!$G611:$AN611,MATCH(R$3,HY!$G$4:$AN$4,0))</f>
        <v>18.911000000000001</v>
      </c>
      <c r="S139" s="17">
        <f>INDEX(HY!$G611:$AN611,MATCH(S$3,HY!$G$4:$AN$4,0))</f>
        <v>18.911000000000001</v>
      </c>
      <c r="T139" s="551"/>
    </row>
    <row r="140" spans="1:21">
      <c r="B140" s="19" t="s">
        <v>176</v>
      </c>
      <c r="C140" s="21"/>
      <c r="D140" s="21" t="s">
        <v>176</v>
      </c>
      <c r="E140" s="21" t="s">
        <v>176</v>
      </c>
      <c r="F140" s="21" t="s">
        <v>176</v>
      </c>
      <c r="G140" s="21" t="s">
        <v>176</v>
      </c>
      <c r="H140" s="21" t="s">
        <v>176</v>
      </c>
      <c r="I140" s="21" t="s">
        <v>176</v>
      </c>
      <c r="J140" s="21" t="s">
        <v>176</v>
      </c>
      <c r="K140" s="21" t="s">
        <v>176</v>
      </c>
      <c r="L140" s="21" t="s">
        <v>176</v>
      </c>
      <c r="M140" s="21" t="s">
        <v>176</v>
      </c>
      <c r="N140" s="21" t="s">
        <v>176</v>
      </c>
      <c r="O140" s="21" t="s">
        <v>176</v>
      </c>
      <c r="P140" s="21" t="s">
        <v>176</v>
      </c>
      <c r="Q140" s="21" t="s">
        <v>176</v>
      </c>
      <c r="R140" s="21" t="s">
        <v>176</v>
      </c>
      <c r="S140" s="21" t="s">
        <v>176</v>
      </c>
      <c r="T140" s="555"/>
      <c r="U140" s="19" t="s">
        <v>176</v>
      </c>
    </row>
    <row r="141" spans="1:21" s="13" customFormat="1">
      <c r="A141" s="610"/>
      <c r="B141" s="13" t="s">
        <v>789</v>
      </c>
      <c r="C141" s="24"/>
      <c r="D141" s="24">
        <f t="shared" ref="D141:O141" si="54">SUM(D136:D140)</f>
        <v>1103.3019999999999</v>
      </c>
      <c r="E141" s="24">
        <f t="shared" si="54"/>
        <v>669.82500000000005</v>
      </c>
      <c r="F141" s="24">
        <f t="shared" si="54"/>
        <v>880.32299999999998</v>
      </c>
      <c r="G141" s="24">
        <f t="shared" si="54"/>
        <v>903.54700000000003</v>
      </c>
      <c r="H141" s="24">
        <f t="shared" si="54"/>
        <v>985.76400000000001</v>
      </c>
      <c r="I141" s="24">
        <f t="shared" si="54"/>
        <v>970.90499999999997</v>
      </c>
      <c r="J141" s="24">
        <f t="shared" si="54"/>
        <v>1020.729</v>
      </c>
      <c r="K141" s="24">
        <f t="shared" si="54"/>
        <v>725.56799999999998</v>
      </c>
      <c r="L141" s="24">
        <f t="shared" si="54"/>
        <v>615.56799999999998</v>
      </c>
      <c r="M141" s="24">
        <f t="shared" si="54"/>
        <v>615.56799999999998</v>
      </c>
      <c r="N141" s="24">
        <f t="shared" si="54"/>
        <v>615.56799999999998</v>
      </c>
      <c r="O141" s="24">
        <f t="shared" si="54"/>
        <v>615.56799999999998</v>
      </c>
      <c r="P141" s="24">
        <f t="shared" ref="P141:S141" si="55">SUM(P136:P140)</f>
        <v>615.56799999999998</v>
      </c>
      <c r="Q141" s="24">
        <f t="shared" si="55"/>
        <v>615.56799999999998</v>
      </c>
      <c r="R141" s="24">
        <f t="shared" si="55"/>
        <v>615.56799999999998</v>
      </c>
      <c r="S141" s="24">
        <f t="shared" si="55"/>
        <v>615.56799999999998</v>
      </c>
      <c r="T141" s="552"/>
    </row>
    <row r="142" spans="1:21">
      <c r="B142" s="9" t="s">
        <v>1188</v>
      </c>
      <c r="C142" s="17"/>
      <c r="D142" s="17">
        <f t="shared" ref="D142:O142" si="56">D141+D134</f>
        <v>1395.9779999999998</v>
      </c>
      <c r="E142" s="17">
        <f t="shared" si="56"/>
        <v>1354.7150000000001</v>
      </c>
      <c r="F142" s="17">
        <f t="shared" si="56"/>
        <v>1149.877</v>
      </c>
      <c r="G142" s="17">
        <f t="shared" si="56"/>
        <v>1172.4280000000001</v>
      </c>
      <c r="H142" s="17">
        <f t="shared" si="56"/>
        <v>1333.3009999999999</v>
      </c>
      <c r="I142" s="17">
        <f t="shared" si="56"/>
        <v>1477.175</v>
      </c>
      <c r="J142" s="17">
        <f t="shared" si="56"/>
        <v>1429.26</v>
      </c>
      <c r="K142" s="17">
        <f t="shared" si="56"/>
        <v>1059.9639999999999</v>
      </c>
      <c r="L142" s="17">
        <f t="shared" si="56"/>
        <v>777.71010623204415</v>
      </c>
      <c r="M142" s="17">
        <f t="shared" si="56"/>
        <v>776.00373883670329</v>
      </c>
      <c r="N142" s="17">
        <f t="shared" si="56"/>
        <v>780.35451025902091</v>
      </c>
      <c r="O142" s="17">
        <f t="shared" si="56"/>
        <v>786.67628771759348</v>
      </c>
      <c r="P142" s="17">
        <f t="shared" ref="P142:S142" si="57">P141+P134</f>
        <v>793.14576319558591</v>
      </c>
      <c r="Q142" s="17">
        <f t="shared" si="57"/>
        <v>798.96372638359924</v>
      </c>
      <c r="R142" s="17">
        <f t="shared" si="57"/>
        <v>807.05276690776839</v>
      </c>
      <c r="S142" s="17">
        <f t="shared" si="57"/>
        <v>814.23910142467901</v>
      </c>
      <c r="T142" s="551"/>
    </row>
    <row r="143" spans="1:21">
      <c r="C143" s="17"/>
      <c r="D143" s="17"/>
      <c r="E143" s="17"/>
      <c r="F143" s="17"/>
      <c r="G143" s="17"/>
      <c r="H143" s="17"/>
      <c r="I143" s="17"/>
      <c r="J143" s="17"/>
      <c r="K143" s="17"/>
      <c r="L143" s="17"/>
      <c r="M143" s="17"/>
      <c r="N143" s="17"/>
      <c r="O143" s="17"/>
      <c r="P143" s="17"/>
      <c r="Q143" s="17"/>
      <c r="R143" s="17"/>
      <c r="S143" s="17"/>
      <c r="T143" s="551"/>
    </row>
    <row r="144" spans="1:21">
      <c r="B144" s="9" t="s">
        <v>326</v>
      </c>
      <c r="C144" s="17"/>
      <c r="D144" s="17">
        <f>INDEX(HY!$G617:$AN617,MATCH(D$3,HY!$G$4:$AN$4,0))</f>
        <v>1126.9960000000001</v>
      </c>
      <c r="E144" s="17">
        <f>INDEX(HY!$G617:$AN617,MATCH(E$3,HY!$G$4:$AN$4,0))</f>
        <v>1288.287</v>
      </c>
      <c r="F144" s="17">
        <f>INDEX(HY!$G617:$AN617,MATCH(F$3,HY!$G$4:$AN$4,0))</f>
        <v>1338.223</v>
      </c>
      <c r="G144" s="17">
        <f>INDEX(HY!$G617:$AN617,MATCH(G$3,HY!$G$4:$AN$4,0))</f>
        <v>1340.556</v>
      </c>
      <c r="H144" s="17">
        <f>INDEX(HY!$G617:$AN617,MATCH(H$3,HY!$G$4:$AN$4,0))</f>
        <v>1343.027</v>
      </c>
      <c r="I144" s="17">
        <f>INDEX(HY!$G617:$AN617,MATCH(I$3,HY!$G$4:$AN$4,0))</f>
        <v>1342.4359999999999</v>
      </c>
      <c r="J144" s="17">
        <f>INDEX(HY!$G617:$AN617,MATCH(J$3,HY!$G$4:$AN$4,0))</f>
        <v>1343.627</v>
      </c>
      <c r="K144" s="17">
        <f>INDEX(HY!$G617:$AN617,MATCH(K$3,HY!$G$4:$AN$4,0))</f>
        <v>1573.414</v>
      </c>
      <c r="L144" s="17">
        <f>INDEX(HY!$G617:$AN617,MATCH(L$3,HY!$G$4:$AN$4,0))</f>
        <v>1573.414</v>
      </c>
      <c r="M144" s="17">
        <f>INDEX(HY!$G617:$AN617,MATCH(M$3,HY!$G$4:$AN$4,0))</f>
        <v>1573.414</v>
      </c>
      <c r="N144" s="17">
        <f>INDEX(HY!$G617:$AN617,MATCH(N$3,HY!$G$4:$AN$4,0))</f>
        <v>1573.414</v>
      </c>
      <c r="O144" s="17">
        <f>INDEX(HY!$G617:$AN617,MATCH(O$3,HY!$G$4:$AN$4,0))</f>
        <v>1573.414</v>
      </c>
      <c r="P144" s="17">
        <f>INDEX(HY!$G617:$AN617,MATCH(P$3,HY!$G$4:$AN$4,0))</f>
        <v>1573.414</v>
      </c>
      <c r="Q144" s="17">
        <f>INDEX(HY!$G617:$AN617,MATCH(Q$3,HY!$G$4:$AN$4,0))</f>
        <v>1573.414</v>
      </c>
      <c r="R144" s="17">
        <f>INDEX(HY!$G617:$AN617,MATCH(R$3,HY!$G$4:$AN$4,0))</f>
        <v>1573.414</v>
      </c>
      <c r="S144" s="17">
        <f>INDEX(HY!$G617:$AN617,MATCH(S$3,HY!$G$4:$AN$4,0))</f>
        <v>1573.414</v>
      </c>
      <c r="T144" s="551"/>
    </row>
    <row r="145" spans="1:20">
      <c r="B145" s="9" t="s">
        <v>327</v>
      </c>
      <c r="C145" s="17"/>
      <c r="D145" s="17">
        <f>INDEX(HY!$G618:$AN618,MATCH(D$3,HY!$G$4:$AN$4,0))</f>
        <v>-48.564999999999998</v>
      </c>
      <c r="E145" s="17">
        <f>INDEX(HY!$G618:$AN618,MATCH(E$3,HY!$G$4:$AN$4,0))</f>
        <v>-33.320999999999998</v>
      </c>
      <c r="F145" s="17">
        <f>INDEX(HY!$G618:$AN618,MATCH(F$3,HY!$G$4:$AN$4,0))</f>
        <v>-22.978999999999999</v>
      </c>
      <c r="G145" s="17">
        <f>INDEX(HY!$G618:$AN618,MATCH(G$3,HY!$G$4:$AN$4,0))</f>
        <v>-4.4450000000000003</v>
      </c>
      <c r="H145" s="17">
        <f>INDEX(HY!$G618:$AN618,MATCH(H$3,HY!$G$4:$AN$4,0))</f>
        <v>-10.435</v>
      </c>
      <c r="I145" s="17">
        <f>INDEX(HY!$G618:$AN618,MATCH(I$3,HY!$G$4:$AN$4,0))</f>
        <v>-7.45</v>
      </c>
      <c r="J145" s="17">
        <f>INDEX(HY!$G618:$AN618,MATCH(J$3,HY!$G$4:$AN$4,0))</f>
        <v>-11.311999999999999</v>
      </c>
      <c r="K145" s="17">
        <f>INDEX(HY!$G618:$AN618,MATCH(K$3,HY!$G$4:$AN$4,0))</f>
        <v>-44.722000000000001</v>
      </c>
      <c r="L145" s="17">
        <f>INDEX(HY!$G618:$AN618,MATCH(L$3,HY!$G$4:$AN$4,0))</f>
        <v>-44.722000000000001</v>
      </c>
      <c r="M145" s="17">
        <f>INDEX(HY!$G618:$AN618,MATCH(M$3,HY!$G$4:$AN$4,0))</f>
        <v>-44.722000000000001</v>
      </c>
      <c r="N145" s="17">
        <f>INDEX(HY!$G618:$AN618,MATCH(N$3,HY!$G$4:$AN$4,0))</f>
        <v>-44.722000000000001</v>
      </c>
      <c r="O145" s="17">
        <f>INDEX(HY!$G618:$AN618,MATCH(O$3,HY!$G$4:$AN$4,0))</f>
        <v>-44.722000000000001</v>
      </c>
      <c r="P145" s="17">
        <f>INDEX(HY!$G618:$AN618,MATCH(P$3,HY!$G$4:$AN$4,0))</f>
        <v>-44.722000000000001</v>
      </c>
      <c r="Q145" s="17">
        <f>INDEX(HY!$G618:$AN618,MATCH(Q$3,HY!$G$4:$AN$4,0))</f>
        <v>-44.722000000000001</v>
      </c>
      <c r="R145" s="17">
        <f>INDEX(HY!$G618:$AN618,MATCH(R$3,HY!$G$4:$AN$4,0))</f>
        <v>-44.722000000000001</v>
      </c>
      <c r="S145" s="17">
        <f>INDEX(HY!$G618:$AN618,MATCH(S$3,HY!$G$4:$AN$4,0))</f>
        <v>-44.722000000000001</v>
      </c>
      <c r="T145" s="551"/>
    </row>
    <row r="146" spans="1:20">
      <c r="B146" s="9" t="s">
        <v>328</v>
      </c>
      <c r="C146" s="17"/>
      <c r="D146" s="17">
        <f>INDEX(HY!$G619:$AN619,MATCH(D$3,HY!$G$4:$AN$4,0))</f>
        <v>77.540999999999997</v>
      </c>
      <c r="E146" s="17">
        <f>INDEX(HY!$G619:$AN619,MATCH(E$3,HY!$G$4:$AN$4,0))</f>
        <v>179.64099999999999</v>
      </c>
      <c r="F146" s="17">
        <f>INDEX(HY!$G619:$AN619,MATCH(F$3,HY!$G$4:$AN$4,0))</f>
        <v>321.83999999999997</v>
      </c>
      <c r="G146" s="17">
        <f>INDEX(HY!$G619:$AN619,MATCH(G$3,HY!$G$4:$AN$4,0))</f>
        <v>235.16300000000001</v>
      </c>
      <c r="H146" s="17">
        <f>INDEX(HY!$G619:$AN619,MATCH(H$3,HY!$G$4:$AN$4,0))</f>
        <v>197.60499999999999</v>
      </c>
      <c r="I146" s="17">
        <f>INDEX(HY!$G619:$AN619,MATCH(I$3,HY!$G$4:$AN$4,0))</f>
        <v>-31.125</v>
      </c>
      <c r="J146" s="17">
        <f>INDEX(HY!$G619:$AN619,MATCH(J$3,HY!$G$4:$AN$4,0))</f>
        <v>-1.891</v>
      </c>
      <c r="K146" s="17">
        <f>INDEX(HY!$G619:$AN619,MATCH(K$3,HY!$G$4:$AN$4,0))</f>
        <v>16.341999999999999</v>
      </c>
      <c r="L146" s="17">
        <f>INDEX(HY!$G619:$AN619,MATCH(L$3,HY!$G$4:$AN$4,0))</f>
        <v>-0.20767714806266824</v>
      </c>
      <c r="M146" s="17">
        <f>INDEX(HY!$G619:$AN619,MATCH(M$3,HY!$G$4:$AN$4,0))</f>
        <v>37.556733927977234</v>
      </c>
      <c r="N146" s="17">
        <f>INDEX(HY!$G619:$AN619,MATCH(N$3,HY!$G$4:$AN$4,0))</f>
        <v>105.13408947384046</v>
      </c>
      <c r="O146" s="17">
        <f>INDEX(HY!$G619:$AN619,MATCH(O$3,HY!$G$4:$AN$4,0))</f>
        <v>189.16505688081369</v>
      </c>
      <c r="P146" s="17">
        <f>INDEX(HY!$G619:$AN619,MATCH(P$3,HY!$G$4:$AN$4,0))</f>
        <v>211.43334670270599</v>
      </c>
      <c r="Q146" s="17">
        <f>INDEX(HY!$G619:$AN619,MATCH(Q$3,HY!$G$4:$AN$4,0))</f>
        <v>235.19517614933284</v>
      </c>
      <c r="R146" s="17">
        <f>INDEX(HY!$G619:$AN619,MATCH(R$3,HY!$G$4:$AN$4,0))</f>
        <v>260.87664370725423</v>
      </c>
      <c r="S146" s="17">
        <f>INDEX(HY!$G619:$AN619,MATCH(S$3,HY!$G$4:$AN$4,0))</f>
        <v>286.14709095801317</v>
      </c>
      <c r="T146" s="551"/>
    </row>
    <row r="147" spans="1:20">
      <c r="B147" s="9" t="s">
        <v>329</v>
      </c>
      <c r="C147" s="17"/>
      <c r="D147" s="17">
        <f>INDEX(HY!$G620:$AN620,MATCH(D$3,HY!$G$4:$AN$4,0))</f>
        <v>0</v>
      </c>
      <c r="E147" s="17">
        <f>INDEX(HY!$G620:$AN620,MATCH(E$3,HY!$G$4:$AN$4,0))</f>
        <v>0</v>
      </c>
      <c r="F147" s="17">
        <f>INDEX(HY!$G620:$AN620,MATCH(F$3,HY!$G$4:$AN$4,0))</f>
        <v>0</v>
      </c>
      <c r="G147" s="17">
        <f>INDEX(HY!$G620:$AN620,MATCH(G$3,HY!$G$4:$AN$4,0))</f>
        <v>0</v>
      </c>
      <c r="H147" s="17">
        <f>INDEX(HY!$G620:$AN620,MATCH(H$3,HY!$G$4:$AN$4,0))</f>
        <v>0</v>
      </c>
      <c r="I147" s="17">
        <f>INDEX(HY!$G620:$AN620,MATCH(I$3,HY!$G$4:$AN$4,0))</f>
        <v>0</v>
      </c>
      <c r="J147" s="17">
        <f>INDEX(HY!$G620:$AN620,MATCH(J$3,HY!$G$4:$AN$4,0))</f>
        <v>0</v>
      </c>
      <c r="K147" s="17">
        <f>INDEX(HY!$G620:$AN620,MATCH(K$3,HY!$G$4:$AN$4,0))</f>
        <v>0</v>
      </c>
      <c r="L147" s="17">
        <f>INDEX(HY!$G620:$AN620,MATCH(L$3,HY!$G$4:$AN$4,0))</f>
        <v>0</v>
      </c>
      <c r="M147" s="17">
        <f>INDEX(HY!$G620:$AN620,MATCH(M$3,HY!$G$4:$AN$4,0))</f>
        <v>0</v>
      </c>
      <c r="N147" s="17">
        <f>INDEX(HY!$G620:$AN620,MATCH(N$3,HY!$G$4:$AN$4,0))</f>
        <v>0</v>
      </c>
      <c r="O147" s="17">
        <f>INDEX(HY!$G620:$AN620,MATCH(O$3,HY!$G$4:$AN$4,0))</f>
        <v>0</v>
      </c>
      <c r="P147" s="17">
        <f>INDEX(HY!$G620:$AN620,MATCH(P$3,HY!$G$4:$AN$4,0))</f>
        <v>0</v>
      </c>
      <c r="Q147" s="17">
        <f>INDEX(HY!$G620:$AN620,MATCH(Q$3,HY!$G$4:$AN$4,0))</f>
        <v>0</v>
      </c>
      <c r="R147" s="17">
        <f>INDEX(HY!$G620:$AN620,MATCH(R$3,HY!$G$4:$AN$4,0))</f>
        <v>0</v>
      </c>
      <c r="S147" s="17">
        <f>INDEX(HY!$G620:$AN620,MATCH(S$3,HY!$G$4:$AN$4,0))</f>
        <v>0</v>
      </c>
      <c r="T147" s="551"/>
    </row>
    <row r="148" spans="1:20">
      <c r="B148" s="19" t="s">
        <v>176</v>
      </c>
      <c r="C148" s="17"/>
      <c r="D148" s="17" t="s">
        <v>176</v>
      </c>
      <c r="E148" s="17" t="s">
        <v>176</v>
      </c>
      <c r="F148" s="17" t="s">
        <v>176</v>
      </c>
      <c r="G148" s="17" t="s">
        <v>176</v>
      </c>
      <c r="H148" s="17" t="s">
        <v>176</v>
      </c>
      <c r="I148" s="17" t="s">
        <v>176</v>
      </c>
      <c r="J148" s="17" t="s">
        <v>176</v>
      </c>
      <c r="K148" s="17" t="s">
        <v>176</v>
      </c>
      <c r="L148" s="17" t="s">
        <v>176</v>
      </c>
      <c r="M148" s="17" t="s">
        <v>176</v>
      </c>
      <c r="N148" s="17" t="s">
        <v>176</v>
      </c>
      <c r="O148" s="17" t="s">
        <v>176</v>
      </c>
      <c r="P148" s="17" t="s">
        <v>176</v>
      </c>
      <c r="Q148" s="17" t="s">
        <v>176</v>
      </c>
      <c r="R148" s="17" t="s">
        <v>176</v>
      </c>
      <c r="S148" s="17" t="s">
        <v>176</v>
      </c>
      <c r="T148" s="551"/>
    </row>
    <row r="149" spans="1:20" s="13" customFormat="1">
      <c r="A149" s="610"/>
      <c r="B149" s="13" t="s">
        <v>1189</v>
      </c>
      <c r="C149" s="24"/>
      <c r="D149" s="24">
        <f t="shared" ref="D149:O149" si="58">SUM(D144:D148)</f>
        <v>1155.972</v>
      </c>
      <c r="E149" s="24">
        <f t="shared" si="58"/>
        <v>1434.6070000000002</v>
      </c>
      <c r="F149" s="24">
        <f t="shared" si="58"/>
        <v>1637.0839999999998</v>
      </c>
      <c r="G149" s="24">
        <f t="shared" si="58"/>
        <v>1571.2740000000001</v>
      </c>
      <c r="H149" s="24">
        <f t="shared" si="58"/>
        <v>1530.1970000000001</v>
      </c>
      <c r="I149" s="24">
        <f t="shared" si="58"/>
        <v>1303.8609999999999</v>
      </c>
      <c r="J149" s="24">
        <f t="shared" si="58"/>
        <v>1330.424</v>
      </c>
      <c r="K149" s="24">
        <f t="shared" si="58"/>
        <v>1545.0340000000001</v>
      </c>
      <c r="L149" s="24">
        <f t="shared" si="58"/>
        <v>1528.4843228519373</v>
      </c>
      <c r="M149" s="24">
        <f t="shared" si="58"/>
        <v>1566.2487339279774</v>
      </c>
      <c r="N149" s="24">
        <f t="shared" si="58"/>
        <v>1633.8260894738405</v>
      </c>
      <c r="O149" s="24">
        <f t="shared" si="58"/>
        <v>1717.8570568808136</v>
      </c>
      <c r="P149" s="24">
        <f t="shared" ref="P149:S149" si="59">SUM(P144:P148)</f>
        <v>1740.1253467027059</v>
      </c>
      <c r="Q149" s="24">
        <f t="shared" si="59"/>
        <v>1763.8871761493328</v>
      </c>
      <c r="R149" s="24">
        <f t="shared" si="59"/>
        <v>1789.5686437072543</v>
      </c>
      <c r="S149" s="24">
        <f t="shared" si="59"/>
        <v>1814.8390909580132</v>
      </c>
      <c r="T149" s="552"/>
    </row>
    <row r="150" spans="1:20" s="13" customFormat="1">
      <c r="A150" s="610"/>
      <c r="C150" s="24"/>
      <c r="D150" s="24"/>
      <c r="E150" s="24"/>
      <c r="F150" s="24"/>
      <c r="G150" s="24"/>
      <c r="H150" s="24"/>
      <c r="I150" s="24"/>
      <c r="J150" s="24"/>
      <c r="K150" s="24"/>
      <c r="L150" s="24"/>
      <c r="M150" s="24"/>
      <c r="N150" s="24"/>
      <c r="O150" s="24"/>
      <c r="P150" s="24"/>
      <c r="Q150" s="24"/>
      <c r="R150" s="24"/>
      <c r="S150" s="24"/>
      <c r="T150" s="552"/>
    </row>
    <row r="151" spans="1:20">
      <c r="B151" s="241" t="s">
        <v>303</v>
      </c>
      <c r="C151" s="17"/>
      <c r="D151" s="240">
        <f t="shared" ref="D151:O151" si="60">D125-D142-D149</f>
        <v>0</v>
      </c>
      <c r="E151" s="240">
        <f t="shared" si="60"/>
        <v>0</v>
      </c>
      <c r="F151" s="240">
        <f t="shared" si="60"/>
        <v>0</v>
      </c>
      <c r="G151" s="240">
        <f t="shared" si="60"/>
        <v>0</v>
      </c>
      <c r="H151" s="240">
        <f t="shared" si="60"/>
        <v>0</v>
      </c>
      <c r="I151" s="240">
        <f t="shared" si="60"/>
        <v>0</v>
      </c>
      <c r="J151" s="240">
        <f t="shared" si="60"/>
        <v>0</v>
      </c>
      <c r="K151" s="240">
        <f t="shared" si="60"/>
        <v>0</v>
      </c>
      <c r="L151" s="240">
        <f t="shared" si="60"/>
        <v>0</v>
      </c>
      <c r="M151" s="240">
        <f t="shared" si="60"/>
        <v>0</v>
      </c>
      <c r="N151" s="240">
        <f t="shared" si="60"/>
        <v>0</v>
      </c>
      <c r="O151" s="240">
        <f t="shared" si="60"/>
        <v>0</v>
      </c>
      <c r="P151" s="240">
        <f t="shared" ref="P151:S151" si="61">P125-P142-P149</f>
        <v>0</v>
      </c>
      <c r="Q151" s="240">
        <f t="shared" si="61"/>
        <v>0</v>
      </c>
      <c r="R151" s="240">
        <f t="shared" si="61"/>
        <v>0</v>
      </c>
      <c r="S151" s="240">
        <f t="shared" si="61"/>
        <v>0</v>
      </c>
      <c r="T151" s="558"/>
    </row>
    <row r="152" spans="1:20">
      <c r="C152" s="17"/>
      <c r="D152" s="17"/>
      <c r="E152" s="17"/>
      <c r="F152" s="17"/>
      <c r="G152" s="17"/>
      <c r="H152" s="17"/>
      <c r="I152" s="17"/>
      <c r="J152" s="17"/>
      <c r="K152" s="17"/>
      <c r="L152" s="17"/>
      <c r="M152" s="17"/>
      <c r="N152" s="17"/>
      <c r="O152" s="17"/>
      <c r="P152" s="17"/>
      <c r="Q152" s="17"/>
      <c r="R152" s="17"/>
      <c r="S152" s="17"/>
      <c r="T152" s="551"/>
    </row>
    <row r="153" spans="1:20">
      <c r="B153" s="9" t="s">
        <v>262</v>
      </c>
      <c r="C153" s="17"/>
      <c r="D153" s="17">
        <f>INDEX(HY!$G503:$AN503,MATCH(D$3,HY!$G$4:$AN$4,0))</f>
        <v>503.46599999999995</v>
      </c>
      <c r="E153" s="17">
        <f>INDEX(HY!$G503:$AN503,MATCH(E$3,HY!$G$4:$AN$4,0))</f>
        <v>583.68899999999996</v>
      </c>
      <c r="F153" s="17">
        <f>INDEX(HY!$G503:$AN503,MATCH(F$3,HY!$G$4:$AN$4,0))</f>
        <v>557.86200000000008</v>
      </c>
      <c r="G153" s="17">
        <f>INDEX(HY!$G503:$AN503,MATCH(G$3,HY!$G$4:$AN$4,0))</f>
        <v>601.78000000000009</v>
      </c>
      <c r="H153" s="17">
        <f>INDEX(HY!$G503:$AN503,MATCH(H$3,HY!$G$4:$AN$4,0))</f>
        <v>446.35199999999998</v>
      </c>
      <c r="I153" s="17">
        <f>INDEX(HY!$G503:$AN503,MATCH(I$3,HY!$G$4:$AN$4,0))</f>
        <v>670.39300000000003</v>
      </c>
      <c r="J153" s="17">
        <f>INDEX(HY!$G503:$AN503,MATCH(J$3,HY!$G$4:$AN$4,0))</f>
        <v>751.94799999999998</v>
      </c>
      <c r="K153" s="17">
        <f>INDEX(HY!$G503:$AN503,MATCH(K$3,HY!$G$4:$AN$4,0))</f>
        <v>634.92100000000005</v>
      </c>
      <c r="L153" s="17">
        <f>INDEX(HY!$G503:$AN503,MATCH(L$3,HY!$G$4:$AN$4,0))</f>
        <v>341.19183755242324</v>
      </c>
      <c r="M153" s="17">
        <f>INDEX(HY!$G503:$AN503,MATCH(M$3,HY!$G$4:$AN$4,0))</f>
        <v>278.25939660493952</v>
      </c>
      <c r="N153" s="17">
        <f>INDEX(HY!$G503:$AN503,MATCH(N$3,HY!$G$4:$AN$4,0))</f>
        <v>185.77232878669179</v>
      </c>
      <c r="O153" s="17">
        <f>INDEX(HY!$G503:$AN503,MATCH(O$3,HY!$G$4:$AN$4,0))</f>
        <v>79.366700624054261</v>
      </c>
      <c r="P153" s="17">
        <f>INDEX(HY!$G503:$AN503,MATCH(P$3,HY!$G$4:$AN$4,0))</f>
        <v>38.97120273831149</v>
      </c>
      <c r="Q153" s="17">
        <f>INDEX(HY!$G503:$AN503,MATCH(Q$3,HY!$G$4:$AN$4,0))</f>
        <v>1.78754688811091</v>
      </c>
      <c r="R153" s="17">
        <f>INDEX(HY!$G503:$AN503,MATCH(R$3,HY!$G$4:$AN$4,0))</f>
        <v>-34.822693268627972</v>
      </c>
      <c r="S153" s="17">
        <f>INDEX(HY!$G503:$AN503,MATCH(S$3,HY!$G$4:$AN$4,0))</f>
        <v>-67.027150852156979</v>
      </c>
      <c r="T153" s="551"/>
    </row>
    <row r="154" spans="1:20">
      <c r="B154" s="9" t="s">
        <v>1190</v>
      </c>
      <c r="C154" s="17"/>
      <c r="D154" s="246">
        <f>INDEX(HY!$G507:$AN507,MATCH(D$3,HY!$G$4:$AN$4,0))</f>
        <v>1.5625884543761637</v>
      </c>
      <c r="E154" s="246">
        <f>INDEX(HY!$G507:$AN507,MATCH(E$3,HY!$G$4:$AN$4,0))</f>
        <v>2.9082660687593425</v>
      </c>
      <c r="F154" s="246">
        <f>INDEX(HY!$G507:$AN507,MATCH(F$3,HY!$G$4:$AN$4,0))</f>
        <v>2.2440144810941272</v>
      </c>
      <c r="G154" s="246">
        <f>INDEX(HY!$G507:$AN507,MATCH(G$3,HY!$G$4:$AN$4,0))</f>
        <v>4.3638868745467736</v>
      </c>
      <c r="H154" s="246">
        <f>INDEX(HY!$G507:$AN507,MATCH(H$3,HY!$G$4:$AN$4,0))</f>
        <v>1.4789662027833002</v>
      </c>
      <c r="I154" s="246">
        <f>INDEX(HY!$G507:$AN507,MATCH(I$3,HY!$G$4:$AN$4,0))</f>
        <v>2.4132217422606193</v>
      </c>
      <c r="J154" s="246">
        <f>INDEX(HY!$G507:$AN507,MATCH(J$3,HY!$G$4:$AN$4,0))</f>
        <v>3.2175780915703895</v>
      </c>
      <c r="K154" s="246">
        <f>INDEX(HY!$G507:$AN507,MATCH(K$3,HY!$G$4:$AN$4,0))</f>
        <v>3.4962610132158596</v>
      </c>
      <c r="L154" s="246">
        <f>INDEX(HY!$G507:$AN507,MATCH(L$3,HY!$G$4:$AN$4,0))</f>
        <v>1.8625418194445498</v>
      </c>
      <c r="M154" s="246">
        <f>INDEX(HY!$G507:$AN507,MATCH(M$3,HY!$G$4:$AN$4,0))</f>
        <v>1.358475227504691</v>
      </c>
      <c r="N154" s="246">
        <f>INDEX(HY!$G507:$AN507,MATCH(N$3,HY!$G$4:$AN$4,0))</f>
        <v>0.81001433031095638</v>
      </c>
      <c r="O154" s="246">
        <f>INDEX(HY!$G507:$AN507,MATCH(O$3,HY!$G$4:$AN$4,0))</f>
        <v>0.33249778206038716</v>
      </c>
      <c r="P154" s="246">
        <f>INDEX(HY!$G507:$AN507,MATCH(P$3,HY!$G$4:$AN$4,0))</f>
        <v>0.1567977975326755</v>
      </c>
      <c r="Q154" s="246">
        <f>INDEX(HY!$G507:$AN507,MATCH(Q$3,HY!$G$4:$AN$4,0))</f>
        <v>6.9064127874861074E-3</v>
      </c>
      <c r="R154" s="246">
        <f>INDEX(HY!$G507:$AN507,MATCH(R$3,HY!$G$4:$AN$4,0))</f>
        <v>-0.12904302104332357</v>
      </c>
      <c r="S154" s="246">
        <f>INDEX(HY!$G507:$AN507,MATCH(S$3,HY!$G$4:$AN$4,0))</f>
        <v>-0.242765714245221</v>
      </c>
      <c r="T154" s="559"/>
    </row>
    <row r="155" spans="1:20">
      <c r="B155" s="9" t="s">
        <v>1191</v>
      </c>
      <c r="C155" s="17"/>
      <c r="D155" s="17"/>
      <c r="E155" s="17"/>
      <c r="F155" s="18">
        <f t="shared" ref="F155:O155" si="62">(F138+F131-F107)/(F149+F138+F131-F107)</f>
        <v>0.21147668821788912</v>
      </c>
      <c r="G155" s="18">
        <f t="shared" si="62"/>
        <v>0.23425252491778545</v>
      </c>
      <c r="H155" s="18">
        <f t="shared" si="62"/>
        <v>0.17583526152281723</v>
      </c>
      <c r="I155" s="18">
        <f t="shared" si="62"/>
        <v>0.296283722883256</v>
      </c>
      <c r="J155" s="18">
        <f t="shared" si="62"/>
        <v>0.31612118582776172</v>
      </c>
      <c r="K155" s="18">
        <f t="shared" si="62"/>
        <v>0.23729406775937723</v>
      </c>
      <c r="L155" s="18">
        <f t="shared" si="62"/>
        <v>0.10898833428365019</v>
      </c>
      <c r="M155" s="18">
        <f t="shared" si="62"/>
        <v>7.3379195770250524E-2</v>
      </c>
      <c r="N155" s="18">
        <f t="shared" si="62"/>
        <v>1.8941328872431641E-2</v>
      </c>
      <c r="O155" s="18">
        <f t="shared" si="62"/>
        <v>-4.5563903031395347E-2</v>
      </c>
      <c r="P155" s="18">
        <f t="shared" ref="P155:S155" si="63">(P138+P131-P107)/(P149+P138+P131-P107)</f>
        <v>-7.0932997811631482E-2</v>
      </c>
      <c r="Q155" s="18">
        <f t="shared" si="63"/>
        <v>-9.4598506380993763E-2</v>
      </c>
      <c r="R155" s="18">
        <f t="shared" si="63"/>
        <v>-0.11811844610478635</v>
      </c>
      <c r="S155" s="18">
        <f t="shared" si="63"/>
        <v>-0.13884122780345026</v>
      </c>
      <c r="T155" s="553"/>
    </row>
    <row r="156" spans="1:20">
      <c r="C156" s="17"/>
      <c r="D156" s="17"/>
      <c r="E156" s="17"/>
      <c r="F156" s="17"/>
      <c r="G156" s="17"/>
      <c r="H156" s="17"/>
      <c r="I156" s="17"/>
      <c r="J156" s="17"/>
      <c r="K156" s="17"/>
      <c r="L156" s="17"/>
      <c r="M156" s="17"/>
      <c r="N156" s="17"/>
      <c r="O156" s="17"/>
      <c r="P156" s="17"/>
      <c r="Q156" s="17"/>
      <c r="R156" s="17"/>
      <c r="S156" s="17"/>
      <c r="T156" s="551"/>
    </row>
    <row r="157" spans="1:20">
      <c r="A157" s="608" t="s">
        <v>7</v>
      </c>
      <c r="B157" s="517" t="s">
        <v>1192</v>
      </c>
      <c r="C157" s="518"/>
      <c r="D157" s="518" t="s">
        <v>1153</v>
      </c>
      <c r="E157" s="518" t="s">
        <v>1154</v>
      </c>
      <c r="F157" s="519">
        <v>2021</v>
      </c>
      <c r="G157" s="519">
        <v>2022</v>
      </c>
      <c r="H157" s="519">
        <v>2023</v>
      </c>
      <c r="I157" s="518">
        <v>2024</v>
      </c>
      <c r="J157" s="518">
        <v>2025</v>
      </c>
      <c r="K157" s="518">
        <v>2026</v>
      </c>
      <c r="L157" s="518">
        <v>2027</v>
      </c>
      <c r="M157" s="518">
        <v>2028</v>
      </c>
      <c r="N157" s="518">
        <v>2029</v>
      </c>
      <c r="O157" s="518">
        <v>2030</v>
      </c>
      <c r="P157" s="518">
        <v>2030</v>
      </c>
      <c r="Q157" s="518">
        <v>2030</v>
      </c>
      <c r="R157" s="518">
        <v>2030</v>
      </c>
      <c r="S157" s="518">
        <v>2030</v>
      </c>
      <c r="T157" s="550"/>
    </row>
    <row r="158" spans="1:20">
      <c r="B158" s="9" t="s">
        <v>1193</v>
      </c>
      <c r="C158" s="17"/>
      <c r="D158" s="17">
        <f>INDEX(HY!$G482:$AN482,MATCH(D$3,HY!$G$4:$AN$4,0))</f>
        <v>682.44653900000003</v>
      </c>
      <c r="E158" s="17">
        <f>INDEX(HY!$G482:$AN482,MATCH(E$3,HY!$G$4:$AN$4,0))</f>
        <v>667.19680600000004</v>
      </c>
      <c r="F158" s="17">
        <f>INDEX(HY!$G482:$AN482,MATCH(F$3,HY!$G$4:$AN$4,0))</f>
        <v>760.20520899999997</v>
      </c>
      <c r="G158" s="17">
        <f>INDEX(HY!$G482:$AN482,MATCH(G$3,HY!$G$4:$AN$4,0))</f>
        <v>760.20520899999997</v>
      </c>
      <c r="H158" s="17">
        <f>INDEX(HY!$G482:$AN482,MATCH(H$3,HY!$G$4:$AN$4,0))</f>
        <v>760.20520899999997</v>
      </c>
      <c r="I158" s="17">
        <f>INDEX(HY!$G482:$AN482,MATCH(I$3,HY!$G$4:$AN$4,0))</f>
        <v>760.20520899999997</v>
      </c>
      <c r="J158" s="17">
        <f>INDEX(HY!$G482:$AN482,MATCH(J$3,HY!$G$4:$AN$4,0))</f>
        <v>760.20520899999997</v>
      </c>
      <c r="K158" s="17">
        <f>INDEX(HY!$G482:$AN482,MATCH(K$3,HY!$G$4:$AN$4,0))</f>
        <v>1103.0550470000001</v>
      </c>
      <c r="L158" s="17">
        <f>INDEX(HY!$G482:$AN482,MATCH(L$3,HY!$G$4:$AN$4,0))</f>
        <v>1103.0550470000001</v>
      </c>
      <c r="M158" s="17">
        <f>INDEX(HY!$G482:$AN482,MATCH(M$3,HY!$G$4:$AN$4,0))</f>
        <v>1103.0550470000001</v>
      </c>
      <c r="N158" s="17">
        <f>INDEX(HY!$G482:$AN482,MATCH(N$3,HY!$G$4:$AN$4,0))</f>
        <v>1103.0550470000001</v>
      </c>
      <c r="O158" s="17">
        <f>INDEX(HY!$G482:$AN482,MATCH(O$3,HY!$G$4:$AN$4,0))</f>
        <v>1103.0550470000001</v>
      </c>
      <c r="P158" s="17">
        <f>INDEX(HY!$G482:$AN482,MATCH(P$3,HY!$G$4:$AN$4,0))</f>
        <v>1103.0550470000001</v>
      </c>
      <c r="Q158" s="17">
        <f>INDEX(HY!$G482:$AN482,MATCH(Q$3,HY!$G$4:$AN$4,0))</f>
        <v>1103.0550470000001</v>
      </c>
      <c r="R158" s="17">
        <f>INDEX(HY!$G482:$AN482,MATCH(R$3,HY!$G$4:$AN$4,0))</f>
        <v>1103.0550470000001</v>
      </c>
      <c r="S158" s="17">
        <f>INDEX(HY!$G482:$AN482,MATCH(S$3,HY!$G$4:$AN$4,0))</f>
        <v>1103.0550470000001</v>
      </c>
      <c r="T158" s="551"/>
    </row>
    <row r="159" spans="1:20">
      <c r="B159" s="9" t="s">
        <v>1194</v>
      </c>
      <c r="C159" s="17"/>
      <c r="D159" s="17">
        <f>INDEX(HY!$G485:$AN485,MATCH(D$3,HY!$G$4:$AN$4,0))</f>
        <v>672.35116600000003</v>
      </c>
      <c r="E159" s="17">
        <f>INDEX(HY!$G485:$AN485,MATCH(E$3,HY!$G$4:$AN$4,0))</f>
        <v>739.19680600000004</v>
      </c>
      <c r="F159" s="17">
        <f>INDEX(HY!$G485:$AN485,MATCH(F$3,HY!$G$4:$AN$4,0))</f>
        <v>760.20520899999997</v>
      </c>
      <c r="G159" s="17">
        <f>INDEX(HY!$G485:$AN485,MATCH(G$3,HY!$G$4:$AN$4,0))</f>
        <v>760.20520899999997</v>
      </c>
      <c r="H159" s="17">
        <f>INDEX(HY!$G485:$AN485,MATCH(H$3,HY!$G$4:$AN$4,0))</f>
        <v>760.20520899999997</v>
      </c>
      <c r="I159" s="17">
        <f>INDEX(HY!$G485:$AN485,MATCH(I$3,HY!$G$4:$AN$4,0))</f>
        <v>760.20520899999997</v>
      </c>
      <c r="J159" s="17">
        <f>INDEX(HY!$G485:$AN485,MATCH(J$3,HY!$G$4:$AN$4,0))</f>
        <v>760.20520899999997</v>
      </c>
      <c r="K159" s="17">
        <f>INDEX(HY!$G485:$AN485,MATCH(K$3,HY!$G$4:$AN$4,0))</f>
        <v>1103.0550470000001</v>
      </c>
      <c r="L159" s="17">
        <f>INDEX(HY!$G485:$AN485,MATCH(L$3,HY!$G$4:$AN$4,0))</f>
        <v>1103.0550470000001</v>
      </c>
      <c r="M159" s="17">
        <f>INDEX(HY!$G485:$AN485,MATCH(M$3,HY!$G$4:$AN$4,0))</f>
        <v>1103.0550470000001</v>
      </c>
      <c r="N159" s="17">
        <f>INDEX(HY!$G485:$AN485,MATCH(N$3,HY!$G$4:$AN$4,0))</f>
        <v>1103.0550470000001</v>
      </c>
      <c r="O159" s="17">
        <f>INDEX(HY!$G485:$AN485,MATCH(O$3,HY!$G$4:$AN$4,0))</f>
        <v>1103.0550470000001</v>
      </c>
      <c r="P159" s="17">
        <f>INDEX(HY!$G485:$AN485,MATCH(P$3,HY!$G$4:$AN$4,0))</f>
        <v>1103.0550470000001</v>
      </c>
      <c r="Q159" s="17">
        <f>INDEX(HY!$G485:$AN485,MATCH(Q$3,HY!$G$4:$AN$4,0))</f>
        <v>1103.0550470000001</v>
      </c>
      <c r="R159" s="17">
        <f>INDEX(HY!$G485:$AN485,MATCH(R$3,HY!$G$4:$AN$4,0))</f>
        <v>1103.0550470000001</v>
      </c>
      <c r="S159" s="17">
        <f>INDEX(HY!$G485:$AN485,MATCH(S$3,HY!$G$4:$AN$4,0))</f>
        <v>1103.0550470000001</v>
      </c>
      <c r="T159" s="551"/>
    </row>
    <row r="160" spans="1:20">
      <c r="B160" s="9" t="s">
        <v>1195</v>
      </c>
      <c r="C160" s="17"/>
      <c r="D160" s="17">
        <f>INDEX(HY!$G487:$AN487,MATCH(D$3,HY!$G$4:$AN$4,0))</f>
        <v>677.39885249999998</v>
      </c>
      <c r="E160" s="17">
        <f>INDEX(HY!$G487:$AN487,MATCH(E$3,HY!$G$4:$AN$4,0))</f>
        <v>703.19680600000004</v>
      </c>
      <c r="F160" s="17">
        <f>INDEX(HY!$G487:$AN487,MATCH(F$3,HY!$G$4:$AN$4,0))</f>
        <v>760.20520899999997</v>
      </c>
      <c r="G160" s="17">
        <f>INDEX(HY!$G487:$AN487,MATCH(G$3,HY!$G$4:$AN$4,0))</f>
        <v>760.20520899999997</v>
      </c>
      <c r="H160" s="17">
        <f>INDEX(HY!$G487:$AN487,MATCH(H$3,HY!$G$4:$AN$4,0))</f>
        <v>760.20520899999997</v>
      </c>
      <c r="I160" s="17">
        <f>INDEX(HY!$G487:$AN487,MATCH(I$3,HY!$G$4:$AN$4,0))</f>
        <v>760.20520899999997</v>
      </c>
      <c r="J160" s="17">
        <f>INDEX(HY!$G487:$AN487,MATCH(J$3,HY!$G$4:$AN$4,0))</f>
        <v>760.20520899999997</v>
      </c>
      <c r="K160" s="17">
        <f>INDEX(HY!$G487:$AN487,MATCH(K$3,HY!$G$4:$AN$4,0))</f>
        <v>1103.0550470000001</v>
      </c>
      <c r="L160" s="17">
        <f>INDEX(HY!$G487:$AN487,MATCH(L$3,HY!$G$4:$AN$4,0))</f>
        <v>1103.0550470000001</v>
      </c>
      <c r="M160" s="17">
        <f>INDEX(HY!$G487:$AN487,MATCH(M$3,HY!$G$4:$AN$4,0))</f>
        <v>1103.0550470000001</v>
      </c>
      <c r="N160" s="17">
        <f>INDEX(HY!$G487:$AN487,MATCH(N$3,HY!$G$4:$AN$4,0))</f>
        <v>1103.0550470000001</v>
      </c>
      <c r="O160" s="17">
        <f>INDEX(HY!$G487:$AN487,MATCH(O$3,HY!$G$4:$AN$4,0))</f>
        <v>1103.0550470000001</v>
      </c>
      <c r="P160" s="17">
        <f>INDEX(HY!$G487:$AN487,MATCH(P$3,HY!$G$4:$AN$4,0))</f>
        <v>1103.0550470000001</v>
      </c>
      <c r="Q160" s="17">
        <f>INDEX(HY!$G487:$AN487,MATCH(Q$3,HY!$G$4:$AN$4,0))</f>
        <v>1103.0550470000001</v>
      </c>
      <c r="R160" s="17">
        <f>INDEX(HY!$G487:$AN487,MATCH(R$3,HY!$G$4:$AN$4,0))</f>
        <v>1103.0550470000001</v>
      </c>
      <c r="S160" s="17">
        <f>INDEX(HY!$G487:$AN487,MATCH(S$3,HY!$G$4:$AN$4,0))</f>
        <v>1103.0550470000001</v>
      </c>
      <c r="T160" s="551"/>
    </row>
    <row r="161" spans="2:20">
      <c r="B161" s="9" t="s">
        <v>1196</v>
      </c>
      <c r="C161" s="17"/>
      <c r="D161" s="17">
        <f>SUMIFS(HY!$G$349:$AN$349,HY!$G$9:$AN$9,FY!D$2)</f>
        <v>24.4</v>
      </c>
      <c r="E161" s="17">
        <f>SUMIFS(HY!$G$349:$AN$349,HY!$G$9:$AN$9,FY!E$2)</f>
        <v>10</v>
      </c>
      <c r="F161" s="17">
        <f>SUMIFS(HY!$G$349:$AN$349,HY!$G$9:$AN$9,FY!F$2)</f>
        <v>11.9</v>
      </c>
      <c r="G161" s="17">
        <f>SUMIFS(HY!$G$349:$AN$349,HY!$G$9:$AN$9,FY!G$2)</f>
        <v>1.3000000000000003</v>
      </c>
      <c r="H161" s="17">
        <f>SUMIFS(HY!$G$349:$AN$349,HY!$G$9:$AN$9,FY!H$2)</f>
        <v>18.3</v>
      </c>
      <c r="I161" s="17">
        <f>SUMIFS(HY!$G$349:$AN$349,HY!$G$9:$AN$9,FY!I$2)</f>
        <v>16.2</v>
      </c>
      <c r="J161" s="17">
        <f>SUMIFS(HY!$G$349:$AN$349,HY!$G$9:$AN$9,FY!J$2)</f>
        <v>9.4</v>
      </c>
      <c r="K161" s="17">
        <f>SUMIFS(HY!$G$349:$AN$349,HY!$G$9:$AN$9,FY!K$2)</f>
        <v>3.7</v>
      </c>
      <c r="L161" s="17">
        <f>SUMIFS(HY!$G$349:$AN$349,HY!$G$9:$AN$9,FY!L$2)</f>
        <v>2.7605442661047297</v>
      </c>
      <c r="M161" s="17">
        <f>SUMIFS(HY!$G$349:$AN$349,HY!$G$9:$AN$9,FY!M$2)</f>
        <v>4.9647940259177199</v>
      </c>
      <c r="N161" s="17">
        <f>SUMIFS(HY!$G$349:$AN$349,HY!$G$9:$AN$9,FY!N$2)</f>
        <v>6.7609822146857201</v>
      </c>
      <c r="O161" s="17">
        <f>SUMIFS(HY!$G$349:$AN$349,HY!$G$9:$AN$9,FY!O$2)</f>
        <v>7.6180212071477182</v>
      </c>
      <c r="P161" s="17">
        <f>SUMIFS(HY!$G$349:$AN$349,HY!$G$9:$AN$9,FY!P$2)</f>
        <v>8.4749512476924558</v>
      </c>
      <c r="Q161" s="17">
        <f>SUMIFS(HY!$G$349:$AN$349,HY!$G$9:$AN$9,FY!Q$2)</f>
        <v>9.2429585170705941</v>
      </c>
      <c r="R161" s="17">
        <f>SUMIFS(HY!$G$349:$AN$349,HY!$G$9:$AN$9,FY!R$2)</f>
        <v>10.041276972266056</v>
      </c>
      <c r="S161" s="17">
        <f>SUMIFS(HY!$G$349:$AN$349,HY!$G$9:$AN$9,FY!S$2)</f>
        <v>10.51423603730963</v>
      </c>
      <c r="T161" s="551"/>
    </row>
    <row r="162" spans="2:20">
      <c r="B162" s="9" t="s">
        <v>1197</v>
      </c>
      <c r="C162" s="17"/>
      <c r="D162" s="17">
        <f>SUMIFS(HY!$G$370:$AN$370,HY!$G$9:$AN$9,FY!D$2)</f>
        <v>21.4</v>
      </c>
      <c r="E162" s="17">
        <f>SUMIFS(HY!$G$370:$AN$370,HY!$G$9:$AN$9,FY!E$2)</f>
        <v>35.4</v>
      </c>
      <c r="F162" s="17">
        <f>SUMIFS(HY!$G$370:$AN$370,HY!$G$9:$AN$9,FY!F$2)</f>
        <v>20.6</v>
      </c>
      <c r="G162" s="17">
        <f>SUMIFS(HY!$G$370:$AN$370,HY!$G$9:$AN$9,FY!G$2)</f>
        <v>-4.4000000000000004</v>
      </c>
      <c r="H162" s="17">
        <f>SUMIFS(HY!$G$370:$AN$370,HY!$G$9:$AN$9,FY!H$2)</f>
        <v>1.1000000000000001</v>
      </c>
      <c r="I162" s="17">
        <f>SUMIFS(HY!$G$370:$AN$370,HY!$G$9:$AN$9,FY!I$2)</f>
        <v>1.1000000000000001</v>
      </c>
      <c r="J162" s="17">
        <f>SUMIFS(HY!$G$370:$AN$370,HY!$G$9:$AN$9,FY!J$2)</f>
        <v>3.9</v>
      </c>
      <c r="K162" s="17">
        <f>SUMIFS(HY!$G$370:$AN$370,HY!$G$9:$AN$9,FY!K$2)</f>
        <v>1.8</v>
      </c>
      <c r="L162" s="17">
        <f>SUMIFS(HY!$G$370:$AN$370,HY!$G$9:$AN$9,FY!L$2)</f>
        <v>-1.5003491614560072</v>
      </c>
      <c r="M162" s="17">
        <f>SUMIFS(HY!$G$370:$AN$370,HY!$G$9:$AN$9,FY!M$2)</f>
        <v>3.4236198074383042</v>
      </c>
      <c r="N162" s="17">
        <f>SUMIFS(HY!$G$370:$AN$370,HY!$G$9:$AN$9,FY!N$2)</f>
        <v>6.1263810659000795</v>
      </c>
      <c r="O162" s="17">
        <f>SUMIFS(HY!$G$370:$AN$370,HY!$G$9:$AN$9,FY!O$2)</f>
        <v>7.6180212071477182</v>
      </c>
      <c r="P162" s="17">
        <f>SUMIFS(HY!$G$370:$AN$370,HY!$G$9:$AN$9,FY!P$2)</f>
        <v>8.4749512476924558</v>
      </c>
      <c r="Q162" s="17">
        <f>SUMIFS(HY!$G$370:$AN$370,HY!$G$9:$AN$9,FY!Q$2)</f>
        <v>9.2429585170705941</v>
      </c>
      <c r="R162" s="17">
        <f>SUMIFS(HY!$G$370:$AN$370,HY!$G$9:$AN$9,FY!R$2)</f>
        <v>10.041276972266056</v>
      </c>
      <c r="S162" s="17">
        <f>SUMIFS(HY!$G$370:$AN$370,HY!$G$9:$AN$9,FY!S$2)</f>
        <v>10.51423603730963</v>
      </c>
      <c r="T162" s="551"/>
    </row>
    <row r="163" spans="2:20">
      <c r="B163" s="9" t="s">
        <v>1198</v>
      </c>
      <c r="C163" s="17"/>
      <c r="D163" s="17">
        <f>SUMIFS(HY!$G$493:$AN$493,HY!$G$9:$AN$9,FY!D$2)</f>
        <v>20</v>
      </c>
      <c r="E163" s="17">
        <f>SUMIFS(HY!$G$493:$AN$493,HY!$G$9:$AN$9,FY!E$2)</f>
        <v>10</v>
      </c>
      <c r="F163" s="17">
        <f>SUMIFS(HY!$G$493:$AN$493,HY!$G$9:$AN$9,FY!F$2)</f>
        <v>7</v>
      </c>
      <c r="G163" s="17">
        <f>SUMIFS(HY!$G$493:$AN$493,HY!$G$9:$AN$9,FY!G$2)</f>
        <v>0</v>
      </c>
      <c r="H163" s="17">
        <f>SUMIFS(HY!$G$493:$AN$493,HY!$G$9:$AN$9,FY!H$2)</f>
        <v>12</v>
      </c>
      <c r="I163" s="17">
        <f>SUMIFS(HY!$G$493:$AN$493,HY!$G$9:$AN$9,FY!I$2)</f>
        <v>5.25</v>
      </c>
      <c r="J163" s="17">
        <f>SUMIFS(HY!$G$493:$AN$493,HY!$G$9:$AN$9,FY!J$2)</f>
        <v>0</v>
      </c>
      <c r="K163" s="17">
        <f>SUMIFS(HY!$G$493:$AN$493,HY!$G$9:$AN$9,FY!K$2)</f>
        <v>0</v>
      </c>
      <c r="L163" s="17">
        <f>SUMIFS(HY!$G$493:$AN$493,HY!$G$9:$AN$9,FY!L$2)</f>
        <v>0</v>
      </c>
      <c r="M163" s="17">
        <f>SUMIFS(HY!$G$493:$AN$493,HY!$G$9:$AN$9,FY!M$2)</f>
        <v>0</v>
      </c>
      <c r="N163" s="17">
        <f>SUMIFS(HY!$G$493:$AN$493,HY!$G$9:$AN$9,FY!N$2)</f>
        <v>0</v>
      </c>
      <c r="O163" s="17">
        <f>SUMIFS(HY!$G$493:$AN$493,HY!$G$9:$AN$9,FY!O$2)</f>
        <v>0</v>
      </c>
      <c r="P163" s="17">
        <f>SUMIFS(HY!$G$493:$AN$493,HY!$G$9:$AN$9,FY!P$2)</f>
        <v>6.4561680616261041</v>
      </c>
      <c r="Q163" s="17">
        <f>SUMIFS(HY!$G$493:$AN$493,HY!$G$9:$AN$9,FY!Q$2)</f>
        <v>7.0887750507737559</v>
      </c>
      <c r="R163" s="17">
        <f>SUMIFS(HY!$G$493:$AN$493,HY!$G$9:$AN$9,FY!R$2)</f>
        <v>7.7130642844434725</v>
      </c>
      <c r="S163" s="17">
        <f>SUMIFS(HY!$G$493:$AN$493,HY!$G$9:$AN$9,FY!S$2)</f>
        <v>8.22328534364412</v>
      </c>
      <c r="T163" s="551"/>
    </row>
    <row r="164" spans="2:20">
      <c r="C164" s="17"/>
      <c r="D164" s="17"/>
      <c r="E164" s="17"/>
      <c r="F164" s="17"/>
      <c r="G164" s="17"/>
      <c r="H164" s="17"/>
      <c r="I164" s="17"/>
      <c r="J164" s="17"/>
      <c r="K164" s="17"/>
      <c r="L164" s="17"/>
      <c r="M164" s="17"/>
      <c r="N164" s="17"/>
      <c r="O164" s="17"/>
      <c r="P164" s="17"/>
      <c r="Q164" s="17"/>
      <c r="R164" s="17"/>
      <c r="S164" s="17"/>
      <c r="T164" s="551"/>
    </row>
    <row r="165" spans="2:20">
      <c r="B165" s="9" t="s">
        <v>209</v>
      </c>
      <c r="C165" s="17"/>
      <c r="D165" s="17">
        <f>SUMIFS(HY!$G$560:$AN$560,HY!$G$9:$AN$9,FY!D$2)</f>
        <v>-37.786999999999999</v>
      </c>
      <c r="E165" s="17">
        <f>SUMIFS(HY!$G$560:$AN$560,HY!$G$9:$AN$9,FY!E$2)</f>
        <v>-41.444000000000003</v>
      </c>
      <c r="F165" s="17">
        <f>SUMIFS(HY!$G$560:$AN$560,HY!$G$9:$AN$9,FY!F$2)</f>
        <v>-38.736000000000004</v>
      </c>
      <c r="G165" s="17">
        <f>SUMIFS(HY!$G$560:$AN$560,HY!$G$9:$AN$9,FY!G$2)</f>
        <v>-31.904</v>
      </c>
      <c r="H165" s="17">
        <f>SUMIFS(HY!$G$560:$AN$560,HY!$G$9:$AN$9,FY!H$2)</f>
        <v>-43.259</v>
      </c>
      <c r="I165" s="17">
        <f>SUMIFS(HY!$G$560:$AN$560,HY!$G$9:$AN$9,FY!I$2)</f>
        <v>-54.262</v>
      </c>
      <c r="J165" s="17">
        <f>SUMIFS(HY!$G$560:$AN$560,HY!$G$9:$AN$9,FY!J$2)</f>
        <v>-43.448999999999998</v>
      </c>
      <c r="K165" s="17">
        <f>SUMIFS(HY!$G$560:$AN$560,HY!$G$9:$AN$9,FY!K$2)</f>
        <v>-55.462999999999994</v>
      </c>
      <c r="L165" s="17">
        <f>SUMIFS(HY!$G$560:$AN$560,HY!$G$9:$AN$9,FY!L$2)</f>
        <v>-29.104867945205484</v>
      </c>
      <c r="M165" s="17">
        <f>SUMIFS(HY!$G$560:$AN$560,HY!$G$9:$AN$9,FY!M$2)</f>
        <v>-25.042742794520553</v>
      </c>
      <c r="N165" s="17">
        <f>SUMIFS(HY!$G$560:$AN$560,HY!$G$9:$AN$9,FY!N$2)</f>
        <v>-24.974320000000006</v>
      </c>
      <c r="O165" s="17">
        <f>SUMIFS(HY!$G$560:$AN$560,HY!$G$9:$AN$9,FY!O$2)</f>
        <v>-24.974320000000006</v>
      </c>
      <c r="P165" s="17">
        <f>SUMIFS(HY!$G$560:$AN$560,HY!$G$9:$AN$9,FY!P$2)</f>
        <v>-24.974320000000006</v>
      </c>
      <c r="Q165" s="17">
        <f>SUMIFS(HY!$G$560:$AN$560,HY!$G$9:$AN$9,FY!Q$2)</f>
        <v>-25.042742794520553</v>
      </c>
      <c r="R165" s="17">
        <f>SUMIFS(HY!$G$560:$AN$560,HY!$G$9:$AN$9,FY!R$2)</f>
        <v>-24.974320000000006</v>
      </c>
      <c r="S165" s="17">
        <f>SUMIFS(HY!$G$560:$AN$560,HY!$G$9:$AN$9,FY!S$2)</f>
        <v>-24.974320000000006</v>
      </c>
      <c r="T165" s="551"/>
    </row>
    <row r="166" spans="2:20">
      <c r="B166" s="9" t="s">
        <v>214</v>
      </c>
      <c r="C166" s="17"/>
      <c r="D166" s="17">
        <f>SUMIFS(HY!$G$558:$AN$558,HY!$G$9:$AN$9,FY!D$2)</f>
        <v>0.72299999999999998</v>
      </c>
      <c r="E166" s="17">
        <f>SUMIFS(HY!$G$558:$AN$558,HY!$G$9:$AN$9,FY!E$2)</f>
        <v>1.06</v>
      </c>
      <c r="F166" s="17">
        <f>SUMIFS(HY!$G$558:$AN$558,HY!$G$9:$AN$9,FY!F$2)</f>
        <v>1.0860000000000001</v>
      </c>
      <c r="G166" s="17">
        <f>SUMIFS(HY!$G$558:$AN$558,HY!$G$9:$AN$9,FY!G$2)</f>
        <v>1.901</v>
      </c>
      <c r="H166" s="17">
        <f>SUMIFS(HY!$G$558:$AN$558,HY!$G$9:$AN$9,FY!H$2)</f>
        <v>6.165</v>
      </c>
      <c r="I166" s="17">
        <f>SUMIFS(HY!$G$558:$AN$558,HY!$G$9:$AN$9,FY!I$2)</f>
        <v>6.2510000000000003</v>
      </c>
      <c r="J166" s="17">
        <f>SUMIFS(HY!$G$558:$AN$558,HY!$G$9:$AN$9,FY!J$2)</f>
        <v>0.44750000000000001</v>
      </c>
      <c r="K166" s="17">
        <f>SUMIFS(HY!$G$558:$AN$558,HY!$G$9:$AN$9,FY!K$2)</f>
        <v>1.1755</v>
      </c>
      <c r="L166" s="17">
        <f>SUMIFS(HY!$G$558:$AN$558,HY!$G$9:$AN$9,FY!L$2)</f>
        <v>2.3807538970542499</v>
      </c>
      <c r="M166" s="17">
        <f>SUMIFS(HY!$G$558:$AN$558,HY!$G$9:$AN$9,FY!M$2)</f>
        <v>3.107555984519899</v>
      </c>
      <c r="N166" s="17">
        <f>SUMIFS(HY!$G$558:$AN$558,HY!$G$9:$AN$9,FY!N$2)</f>
        <v>5.3233987480875609</v>
      </c>
      <c r="O166" s="17">
        <f>SUMIFS(HY!$G$558:$AN$558,HY!$G$9:$AN$9,FY!O$2)</f>
        <v>8.2669262307860372</v>
      </c>
      <c r="P166" s="17">
        <f>SUMIFS(HY!$G$558:$AN$558,HY!$G$9:$AN$9,FY!P$2)</f>
        <v>10.995012902956677</v>
      </c>
      <c r="Q166" s="17">
        <f>SUMIFS(HY!$G$558:$AN$558,HY!$G$9:$AN$9,FY!Q$2)</f>
        <v>12.223319239070925</v>
      </c>
      <c r="R166" s="17">
        <f>SUMIFS(HY!$G$558:$AN$558,HY!$G$9:$AN$9,FY!R$2)</f>
        <v>13.303010246832415</v>
      </c>
      <c r="S166" s="17">
        <f>SUMIFS(HY!$G$558:$AN$558,HY!$G$9:$AN$9,FY!S$2)</f>
        <v>14.35467259273581</v>
      </c>
      <c r="T166" s="551"/>
    </row>
    <row r="167" spans="2:20">
      <c r="C167" s="17"/>
      <c r="D167" s="17"/>
      <c r="E167" s="17"/>
      <c r="F167" s="17"/>
      <c r="G167" s="17"/>
      <c r="H167" s="17"/>
      <c r="I167" s="17"/>
      <c r="J167" s="17"/>
      <c r="K167" s="17"/>
      <c r="L167" s="17"/>
      <c r="M167" s="17"/>
      <c r="N167" s="17"/>
      <c r="O167" s="17"/>
      <c r="P167" s="17"/>
      <c r="Q167" s="17"/>
      <c r="R167" s="17"/>
      <c r="S167" s="17"/>
      <c r="T167" s="551"/>
    </row>
    <row r="168" spans="2:20">
      <c r="B168" s="9" t="s">
        <v>1199</v>
      </c>
      <c r="C168" s="17"/>
      <c r="D168" s="17">
        <f>SUMIFS(HY!$G$545:$AN$545,HY!$G$9:$AN$9,FY!D$2)</f>
        <v>243.46299999999999</v>
      </c>
      <c r="E168" s="17">
        <f>SUMIFS(HY!$G$545:$AN$545,HY!$G$9:$AN$9,FY!E$2)</f>
        <v>120.624</v>
      </c>
      <c r="F168" s="17">
        <f>SUMIFS(HY!$G$545:$AN$545,HY!$G$9:$AN$9,FY!F$2)</f>
        <v>299.26000000000005</v>
      </c>
      <c r="G168" s="17">
        <f>SUMIFS(HY!$G$545:$AN$545,HY!$G$9:$AN$9,FY!G$2)</f>
        <v>98.749999999999943</v>
      </c>
      <c r="H168" s="17">
        <f>SUMIFS(HY!$G$545:$AN$545,HY!$G$9:$AN$9,FY!H$2)</f>
        <v>283.52499999999998</v>
      </c>
      <c r="I168" s="17">
        <f>SUMIFS(HY!$G$545:$AN$545,HY!$G$9:$AN$9,FY!I$2)</f>
        <v>234.86400000000003</v>
      </c>
      <c r="J168" s="17">
        <f>SUMIFS(HY!$G$545:$AN$545,HY!$G$9:$AN$9,FY!J$2)</f>
        <v>57.17500000000004</v>
      </c>
      <c r="K168" s="17">
        <f>SUMIFS(HY!$G$545:$AN$545,HY!$G$9:$AN$9,FY!K$2)</f>
        <v>29.987000000000009</v>
      </c>
      <c r="L168" s="17">
        <f>SUMIFS(HY!$G$545:$AN$545,HY!$G$9:$AN$9,FY!L$2)</f>
        <v>123.13599683488397</v>
      </c>
      <c r="M168" s="17">
        <f>SUMIFS(HY!$G$545:$AN$545,HY!$G$9:$AN$9,FY!M$2)</f>
        <v>164.36168445426858</v>
      </c>
      <c r="N168" s="17">
        <f>SUMIFS(HY!$G$545:$AN$545,HY!$G$9:$AN$9,FY!N$2)</f>
        <v>190.38277274863015</v>
      </c>
      <c r="O168" s="17">
        <f>SUMIFS(HY!$G$545:$AN$545,HY!$G$9:$AN$9,FY!O$2)</f>
        <v>202.6851644730159</v>
      </c>
      <c r="P168" s="17">
        <f>SUMIFS(HY!$G$545:$AN$545,HY!$G$9:$AN$9,FY!P$2)</f>
        <v>208.4800203009263</v>
      </c>
      <c r="Q168" s="17">
        <f>SUMIFS(HY!$G$545:$AN$545,HY!$G$9:$AN$9,FY!Q$2)</f>
        <v>215.12925199283569</v>
      </c>
      <c r="R168" s="17">
        <f>SUMIFS(HY!$G$545:$AN$545,HY!$G$9:$AN$9,FY!R$2)</f>
        <v>222.38444391904284</v>
      </c>
      <c r="S168" s="17">
        <f>SUMIFS(HY!$G$545:$AN$545,HY!$G$9:$AN$9,FY!S$2)</f>
        <v>226.39331716979632</v>
      </c>
      <c r="T168" s="551"/>
    </row>
    <row r="169" spans="2:20">
      <c r="B169" s="9" t="s">
        <v>1200</v>
      </c>
      <c r="C169" s="17"/>
      <c r="D169" s="17">
        <f t="shared" ref="D169:O169" si="64">D168/D160*100</f>
        <v>35.94086395355977</v>
      </c>
      <c r="E169" s="17">
        <f t="shared" si="64"/>
        <v>17.153661531278342</v>
      </c>
      <c r="F169" s="17">
        <f t="shared" si="64"/>
        <v>39.365686587922347</v>
      </c>
      <c r="G169" s="17">
        <f t="shared" si="64"/>
        <v>12.989913622125673</v>
      </c>
      <c r="H169" s="17">
        <f t="shared" si="64"/>
        <v>37.295850731272743</v>
      </c>
      <c r="I169" s="17">
        <f t="shared" si="64"/>
        <v>30.89481592857647</v>
      </c>
      <c r="J169" s="17">
        <f t="shared" si="64"/>
        <v>7.5209955579244188</v>
      </c>
      <c r="K169" s="17">
        <f t="shared" si="64"/>
        <v>2.7185406640907206</v>
      </c>
      <c r="L169" s="17">
        <f t="shared" si="64"/>
        <v>11.163177864040359</v>
      </c>
      <c r="M169" s="17">
        <f t="shared" si="64"/>
        <v>14.900587681574571</v>
      </c>
      <c r="N169" s="17">
        <f t="shared" si="64"/>
        <v>17.259589470753777</v>
      </c>
      <c r="O169" s="17">
        <f t="shared" si="64"/>
        <v>18.374891173768944</v>
      </c>
      <c r="P169" s="17">
        <f t="shared" ref="P169:S169" si="65">P168/P160*100</f>
        <v>18.900237197403101</v>
      </c>
      <c r="Q169" s="17">
        <f t="shared" si="65"/>
        <v>19.503038636007044</v>
      </c>
      <c r="R169" s="17">
        <f t="shared" si="65"/>
        <v>20.160774797582956</v>
      </c>
      <c r="S169" s="17">
        <f t="shared" si="65"/>
        <v>20.52420845047784</v>
      </c>
      <c r="T169" s="551"/>
    </row>
    <row r="170" spans="2:20">
      <c r="B170" s="9" t="s">
        <v>1201</v>
      </c>
      <c r="C170" s="17"/>
      <c r="D170" s="17"/>
      <c r="E170" s="17"/>
      <c r="F170" s="17"/>
      <c r="G170" s="17"/>
      <c r="H170" s="17"/>
      <c r="I170" s="17"/>
      <c r="J170" s="17"/>
      <c r="K170" s="17"/>
      <c r="L170" s="17"/>
      <c r="M170" s="17"/>
      <c r="N170" s="17"/>
      <c r="O170" s="17"/>
      <c r="P170" s="17"/>
      <c r="Q170" s="17"/>
      <c r="R170" s="17"/>
      <c r="S170" s="17"/>
      <c r="T170" s="551"/>
    </row>
    <row r="171" spans="2:20">
      <c r="B171" s="9" t="s">
        <v>1202</v>
      </c>
      <c r="C171" s="17"/>
      <c r="D171" s="17"/>
      <c r="E171" s="17"/>
      <c r="F171" s="17"/>
      <c r="G171" s="17"/>
      <c r="H171" s="17"/>
      <c r="I171" s="17"/>
      <c r="J171" s="17"/>
      <c r="K171" s="17"/>
      <c r="L171" s="17"/>
      <c r="M171" s="17"/>
      <c r="N171" s="17"/>
      <c r="O171" s="17"/>
      <c r="P171" s="17"/>
      <c r="Q171" s="17"/>
      <c r="R171" s="17"/>
      <c r="S171" s="17"/>
      <c r="T171" s="551"/>
    </row>
    <row r="172" spans="2:20">
      <c r="B172" s="9" t="s">
        <v>1203</v>
      </c>
      <c r="C172" s="17"/>
      <c r="D172" s="17"/>
      <c r="E172" s="17"/>
      <c r="F172" s="17"/>
      <c r="G172" s="17"/>
      <c r="H172" s="17"/>
      <c r="I172" s="17"/>
      <c r="J172" s="17"/>
      <c r="K172" s="17"/>
      <c r="L172" s="17"/>
      <c r="M172" s="17"/>
      <c r="N172" s="17"/>
      <c r="O172" s="17"/>
      <c r="P172" s="17"/>
      <c r="Q172" s="17"/>
      <c r="R172" s="17"/>
      <c r="S172" s="17"/>
      <c r="T172" s="551"/>
    </row>
    <row r="173" spans="2:20">
      <c r="B173" s="9" t="s">
        <v>1204</v>
      </c>
      <c r="C173" s="17"/>
      <c r="D173" s="17"/>
      <c r="E173" s="17"/>
      <c r="F173" s="17"/>
      <c r="G173" s="17"/>
      <c r="H173" s="17"/>
      <c r="I173" s="17"/>
      <c r="J173" s="17"/>
      <c r="K173" s="17"/>
      <c r="L173" s="17"/>
      <c r="M173" s="17"/>
      <c r="N173" s="17"/>
      <c r="O173" s="17"/>
      <c r="P173" s="17"/>
      <c r="Q173" s="17"/>
      <c r="R173" s="17"/>
      <c r="S173" s="17"/>
      <c r="T173" s="551"/>
    </row>
    <row r="174" spans="2:20">
      <c r="C174" s="17"/>
      <c r="D174" s="17"/>
      <c r="E174" s="17"/>
      <c r="F174" s="17"/>
      <c r="G174" s="17"/>
      <c r="H174" s="17"/>
      <c r="I174" s="17"/>
      <c r="J174" s="17"/>
      <c r="K174" s="17"/>
      <c r="L174" s="17"/>
      <c r="M174" s="17"/>
      <c r="N174" s="17"/>
      <c r="O174" s="17"/>
      <c r="P174" s="17"/>
      <c r="Q174" s="17"/>
      <c r="R174" s="17"/>
      <c r="S174" s="17"/>
      <c r="T174" s="551"/>
    </row>
    <row r="175" spans="2:20">
      <c r="B175" s="30" t="s">
        <v>1205</v>
      </c>
      <c r="C175" s="31"/>
      <c r="D175" s="31" t="s">
        <v>1153</v>
      </c>
      <c r="E175" s="31" t="s">
        <v>1154</v>
      </c>
      <c r="F175" s="31">
        <v>2021</v>
      </c>
      <c r="G175" s="31">
        <v>2022</v>
      </c>
      <c r="H175" s="32">
        <v>2023</v>
      </c>
      <c r="I175" s="32">
        <v>2024</v>
      </c>
      <c r="J175" s="32">
        <v>2025</v>
      </c>
      <c r="K175" s="32">
        <v>2026</v>
      </c>
      <c r="L175" s="32">
        <v>2027</v>
      </c>
      <c r="M175" s="32">
        <v>2028</v>
      </c>
      <c r="N175" s="32">
        <v>2029</v>
      </c>
      <c r="O175" s="32">
        <v>2030</v>
      </c>
      <c r="P175" s="32">
        <v>2030</v>
      </c>
      <c r="Q175" s="32">
        <v>2030</v>
      </c>
      <c r="R175" s="32">
        <v>2030</v>
      </c>
      <c r="S175" s="32">
        <v>2030</v>
      </c>
      <c r="T175" s="560"/>
    </row>
    <row r="177" spans="2:20">
      <c r="B177" s="13" t="s">
        <v>1206</v>
      </c>
    </row>
    <row r="178" spans="2:20">
      <c r="B178" s="244" t="s">
        <v>273</v>
      </c>
      <c r="D178" s="245">
        <f t="shared" ref="D178:O178" si="66">D11</f>
        <v>937.78671906368481</v>
      </c>
      <c r="E178" s="245">
        <f t="shared" si="66"/>
        <v>705.23393575756063</v>
      </c>
      <c r="F178" s="245">
        <f t="shared" si="66"/>
        <v>731.63648084814668</v>
      </c>
      <c r="G178" s="245">
        <f t="shared" si="66"/>
        <v>575.4200442999371</v>
      </c>
      <c r="H178" s="245">
        <f t="shared" si="66"/>
        <v>862.6</v>
      </c>
      <c r="I178" s="245">
        <f t="shared" si="66"/>
        <v>870.5</v>
      </c>
      <c r="J178" s="245">
        <f t="shared" si="66"/>
        <v>825.2</v>
      </c>
      <c r="K178" s="245">
        <f t="shared" si="66"/>
        <v>822.7</v>
      </c>
      <c r="L178" s="245">
        <f t="shared" si="66"/>
        <v>840.93399999999997</v>
      </c>
      <c r="M178" s="245">
        <f t="shared" si="66"/>
        <v>859.61222999999995</v>
      </c>
      <c r="N178" s="245">
        <f t="shared" si="66"/>
        <v>899.31188750000001</v>
      </c>
      <c r="O178" s="245">
        <f t="shared" si="66"/>
        <v>935.82404444699989</v>
      </c>
      <c r="P178" s="245">
        <f t="shared" ref="P178:S178" si="67">P11</f>
        <v>973.90198434563001</v>
      </c>
      <c r="Q178" s="245">
        <f t="shared" si="67"/>
        <v>1013.4024088764711</v>
      </c>
      <c r="R178" s="245">
        <f t="shared" si="67"/>
        <v>1055.1144007168261</v>
      </c>
      <c r="S178" s="245">
        <f t="shared" si="67"/>
        <v>1092.3405089260359</v>
      </c>
      <c r="T178" s="561"/>
    </row>
    <row r="179" spans="2:20">
      <c r="B179" s="244" t="s">
        <v>26</v>
      </c>
      <c r="D179" s="245">
        <f t="shared" ref="D179:O179" si="68">D19</f>
        <v>322.2</v>
      </c>
      <c r="E179" s="245">
        <f t="shared" si="68"/>
        <v>200.7</v>
      </c>
      <c r="F179" s="245">
        <f t="shared" si="68"/>
        <v>248.60000000000002</v>
      </c>
      <c r="G179" s="245">
        <f t="shared" si="68"/>
        <v>137.9</v>
      </c>
      <c r="H179" s="245">
        <f t="shared" si="68"/>
        <v>301.8</v>
      </c>
      <c r="I179" s="245">
        <f t="shared" si="68"/>
        <v>277.8</v>
      </c>
      <c r="J179" s="245">
        <f t="shared" si="68"/>
        <v>233.7</v>
      </c>
      <c r="K179" s="245">
        <f t="shared" si="68"/>
        <v>181.6</v>
      </c>
      <c r="L179" s="245">
        <f t="shared" si="68"/>
        <v>183.18613519999997</v>
      </c>
      <c r="M179" s="245">
        <f t="shared" si="68"/>
        <v>204.83214634399997</v>
      </c>
      <c r="N179" s="245">
        <f t="shared" si="68"/>
        <v>229.34449655400005</v>
      </c>
      <c r="O179" s="245">
        <f t="shared" si="68"/>
        <v>238.69843621886156</v>
      </c>
      <c r="P179" s="245">
        <f t="shared" ref="P179:S179" si="69">P19</f>
        <v>248.54432493026681</v>
      </c>
      <c r="Q179" s="245">
        <f t="shared" si="69"/>
        <v>258.8242178848343</v>
      </c>
      <c r="R179" s="245">
        <f t="shared" si="69"/>
        <v>269.85336353011263</v>
      </c>
      <c r="S179" s="245">
        <f t="shared" si="69"/>
        <v>276.09809342538347</v>
      </c>
      <c r="T179" s="561"/>
    </row>
    <row r="180" spans="2:20">
      <c r="B180" s="244" t="s">
        <v>283</v>
      </c>
      <c r="D180" s="245">
        <f t="shared" ref="D180:O180" si="70">D41</f>
        <v>164.6</v>
      </c>
      <c r="E180" s="245">
        <f t="shared" si="70"/>
        <v>66.3</v>
      </c>
      <c r="F180" s="245">
        <f t="shared" si="70"/>
        <v>90</v>
      </c>
      <c r="G180" s="245">
        <f t="shared" si="70"/>
        <v>9.6999999999999993</v>
      </c>
      <c r="H180" s="245">
        <f t="shared" si="70"/>
        <v>132.69999999999999</v>
      </c>
      <c r="I180" s="245">
        <f t="shared" si="70"/>
        <v>123.2</v>
      </c>
      <c r="J180" s="245">
        <f t="shared" si="70"/>
        <v>71.5</v>
      </c>
      <c r="K180" s="245">
        <f t="shared" si="70"/>
        <v>38</v>
      </c>
      <c r="L180" s="245">
        <f t="shared" si="70"/>
        <v>30.450322851937333</v>
      </c>
      <c r="M180" s="245">
        <f t="shared" si="70"/>
        <v>54.764411076039899</v>
      </c>
      <c r="N180" s="245">
        <f t="shared" si="70"/>
        <v>74.577355545863213</v>
      </c>
      <c r="O180" s="245">
        <f t="shared" si="70"/>
        <v>84.030967406973247</v>
      </c>
      <c r="P180" s="245">
        <f t="shared" ref="P180:S180" si="71">P41</f>
        <v>93.4833774684611</v>
      </c>
      <c r="Q180" s="245">
        <f t="shared" si="71"/>
        <v>101.95492041466355</v>
      </c>
      <c r="R180" s="245">
        <f t="shared" si="71"/>
        <v>110.76081242582953</v>
      </c>
      <c r="S180" s="245">
        <f t="shared" si="71"/>
        <v>115.97781126303668</v>
      </c>
      <c r="T180" s="561"/>
    </row>
    <row r="181" spans="2:20">
      <c r="B181" s="244" t="s">
        <v>1207</v>
      </c>
      <c r="D181" s="245">
        <f t="shared" ref="D181:O181" si="72">D161</f>
        <v>24.4</v>
      </c>
      <c r="E181" s="245">
        <f t="shared" si="72"/>
        <v>10</v>
      </c>
      <c r="F181" s="245">
        <f t="shared" si="72"/>
        <v>11.9</v>
      </c>
      <c r="G181" s="245">
        <f t="shared" si="72"/>
        <v>1.3000000000000003</v>
      </c>
      <c r="H181" s="245">
        <f t="shared" si="72"/>
        <v>18.3</v>
      </c>
      <c r="I181" s="245">
        <f t="shared" si="72"/>
        <v>16.2</v>
      </c>
      <c r="J181" s="245">
        <f t="shared" si="72"/>
        <v>9.4</v>
      </c>
      <c r="K181" s="245">
        <f t="shared" si="72"/>
        <v>3.7</v>
      </c>
      <c r="L181" s="245">
        <f t="shared" si="72"/>
        <v>2.7605442661047297</v>
      </c>
      <c r="M181" s="245">
        <f t="shared" si="72"/>
        <v>4.9647940259177199</v>
      </c>
      <c r="N181" s="245">
        <f t="shared" si="72"/>
        <v>6.7609822146857201</v>
      </c>
      <c r="O181" s="245">
        <f t="shared" si="72"/>
        <v>7.6180212071477182</v>
      </c>
      <c r="P181" s="245">
        <f t="shared" ref="P181:S181" si="73">P161</f>
        <v>8.4749512476924558</v>
      </c>
      <c r="Q181" s="245">
        <f t="shared" si="73"/>
        <v>9.2429585170705941</v>
      </c>
      <c r="R181" s="245">
        <f t="shared" si="73"/>
        <v>10.041276972266056</v>
      </c>
      <c r="S181" s="245">
        <f t="shared" si="73"/>
        <v>10.51423603730963</v>
      </c>
      <c r="T181" s="561"/>
    </row>
    <row r="182" spans="2:20">
      <c r="B182" s="244" t="str">
        <f>B163</f>
        <v>DPS (cps)</v>
      </c>
      <c r="D182" s="245">
        <f t="shared" ref="D182:O182" si="74">D163</f>
        <v>20</v>
      </c>
      <c r="E182" s="245">
        <f t="shared" si="74"/>
        <v>10</v>
      </c>
      <c r="F182" s="245">
        <f t="shared" si="74"/>
        <v>7</v>
      </c>
      <c r="G182" s="245">
        <f t="shared" si="74"/>
        <v>0</v>
      </c>
      <c r="H182" s="245">
        <f t="shared" si="74"/>
        <v>12</v>
      </c>
      <c r="I182" s="245">
        <f t="shared" si="74"/>
        <v>5.25</v>
      </c>
      <c r="J182" s="245">
        <f t="shared" si="74"/>
        <v>0</v>
      </c>
      <c r="K182" s="245">
        <f t="shared" si="74"/>
        <v>0</v>
      </c>
      <c r="L182" s="245">
        <f t="shared" si="74"/>
        <v>0</v>
      </c>
      <c r="M182" s="245">
        <f t="shared" si="74"/>
        <v>0</v>
      </c>
      <c r="N182" s="245">
        <f t="shared" si="74"/>
        <v>0</v>
      </c>
      <c r="O182" s="245">
        <f t="shared" si="74"/>
        <v>0</v>
      </c>
      <c r="P182" s="245">
        <f t="shared" ref="P182:S182" si="75">P163</f>
        <v>6.4561680616261041</v>
      </c>
      <c r="Q182" s="245">
        <f t="shared" si="75"/>
        <v>7.0887750507737559</v>
      </c>
      <c r="R182" s="245">
        <f t="shared" si="75"/>
        <v>7.7130642844434725</v>
      </c>
      <c r="S182" s="245">
        <f t="shared" si="75"/>
        <v>8.22328534364412</v>
      </c>
      <c r="T182" s="561"/>
    </row>
    <row r="183" spans="2:20">
      <c r="B183" s="244" t="str">
        <f>B160</f>
        <v>Shares on issue (m) - Average</v>
      </c>
      <c r="D183" s="245">
        <f t="shared" ref="D183:O183" si="76">D160</f>
        <v>677.39885249999998</v>
      </c>
      <c r="E183" s="245">
        <f t="shared" si="76"/>
        <v>703.19680600000004</v>
      </c>
      <c r="F183" s="245">
        <f t="shared" si="76"/>
        <v>760.20520899999997</v>
      </c>
      <c r="G183" s="245">
        <f t="shared" si="76"/>
        <v>760.20520899999997</v>
      </c>
      <c r="H183" s="245">
        <f t="shared" si="76"/>
        <v>760.20520899999997</v>
      </c>
      <c r="I183" s="245">
        <f t="shared" si="76"/>
        <v>760.20520899999997</v>
      </c>
      <c r="J183" s="245">
        <f t="shared" si="76"/>
        <v>760.20520899999997</v>
      </c>
      <c r="K183" s="245">
        <f t="shared" si="76"/>
        <v>1103.0550470000001</v>
      </c>
      <c r="L183" s="245">
        <f t="shared" si="76"/>
        <v>1103.0550470000001</v>
      </c>
      <c r="M183" s="245">
        <f t="shared" si="76"/>
        <v>1103.0550470000001</v>
      </c>
      <c r="N183" s="245">
        <f t="shared" si="76"/>
        <v>1103.0550470000001</v>
      </c>
      <c r="O183" s="245">
        <f t="shared" si="76"/>
        <v>1103.0550470000001</v>
      </c>
      <c r="P183" s="245">
        <f t="shared" ref="P183:S183" si="77">P160</f>
        <v>1103.0550470000001</v>
      </c>
      <c r="Q183" s="245">
        <f t="shared" si="77"/>
        <v>1103.0550470000001</v>
      </c>
      <c r="R183" s="245">
        <f t="shared" si="77"/>
        <v>1103.0550470000001</v>
      </c>
      <c r="S183" s="245">
        <f t="shared" si="77"/>
        <v>1103.0550470000001</v>
      </c>
      <c r="T183" s="561"/>
    </row>
    <row r="185" spans="2:20">
      <c r="B185" s="13" t="s">
        <v>270</v>
      </c>
    </row>
    <row r="186" spans="2:20">
      <c r="B186" s="244" t="s">
        <v>273</v>
      </c>
      <c r="D186" s="245">
        <f t="shared" ref="D186:O186" si="78">D48</f>
        <v>937.78671906368481</v>
      </c>
      <c r="E186" s="245">
        <f t="shared" si="78"/>
        <v>705.23393575756063</v>
      </c>
      <c r="F186" s="245">
        <f t="shared" si="78"/>
        <v>731.63648084814668</v>
      </c>
      <c r="G186" s="245">
        <f t="shared" si="78"/>
        <v>575.4200442999371</v>
      </c>
      <c r="H186" s="245">
        <f t="shared" si="78"/>
        <v>862.6</v>
      </c>
      <c r="I186" s="245">
        <f t="shared" si="78"/>
        <v>870.5</v>
      </c>
      <c r="J186" s="245">
        <f t="shared" si="78"/>
        <v>825.2</v>
      </c>
      <c r="K186" s="245">
        <f t="shared" si="78"/>
        <v>822.7</v>
      </c>
      <c r="L186" s="245">
        <f t="shared" si="78"/>
        <v>840.93399999999997</v>
      </c>
      <c r="M186" s="245">
        <f t="shared" si="78"/>
        <v>859.61222999999995</v>
      </c>
      <c r="N186" s="245">
        <f t="shared" si="78"/>
        <v>899.31188750000001</v>
      </c>
      <c r="O186" s="245">
        <f t="shared" si="78"/>
        <v>935.82404444699989</v>
      </c>
      <c r="P186" s="245">
        <f t="shared" ref="P186:S186" si="79">P48</f>
        <v>973.90198434563001</v>
      </c>
      <c r="Q186" s="245">
        <f t="shared" si="79"/>
        <v>1013.4024088764711</v>
      </c>
      <c r="R186" s="245">
        <f t="shared" si="79"/>
        <v>1055.1144007168261</v>
      </c>
      <c r="S186" s="245">
        <f t="shared" si="79"/>
        <v>1092.3405089260359</v>
      </c>
      <c r="T186" s="561"/>
    </row>
    <row r="187" spans="2:20">
      <c r="B187" s="244" t="s">
        <v>26</v>
      </c>
      <c r="D187" s="245">
        <f t="shared" ref="D187:O187" si="80">D52</f>
        <v>322.2</v>
      </c>
      <c r="E187" s="245">
        <f t="shared" si="80"/>
        <v>200.7</v>
      </c>
      <c r="F187" s="245">
        <f t="shared" si="80"/>
        <v>248.60000000000002</v>
      </c>
      <c r="G187" s="245">
        <f t="shared" si="80"/>
        <v>137.89999999999998</v>
      </c>
      <c r="H187" s="245">
        <f t="shared" si="80"/>
        <v>301.8</v>
      </c>
      <c r="I187" s="245">
        <f t="shared" si="80"/>
        <v>277.8</v>
      </c>
      <c r="J187" s="245">
        <f t="shared" si="80"/>
        <v>233.7</v>
      </c>
      <c r="K187" s="245">
        <f t="shared" si="80"/>
        <v>181.59999999999997</v>
      </c>
      <c r="L187" s="245">
        <f t="shared" si="80"/>
        <v>183.18613519999997</v>
      </c>
      <c r="M187" s="245">
        <f t="shared" si="80"/>
        <v>204.83214634399997</v>
      </c>
      <c r="N187" s="245">
        <f t="shared" si="80"/>
        <v>229.3444965540001</v>
      </c>
      <c r="O187" s="245">
        <f t="shared" si="80"/>
        <v>238.69843621886156</v>
      </c>
      <c r="P187" s="245">
        <f t="shared" ref="P187:S187" si="81">P52</f>
        <v>248.54432493026678</v>
      </c>
      <c r="Q187" s="245">
        <f t="shared" si="81"/>
        <v>258.82421788483435</v>
      </c>
      <c r="R187" s="245">
        <f t="shared" si="81"/>
        <v>269.85336353011263</v>
      </c>
      <c r="S187" s="245">
        <f t="shared" si="81"/>
        <v>276.09809342538347</v>
      </c>
      <c r="T187" s="561"/>
    </row>
    <row r="188" spans="2:20">
      <c r="B188" s="244" t="s">
        <v>283</v>
      </c>
      <c r="D188" s="245">
        <f t="shared" ref="D188:O188" si="82">D63</f>
        <v>164.6</v>
      </c>
      <c r="E188" s="245">
        <f t="shared" si="82"/>
        <v>66.3</v>
      </c>
      <c r="F188" s="245">
        <f t="shared" si="82"/>
        <v>90.000000000000043</v>
      </c>
      <c r="G188" s="245">
        <f t="shared" si="82"/>
        <v>9.6999999999999744</v>
      </c>
      <c r="H188" s="245">
        <f t="shared" si="82"/>
        <v>132.69999999999999</v>
      </c>
      <c r="I188" s="245">
        <f t="shared" si="82"/>
        <v>123.20000000000002</v>
      </c>
      <c r="J188" s="245">
        <f t="shared" si="82"/>
        <v>71.499999999999986</v>
      </c>
      <c r="K188" s="245">
        <f t="shared" si="82"/>
        <v>37.999999999999972</v>
      </c>
      <c r="L188" s="245">
        <f t="shared" si="82"/>
        <v>30.450322851937322</v>
      </c>
      <c r="M188" s="245">
        <f t="shared" si="82"/>
        <v>54.764411076039899</v>
      </c>
      <c r="N188" s="245">
        <f t="shared" si="82"/>
        <v>74.57735554586327</v>
      </c>
      <c r="O188" s="245">
        <f t="shared" si="82"/>
        <v>84.030967406973247</v>
      </c>
      <c r="P188" s="245">
        <f t="shared" ref="P188:S188" si="83">P63</f>
        <v>93.483377468461072</v>
      </c>
      <c r="Q188" s="245">
        <f t="shared" si="83"/>
        <v>101.9549204146636</v>
      </c>
      <c r="R188" s="245">
        <f t="shared" si="83"/>
        <v>110.76081242582951</v>
      </c>
      <c r="S188" s="245">
        <f t="shared" si="83"/>
        <v>115.97781126303667</v>
      </c>
      <c r="T188" s="561"/>
    </row>
    <row r="189" spans="2:20">
      <c r="B189" s="244" t="s">
        <v>960</v>
      </c>
      <c r="D189" s="245">
        <f t="shared" ref="D189:O189" si="84">D162</f>
        <v>21.4</v>
      </c>
      <c r="E189" s="245">
        <f t="shared" si="84"/>
        <v>35.4</v>
      </c>
      <c r="F189" s="245">
        <f t="shared" si="84"/>
        <v>20.6</v>
      </c>
      <c r="G189" s="245">
        <f t="shared" si="84"/>
        <v>-4.4000000000000004</v>
      </c>
      <c r="H189" s="245">
        <f t="shared" si="84"/>
        <v>1.1000000000000001</v>
      </c>
      <c r="I189" s="245">
        <f t="shared" si="84"/>
        <v>1.1000000000000001</v>
      </c>
      <c r="J189" s="245">
        <f t="shared" si="84"/>
        <v>3.9</v>
      </c>
      <c r="K189" s="245">
        <f t="shared" si="84"/>
        <v>1.8</v>
      </c>
      <c r="L189" s="245">
        <f t="shared" si="84"/>
        <v>-1.5003491614560072</v>
      </c>
      <c r="M189" s="245">
        <f t="shared" si="84"/>
        <v>3.4236198074383042</v>
      </c>
      <c r="N189" s="245">
        <f t="shared" si="84"/>
        <v>6.1263810659000795</v>
      </c>
      <c r="O189" s="245">
        <f t="shared" si="84"/>
        <v>7.6180212071477182</v>
      </c>
      <c r="P189" s="245">
        <f t="shared" ref="P189:S189" si="85">P162</f>
        <v>8.4749512476924558</v>
      </c>
      <c r="Q189" s="245">
        <f t="shared" si="85"/>
        <v>9.2429585170705941</v>
      </c>
      <c r="R189" s="245">
        <f t="shared" si="85"/>
        <v>10.041276972266056</v>
      </c>
      <c r="S189" s="245">
        <f t="shared" si="85"/>
        <v>10.51423603730963</v>
      </c>
      <c r="T189" s="561"/>
    </row>
    <row r="190" spans="2:20">
      <c r="B190" s="244"/>
    </row>
    <row r="191" spans="2:20">
      <c r="B191" s="13" t="s">
        <v>1208</v>
      </c>
    </row>
    <row r="192" spans="2:20">
      <c r="B192" s="244" t="str">
        <f>B78</f>
        <v>Operating cash flow</v>
      </c>
      <c r="D192" s="245">
        <f t="shared" ref="D192:O192" si="86">D78</f>
        <v>253.04700000000003</v>
      </c>
      <c r="E192" s="245">
        <f t="shared" si="86"/>
        <v>121.226</v>
      </c>
      <c r="F192" s="245">
        <f t="shared" si="86"/>
        <v>285.87100000000004</v>
      </c>
      <c r="G192" s="245">
        <f t="shared" si="86"/>
        <v>93.021999999999991</v>
      </c>
      <c r="H192" s="245">
        <f t="shared" si="86"/>
        <v>286.262</v>
      </c>
      <c r="I192" s="245">
        <f t="shared" si="86"/>
        <v>209.82500000000002</v>
      </c>
      <c r="J192" s="245">
        <f t="shared" si="86"/>
        <v>45.161999999999999</v>
      </c>
      <c r="K192" s="245">
        <f t="shared" si="86"/>
        <v>121.67600000000002</v>
      </c>
      <c r="L192" s="245">
        <f t="shared" si="86"/>
        <v>124.80661649572802</v>
      </c>
      <c r="M192" s="245">
        <f t="shared" si="86"/>
        <v>162.23272845748437</v>
      </c>
      <c r="N192" s="245">
        <f t="shared" si="86"/>
        <v>193.07605894516016</v>
      </c>
      <c r="O192" s="245">
        <f t="shared" si="86"/>
        <v>207.3371859320815</v>
      </c>
      <c r="P192" s="245">
        <f t="shared" ref="P192:S192" si="87">P78</f>
        <v>213.24107122046161</v>
      </c>
      <c r="Q192" s="245">
        <f t="shared" si="87"/>
        <v>219.40238717256938</v>
      </c>
      <c r="R192" s="245">
        <f t="shared" si="87"/>
        <v>228.32119084232897</v>
      </c>
      <c r="S192" s="245">
        <f t="shared" si="87"/>
        <v>231.8421148064142</v>
      </c>
      <c r="T192" s="561"/>
    </row>
    <row r="193" spans="1:20">
      <c r="B193" s="244" t="str">
        <f>B86</f>
        <v>Investing cash flow</v>
      </c>
      <c r="D193" s="245">
        <f t="shared" ref="D193:O193" si="88">D86</f>
        <v>-116.483</v>
      </c>
      <c r="E193" s="245">
        <f t="shared" si="88"/>
        <v>-99.269000000000005</v>
      </c>
      <c r="F193" s="245">
        <f t="shared" si="88"/>
        <v>-251.57900000000004</v>
      </c>
      <c r="G193" s="245">
        <f t="shared" si="88"/>
        <v>-31.678999999999995</v>
      </c>
      <c r="H193" s="245">
        <f t="shared" si="88"/>
        <v>-51.436000000000007</v>
      </c>
      <c r="I193" s="245">
        <f t="shared" si="88"/>
        <v>-319.41200000000003</v>
      </c>
      <c r="J193" s="245">
        <f t="shared" si="88"/>
        <v>-94.698000000000008</v>
      </c>
      <c r="K193" s="245">
        <f t="shared" si="88"/>
        <v>-113.66999999999999</v>
      </c>
      <c r="L193" s="245">
        <f t="shared" si="88"/>
        <v>195.64666</v>
      </c>
      <c r="M193" s="245">
        <f t="shared" si="88"/>
        <v>-77.365100699999999</v>
      </c>
      <c r="N193" s="245">
        <f t="shared" si="88"/>
        <v>-80.938069874999997</v>
      </c>
      <c r="O193" s="245">
        <f t="shared" si="88"/>
        <v>-84.22416400022999</v>
      </c>
      <c r="P193" s="245">
        <f t="shared" ref="P193:S193" si="89">P86</f>
        <v>0</v>
      </c>
      <c r="Q193" s="245">
        <f t="shared" si="89"/>
        <v>0</v>
      </c>
      <c r="R193" s="245">
        <f t="shared" si="89"/>
        <v>0</v>
      </c>
      <c r="S193" s="245">
        <f t="shared" si="89"/>
        <v>0</v>
      </c>
      <c r="T193" s="561"/>
    </row>
    <row r="194" spans="1:20">
      <c r="B194" s="244" t="str">
        <f>B96</f>
        <v>Financing cash flow</v>
      </c>
      <c r="D194" s="245">
        <f t="shared" ref="D194:O194" si="90">D96</f>
        <v>-170.94500000000002</v>
      </c>
      <c r="E194" s="245">
        <f t="shared" si="90"/>
        <v>-9.3070000000000022</v>
      </c>
      <c r="F194" s="245">
        <f t="shared" si="90"/>
        <v>-38.576000000000008</v>
      </c>
      <c r="G194" s="245">
        <f t="shared" si="90"/>
        <v>-62.585000000000001</v>
      </c>
      <c r="H194" s="245">
        <f t="shared" si="90"/>
        <v>-38.510999999999996</v>
      </c>
      <c r="I194" s="245">
        <f t="shared" si="90"/>
        <v>-74.89</v>
      </c>
      <c r="J194" s="245">
        <f t="shared" si="90"/>
        <v>40.499000000000002</v>
      </c>
      <c r="K194" s="245">
        <f t="shared" si="90"/>
        <v>24.91</v>
      </c>
      <c r="L194" s="245">
        <f t="shared" si="90"/>
        <v>-311.72411404815125</v>
      </c>
      <c r="M194" s="245">
        <f t="shared" si="90"/>
        <v>-21.935186810000655</v>
      </c>
      <c r="N194" s="245">
        <f t="shared" si="90"/>
        <v>-19.650921251912443</v>
      </c>
      <c r="O194" s="245">
        <f t="shared" si="90"/>
        <v>-16.707393769213969</v>
      </c>
      <c r="P194" s="245">
        <f t="shared" ref="P194:S194" si="91">P96</f>
        <v>-85.19439474361215</v>
      </c>
      <c r="Q194" s="245">
        <f t="shared" si="91"/>
        <v>-91.01251452348636</v>
      </c>
      <c r="R194" s="245">
        <f t="shared" si="91"/>
        <v>-96.750654621075768</v>
      </c>
      <c r="S194" s="245">
        <f t="shared" si="91"/>
        <v>-101.32701141954196</v>
      </c>
      <c r="T194" s="561"/>
    </row>
    <row r="195" spans="1:20">
      <c r="B195" s="244" t="str">
        <f>B102</f>
        <v>Closing cash</v>
      </c>
      <c r="D195" s="245">
        <f t="shared" ref="D195:O195" si="92">D102</f>
        <v>41.573999999999998</v>
      </c>
      <c r="E195" s="245">
        <f t="shared" si="92"/>
        <v>54.223999999999997</v>
      </c>
      <c r="F195" s="245">
        <f t="shared" si="92"/>
        <v>49.94</v>
      </c>
      <c r="G195" s="245">
        <f t="shared" si="92"/>
        <v>48.698</v>
      </c>
      <c r="H195" s="245">
        <f t="shared" si="92"/>
        <v>245.01300000000001</v>
      </c>
      <c r="I195" s="245">
        <f t="shared" si="92"/>
        <v>60.536000000000001</v>
      </c>
      <c r="J195" s="245">
        <f t="shared" si="92"/>
        <v>51.499000000000002</v>
      </c>
      <c r="K195" s="245">
        <f t="shared" si="92"/>
        <v>84.415000000000006</v>
      </c>
      <c r="L195" s="245">
        <f t="shared" si="92"/>
        <v>93.144162447576775</v>
      </c>
      <c r="M195" s="245">
        <f t="shared" si="92"/>
        <v>156.07660339506049</v>
      </c>
      <c r="N195" s="245">
        <f t="shared" si="92"/>
        <v>248.56367121330823</v>
      </c>
      <c r="O195" s="245">
        <f t="shared" si="92"/>
        <v>354.96929937594575</v>
      </c>
      <c r="P195" s="245">
        <f t="shared" ref="P195:S195" si="93">P102</f>
        <v>395.36479726168852</v>
      </c>
      <c r="Q195" s="245">
        <f t="shared" si="93"/>
        <v>432.5484531118891</v>
      </c>
      <c r="R195" s="245">
        <f t="shared" si="93"/>
        <v>469.15869326862799</v>
      </c>
      <c r="S195" s="245">
        <f t="shared" si="93"/>
        <v>501.36315085215699</v>
      </c>
      <c r="T195" s="561"/>
    </row>
    <row r="197" spans="1:20">
      <c r="B197" s="672" t="s">
        <v>1209</v>
      </c>
      <c r="D197" s="671">
        <f t="shared" ref="D197:O197" si="94">D78+D81+D82</f>
        <v>-79.73299999999999</v>
      </c>
      <c r="E197" s="671">
        <f t="shared" si="94"/>
        <v>-226.166</v>
      </c>
      <c r="F197" s="671">
        <f t="shared" si="94"/>
        <v>111.79900000000004</v>
      </c>
      <c r="G197" s="671">
        <f t="shared" si="94"/>
        <v>-18.454000000000008</v>
      </c>
      <c r="H197" s="671">
        <f t="shared" si="94"/>
        <v>23.402999999999992</v>
      </c>
      <c r="I197" s="671">
        <f t="shared" si="94"/>
        <v>-100.911</v>
      </c>
      <c r="J197" s="671">
        <f t="shared" si="94"/>
        <v>-118.68299999999999</v>
      </c>
      <c r="K197" s="671">
        <f t="shared" si="94"/>
        <v>8.0490000000000173</v>
      </c>
      <c r="L197" s="671">
        <f t="shared" si="94"/>
        <v>36.397276495728022</v>
      </c>
      <c r="M197" s="671">
        <f t="shared" si="94"/>
        <v>84.867627757484371</v>
      </c>
      <c r="N197" s="671">
        <f t="shared" si="94"/>
        <v>112.13798907016016</v>
      </c>
      <c r="O197" s="671">
        <f t="shared" si="94"/>
        <v>123.11302193185151</v>
      </c>
      <c r="P197" s="671">
        <f t="shared" ref="P197:S197" si="95">P78+P81+P82</f>
        <v>125.58989262935489</v>
      </c>
      <c r="Q197" s="671">
        <f t="shared" si="95"/>
        <v>128.19617037368698</v>
      </c>
      <c r="R197" s="671">
        <f t="shared" si="95"/>
        <v>133.36089477781462</v>
      </c>
      <c r="S197" s="671">
        <f t="shared" si="95"/>
        <v>133.53146900307095</v>
      </c>
    </row>
    <row r="200" spans="1:20">
      <c r="B200" s="13" t="s">
        <v>1210</v>
      </c>
    </row>
    <row r="201" spans="1:20">
      <c r="B201" s="244" t="str">
        <f>B153</f>
        <v>Net Debt</v>
      </c>
      <c r="D201" s="245">
        <f t="shared" ref="D201:O201" si="96">D153</f>
        <v>503.46599999999995</v>
      </c>
      <c r="E201" s="245">
        <f t="shared" si="96"/>
        <v>583.68899999999996</v>
      </c>
      <c r="F201" s="245">
        <f t="shared" si="96"/>
        <v>557.86200000000008</v>
      </c>
      <c r="G201" s="245">
        <f t="shared" si="96"/>
        <v>601.78000000000009</v>
      </c>
      <c r="H201" s="245">
        <f t="shared" si="96"/>
        <v>446.35199999999998</v>
      </c>
      <c r="I201" s="245">
        <f t="shared" si="96"/>
        <v>670.39300000000003</v>
      </c>
      <c r="J201" s="245">
        <f t="shared" si="96"/>
        <v>751.94799999999998</v>
      </c>
      <c r="K201" s="245">
        <f t="shared" si="96"/>
        <v>634.92100000000005</v>
      </c>
      <c r="L201" s="245">
        <f t="shared" si="96"/>
        <v>341.19183755242324</v>
      </c>
      <c r="M201" s="245">
        <f t="shared" si="96"/>
        <v>278.25939660493952</v>
      </c>
      <c r="N201" s="245">
        <f t="shared" si="96"/>
        <v>185.77232878669179</v>
      </c>
      <c r="O201" s="245">
        <f t="shared" si="96"/>
        <v>79.366700624054261</v>
      </c>
      <c r="P201" s="245">
        <f t="shared" ref="P201:S201" si="97">P153</f>
        <v>38.97120273831149</v>
      </c>
      <c r="Q201" s="245">
        <f t="shared" si="97"/>
        <v>1.78754688811091</v>
      </c>
      <c r="R201" s="245">
        <f t="shared" si="97"/>
        <v>-34.822693268627972</v>
      </c>
      <c r="S201" s="245">
        <f t="shared" si="97"/>
        <v>-67.027150852156979</v>
      </c>
      <c r="T201" s="561"/>
    </row>
    <row r="202" spans="1:20">
      <c r="B202" s="244" t="str">
        <f>B154</f>
        <v>Net Debt to EBITDA (T-12m)</v>
      </c>
      <c r="D202" s="246">
        <f t="shared" ref="D202:O202" si="98">D154</f>
        <v>1.5625884543761637</v>
      </c>
      <c r="E202" s="246">
        <f t="shared" si="98"/>
        <v>2.9082660687593425</v>
      </c>
      <c r="F202" s="246">
        <f t="shared" si="98"/>
        <v>2.2440144810941272</v>
      </c>
      <c r="G202" s="246">
        <f t="shared" si="98"/>
        <v>4.3638868745467736</v>
      </c>
      <c r="H202" s="246">
        <f t="shared" si="98"/>
        <v>1.4789662027833002</v>
      </c>
      <c r="I202" s="246">
        <f t="shared" si="98"/>
        <v>2.4132217422606193</v>
      </c>
      <c r="J202" s="246">
        <f t="shared" si="98"/>
        <v>3.2175780915703895</v>
      </c>
      <c r="K202" s="246">
        <f t="shared" si="98"/>
        <v>3.4962610132158596</v>
      </c>
      <c r="L202" s="246">
        <f t="shared" si="98"/>
        <v>1.8625418194445498</v>
      </c>
      <c r="M202" s="246">
        <f t="shared" si="98"/>
        <v>1.358475227504691</v>
      </c>
      <c r="N202" s="246">
        <f t="shared" si="98"/>
        <v>0.81001433031095638</v>
      </c>
      <c r="O202" s="246">
        <f t="shared" si="98"/>
        <v>0.33249778206038716</v>
      </c>
      <c r="P202" s="246">
        <f t="shared" ref="P202:S202" si="99">P154</f>
        <v>0.1567977975326755</v>
      </c>
      <c r="Q202" s="246">
        <f t="shared" si="99"/>
        <v>6.9064127874861074E-3</v>
      </c>
      <c r="R202" s="246">
        <f t="shared" si="99"/>
        <v>-0.12904302104332357</v>
      </c>
      <c r="S202" s="246">
        <f t="shared" si="99"/>
        <v>-0.242765714245221</v>
      </c>
      <c r="T202" s="559"/>
    </row>
    <row r="205" spans="1:20">
      <c r="A205" s="608" t="s">
        <v>7</v>
      </c>
      <c r="B205" s="517" t="s">
        <v>140</v>
      </c>
      <c r="C205" s="518"/>
      <c r="D205" s="518" t="s">
        <v>1153</v>
      </c>
      <c r="E205" s="518" t="s">
        <v>1154</v>
      </c>
      <c r="F205" s="519">
        <v>2021</v>
      </c>
      <c r="G205" s="519">
        <v>2022</v>
      </c>
      <c r="H205" s="519">
        <v>2023</v>
      </c>
      <c r="I205" s="518">
        <v>2024</v>
      </c>
      <c r="J205" s="518">
        <v>2025</v>
      </c>
      <c r="K205" s="518">
        <v>2026</v>
      </c>
      <c r="L205" s="518">
        <v>2027</v>
      </c>
      <c r="M205" s="518">
        <v>2028</v>
      </c>
      <c r="N205" s="518">
        <v>2029</v>
      </c>
      <c r="O205" s="518">
        <v>2030</v>
      </c>
      <c r="P205" s="518">
        <v>2030</v>
      </c>
      <c r="Q205" s="518">
        <v>2030</v>
      </c>
      <c r="R205" s="518">
        <v>2030</v>
      </c>
      <c r="S205" s="518">
        <v>2030</v>
      </c>
      <c r="T205" s="550"/>
    </row>
    <row r="207" spans="1:20">
      <c r="B207" s="611" t="s">
        <v>71</v>
      </c>
    </row>
    <row r="208" spans="1:20">
      <c r="B208" s="244" t="s">
        <v>70</v>
      </c>
      <c r="E208" s="245"/>
      <c r="G208" s="17">
        <f>SUMIFS(HY!$G125:$AN125,HY!$G$9:$AN$9,FY!G$2)</f>
        <v>161.38499999999999</v>
      </c>
      <c r="H208" s="17">
        <f>SUMIFS(HY!$G125:$AN125,HY!$G$9:$AN$9,FY!H$2)</f>
        <v>265.3</v>
      </c>
      <c r="I208" s="17">
        <f>SUMIFS(HY!$G125:$AN125,HY!$G$9:$AN$9,FY!I$2)</f>
        <v>247.7</v>
      </c>
      <c r="J208" s="17">
        <f>SUMIFS(HY!$G125:$AN125,HY!$G$9:$AN$9,FY!J$2)</f>
        <v>233.9</v>
      </c>
      <c r="K208" s="17">
        <f>SUMIFS(HY!$G125:$AN125,HY!$G$9:$AN$9,FY!K$2)</f>
        <v>214</v>
      </c>
      <c r="L208" s="17">
        <f>SUMIFS(HY!$G125:$AN125,HY!$G$9:$AN$9,FY!L$2)</f>
        <v>202</v>
      </c>
      <c r="M208" s="17">
        <f>SUMIFS(HY!$G125:$AN125,HY!$G$9:$AN$9,FY!M$2)</f>
        <v>218.66499999999999</v>
      </c>
      <c r="N208" s="17">
        <f>SUMIFS(HY!$G125:$AN125,HY!$G$9:$AN$9,FY!N$2)</f>
        <v>225.22494999999998</v>
      </c>
      <c r="O208" s="17">
        <f>SUMIFS(HY!$G125:$AN125,HY!$G$9:$AN$9,FY!O$2)</f>
        <v>231.98169849999999</v>
      </c>
      <c r="P208" s="17">
        <f>SUMIFS(HY!$G125:$AN125,HY!$G$9:$AN$9,FY!P$2)</f>
        <v>238.94114945500002</v>
      </c>
      <c r="Q208" s="17">
        <f>SUMIFS(HY!$G125:$AN125,HY!$G$9:$AN$9,FY!Q$2)</f>
        <v>246.10938393865001</v>
      </c>
      <c r="R208" s="17">
        <f>SUMIFS(HY!$G125:$AN125,HY!$G$9:$AN$9,FY!R$2)</f>
        <v>253.4926654568095</v>
      </c>
      <c r="S208" s="17">
        <f>SUMIFS(HY!$G125:$AN125,HY!$G$9:$AN$9,FY!S$2)</f>
        <v>261.09744542051379</v>
      </c>
    </row>
    <row r="209" spans="2:19">
      <c r="B209" s="244" t="s">
        <v>77</v>
      </c>
      <c r="E209" s="245"/>
      <c r="G209" s="17">
        <f>SUMIFS(HY!$G126:$AN126,HY!$G$9:$AN$9,FY!G$2)</f>
        <v>41.760000000000005</v>
      </c>
      <c r="H209" s="17">
        <f>SUMIFS(HY!$G126:$AN126,HY!$G$9:$AN$9,FY!H$2)</f>
        <v>54</v>
      </c>
      <c r="I209" s="17">
        <f>SUMIFS(HY!$G126:$AN126,HY!$G$9:$AN$9,FY!I$2)</f>
        <v>52.3</v>
      </c>
      <c r="J209" s="17">
        <f>SUMIFS(HY!$G126:$AN126,HY!$G$9:$AN$9,FY!J$2)</f>
        <v>50.7</v>
      </c>
      <c r="K209" s="17">
        <f>SUMIFS(HY!$G126:$AN126,HY!$G$9:$AN$9,FY!K$2)</f>
        <v>49.8</v>
      </c>
      <c r="L209" s="17">
        <f>SUMIFS(HY!$G126:$AN126,HY!$G$9:$AN$9,FY!L$2)</f>
        <v>50.795999999999999</v>
      </c>
      <c r="M209" s="17">
        <f>SUMIFS(HY!$G126:$AN126,HY!$G$9:$AN$9,FY!M$2)</f>
        <v>52.827839999999995</v>
      </c>
      <c r="N209" s="17">
        <f>SUMIFS(HY!$G126:$AN126,HY!$G$9:$AN$9,FY!N$2)</f>
        <v>54.675753599999993</v>
      </c>
      <c r="O209" s="17">
        <f>SUMIFS(HY!$G126:$AN126,HY!$G$9:$AN$9,FY!O$2)</f>
        <v>56.316026207999997</v>
      </c>
      <c r="P209" s="17">
        <f>SUMIFS(HY!$G126:$AN126,HY!$G$9:$AN$9,FY!P$2)</f>
        <v>58.005506994239994</v>
      </c>
      <c r="Q209" s="17">
        <f>SUMIFS(HY!$G126:$AN126,HY!$G$9:$AN$9,FY!Q$2)</f>
        <v>59.745672204067198</v>
      </c>
      <c r="R209" s="17">
        <f>SUMIFS(HY!$G126:$AN126,HY!$G$9:$AN$9,FY!R$2)</f>
        <v>61.538042370189217</v>
      </c>
      <c r="S209" s="17">
        <f>SUMIFS(HY!$G126:$AN126,HY!$G$9:$AN$9,FY!S$2)</f>
        <v>63.384183641294896</v>
      </c>
    </row>
    <row r="210" spans="2:19">
      <c r="B210" s="244" t="s">
        <v>1158</v>
      </c>
      <c r="E210" s="245"/>
      <c r="G210" s="17">
        <f>SUMIFS(HY!$G127:$AN127,HY!$G$9:$AN$9,FY!G$2)</f>
        <v>71.10191445267732</v>
      </c>
      <c r="H210" s="17">
        <f>SUMIFS(HY!$G127:$AN127,HY!$G$9:$AN$9,FY!H$2)</f>
        <v>99.8</v>
      </c>
      <c r="I210" s="17">
        <f>SUMIFS(HY!$G127:$AN127,HY!$G$9:$AN$9,FY!I$2)</f>
        <v>97.9</v>
      </c>
      <c r="J210" s="17">
        <f>SUMIFS(HY!$G127:$AN127,HY!$G$9:$AN$9,FY!J$2)</f>
        <v>95.9</v>
      </c>
      <c r="K210" s="17">
        <f>SUMIFS(HY!$G127:$AN127,HY!$G$9:$AN$9,FY!K$2)</f>
        <v>103</v>
      </c>
      <c r="L210" s="17">
        <f>SUMIFS(HY!$G127:$AN127,HY!$G$9:$AN$9,FY!L$2)</f>
        <v>104</v>
      </c>
      <c r="M210" s="17">
        <f>SUMIFS(HY!$G127:$AN127,HY!$G$9:$AN$9,FY!M$2)</f>
        <v>88</v>
      </c>
      <c r="N210" s="17">
        <f>SUMIFS(HY!$G127:$AN127,HY!$G$9:$AN$9,FY!N$2)</f>
        <v>93.28</v>
      </c>
      <c r="O210" s="17">
        <f>SUMIFS(HY!$G127:$AN127,HY!$G$9:$AN$9,FY!O$2)</f>
        <v>98.876800000000003</v>
      </c>
      <c r="P210" s="17">
        <f>SUMIFS(HY!$G127:$AN127,HY!$G$9:$AN$9,FY!P$2)</f>
        <v>104.809408</v>
      </c>
      <c r="Q210" s="17">
        <f>SUMIFS(HY!$G127:$AN127,HY!$G$9:$AN$9,FY!Q$2)</f>
        <v>111.09797248000001</v>
      </c>
      <c r="R210" s="17">
        <f>SUMIFS(HY!$G127:$AN127,HY!$G$9:$AN$9,FY!R$2)</f>
        <v>117.76385082880002</v>
      </c>
      <c r="S210" s="17">
        <f>SUMIFS(HY!$G127:$AN127,HY!$G$9:$AN$9,FY!S$2)</f>
        <v>121.29676635366403</v>
      </c>
    </row>
    <row r="211" spans="2:19">
      <c r="E211" s="245"/>
    </row>
    <row r="212" spans="2:19">
      <c r="B212" s="611" t="s">
        <v>1211</v>
      </c>
      <c r="E212" s="245"/>
    </row>
    <row r="213" spans="2:19">
      <c r="B213" s="244" t="s">
        <v>70</v>
      </c>
      <c r="E213" s="245"/>
      <c r="G213" s="17">
        <f>SUMIFS(HY!$G154:$AN154,HY!$G$9:$AN$9,FY!G$2)</f>
        <v>65.25</v>
      </c>
      <c r="H213" s="17">
        <f>SUMIFS(HY!$G154:$AN154,HY!$G$9:$AN$9,FY!H$2)</f>
        <v>121.6</v>
      </c>
      <c r="I213" s="17">
        <f>SUMIFS(HY!$G154:$AN154,HY!$G$9:$AN$9,FY!I$2)</f>
        <v>127.6</v>
      </c>
      <c r="J213" s="17">
        <f>SUMIFS(HY!$G154:$AN154,HY!$G$9:$AN$9,FY!J$2)</f>
        <v>114.7</v>
      </c>
      <c r="K213" s="17">
        <f>SUMIFS(HY!$G154:$AN154,HY!$G$9:$AN$9,FY!K$2)</f>
        <v>104.4</v>
      </c>
      <c r="L213" s="17">
        <f>SUMIFS(HY!$G154:$AN154,HY!$G$9:$AN$9,FY!L$2)</f>
        <v>95</v>
      </c>
      <c r="M213" s="17">
        <f>SUMIFS(HY!$G154:$AN154,HY!$G$9:$AN$9,FY!M$2)</f>
        <v>98.92</v>
      </c>
      <c r="N213" s="17">
        <f>SUMIFS(HY!$G154:$AN154,HY!$G$9:$AN$9,FY!N$2)</f>
        <v>99.909199999999998</v>
      </c>
      <c r="O213" s="17">
        <f>SUMIFS(HY!$G154:$AN154,HY!$G$9:$AN$9,FY!O$2)</f>
        <v>100.90829200000002</v>
      </c>
      <c r="P213" s="17">
        <f>SUMIFS(HY!$G154:$AN154,HY!$G$9:$AN$9,FY!P$2)</f>
        <v>101.91737492000001</v>
      </c>
      <c r="Q213" s="17">
        <f>SUMIFS(HY!$G154:$AN154,HY!$G$9:$AN$9,FY!Q$2)</f>
        <v>102.93654866920001</v>
      </c>
      <c r="R213" s="17">
        <f>SUMIFS(HY!$G154:$AN154,HY!$G$9:$AN$9,FY!R$2)</f>
        <v>103.96591415589201</v>
      </c>
      <c r="S213" s="17">
        <f>SUMIFS(HY!$G154:$AN154,HY!$G$9:$AN$9,FY!S$2)</f>
        <v>105.00557329745092</v>
      </c>
    </row>
    <row r="214" spans="2:19">
      <c r="B214" s="244" t="s">
        <v>77</v>
      </c>
      <c r="E214" s="245"/>
      <c r="G214" s="17">
        <f>SUMIFS(HY!$G155:$AN155,HY!$G$9:$AN$9,FY!G$2)</f>
        <v>8.6999999999999993</v>
      </c>
      <c r="H214" s="17">
        <f>SUMIFS(HY!$G155:$AN155,HY!$G$9:$AN$9,FY!H$2)</f>
        <v>12.5</v>
      </c>
      <c r="I214" s="17">
        <f>SUMIFS(HY!$G155:$AN155,HY!$G$9:$AN$9,FY!I$2)</f>
        <v>13.3</v>
      </c>
      <c r="J214" s="17">
        <f>SUMIFS(HY!$G155:$AN155,HY!$G$9:$AN$9,FY!J$2)</f>
        <v>13.5</v>
      </c>
      <c r="K214" s="17">
        <f>SUMIFS(HY!$G155:$AN155,HY!$G$9:$AN$9,FY!K$2)</f>
        <v>13.9</v>
      </c>
      <c r="L214" s="17">
        <f>SUMIFS(HY!$G155:$AN155,HY!$G$9:$AN$9,FY!L$2)</f>
        <v>13.938000000000001</v>
      </c>
      <c r="M214" s="17">
        <f>SUMIFS(HY!$G155:$AN155,HY!$G$9:$AN$9,FY!M$2)</f>
        <v>14.17939</v>
      </c>
      <c r="N214" s="17">
        <f>SUMIFS(HY!$G155:$AN155,HY!$G$9:$AN$9,FY!N$2)</f>
        <v>14.321183899999999</v>
      </c>
      <c r="O214" s="17">
        <f>SUMIFS(HY!$G155:$AN155,HY!$G$9:$AN$9,FY!O$2)</f>
        <v>14.464395739</v>
      </c>
      <c r="P214" s="17">
        <f>SUMIFS(HY!$G155:$AN155,HY!$G$9:$AN$9,FY!P$2)</f>
        <v>14.609039696389999</v>
      </c>
      <c r="Q214" s="17">
        <f>SUMIFS(HY!$G155:$AN155,HY!$G$9:$AN$9,FY!Q$2)</f>
        <v>14.755130093353898</v>
      </c>
      <c r="R214" s="17">
        <f>SUMIFS(HY!$G155:$AN155,HY!$G$9:$AN$9,FY!R$2)</f>
        <v>14.902681394287438</v>
      </c>
      <c r="S214" s="17">
        <f>SUMIFS(HY!$G155:$AN155,HY!$G$9:$AN$9,FY!S$2)</f>
        <v>15.051708208230313</v>
      </c>
    </row>
    <row r="215" spans="2:19">
      <c r="B215" s="244" t="s">
        <v>1158</v>
      </c>
      <c r="E215" s="245"/>
      <c r="G215" s="17">
        <f>SUMIFS(HY!$G156:$AN156,HY!$G$9:$AN$9,FY!G$2)</f>
        <v>61.557686847888121</v>
      </c>
      <c r="H215" s="17">
        <f>SUMIFS(HY!$G156:$AN156,HY!$G$9:$AN$9,FY!H$2)</f>
        <v>70.2</v>
      </c>
      <c r="I215" s="17">
        <f>SUMIFS(HY!$G156:$AN156,HY!$G$9:$AN$9,FY!I$2)</f>
        <v>58.1</v>
      </c>
      <c r="J215" s="17">
        <f>SUMIFS(HY!$G156:$AN156,HY!$G$9:$AN$9,FY!J$2)</f>
        <v>57.5</v>
      </c>
      <c r="K215" s="17">
        <f>SUMIFS(HY!$G156:$AN156,HY!$G$9:$AN$9,FY!K$2)</f>
        <v>61.5</v>
      </c>
      <c r="L215" s="17">
        <f>SUMIFS(HY!$G156:$AN156,HY!$G$9:$AN$9,FY!L$2)</f>
        <v>59.1</v>
      </c>
      <c r="M215" s="17">
        <f>SUMIFS(HY!$G156:$AN156,HY!$G$9:$AN$9,FY!M$2)</f>
        <v>50</v>
      </c>
      <c r="N215" s="17">
        <f>SUMIFS(HY!$G156:$AN156,HY!$G$9:$AN$9,FY!N$2)</f>
        <v>53</v>
      </c>
      <c r="O215" s="17">
        <f>SUMIFS(HY!$G156:$AN156,HY!$G$9:$AN$9,FY!O$2)</f>
        <v>56.18</v>
      </c>
      <c r="P215" s="17">
        <f>SUMIFS(HY!$G156:$AN156,HY!$G$9:$AN$9,FY!P$2)</f>
        <v>59.550800000000002</v>
      </c>
      <c r="Q215" s="17">
        <f>SUMIFS(HY!$G156:$AN156,HY!$G$9:$AN$9,FY!Q$2)</f>
        <v>63.123848000000002</v>
      </c>
      <c r="R215" s="17">
        <f>SUMIFS(HY!$G156:$AN156,HY!$G$9:$AN$9,FY!R$2)</f>
        <v>66.911278880000012</v>
      </c>
      <c r="S215" s="17">
        <f>SUMIFS(HY!$G156:$AN156,HY!$G$9:$AN$9,FY!S$2)</f>
        <v>67.580391668800019</v>
      </c>
    </row>
    <row r="216" spans="2:19">
      <c r="E216" s="245"/>
    </row>
    <row r="217" spans="2:19">
      <c r="B217" s="611" t="s">
        <v>75</v>
      </c>
      <c r="E217" s="245"/>
    </row>
    <row r="218" spans="2:19">
      <c r="B218" s="244" t="s">
        <v>70</v>
      </c>
      <c r="E218" s="245"/>
      <c r="G218" s="17">
        <f>SUMIFS(HY!$G212:$AN212,HY!$G$9:$AN$9,FY!G$2)</f>
        <v>70.099999999999994</v>
      </c>
      <c r="H218" s="17">
        <f>SUMIFS(HY!$G212:$AN212,HY!$G$9:$AN$9,FY!H$2)</f>
        <v>123.9</v>
      </c>
      <c r="I218" s="17">
        <f>SUMIFS(HY!$G212:$AN212,HY!$G$9:$AN$9,FY!I$2)</f>
        <v>151.80000000000001</v>
      </c>
      <c r="J218" s="17">
        <f>SUMIFS(HY!$G212:$AN212,HY!$G$9:$AN$9,FY!J$2)</f>
        <v>156.4</v>
      </c>
      <c r="K218" s="17">
        <f>SUMIFS(HY!$G212:$AN212,HY!$G$9:$AN$9,FY!K$2)</f>
        <v>181.4</v>
      </c>
      <c r="L218" s="17">
        <f>SUMIFS(HY!$G212:$AN212,HY!$G$9:$AN$9,FY!L$2)</f>
        <v>211</v>
      </c>
      <c r="M218" s="17">
        <f>SUMIFS(HY!$G212:$AN212,HY!$G$9:$AN$9,FY!M$2)</f>
        <v>219.72</v>
      </c>
      <c r="N218" s="17">
        <f>SUMIFS(HY!$G212:$AN212,HY!$G$9:$AN$9,FY!N$2)</f>
        <v>228.50880000000001</v>
      </c>
      <c r="O218" s="17">
        <f>SUMIFS(HY!$G212:$AN212,HY!$G$9:$AN$9,FY!O$2)</f>
        <v>237.64915200000002</v>
      </c>
      <c r="P218" s="17">
        <f>SUMIFS(HY!$G212:$AN212,HY!$G$9:$AN$9,FY!P$2)</f>
        <v>247.15511808000002</v>
      </c>
      <c r="Q218" s="17">
        <f>SUMIFS(HY!$G212:$AN212,HY!$G$9:$AN$9,FY!Q$2)</f>
        <v>257.04132280320005</v>
      </c>
      <c r="R218" s="17">
        <f>SUMIFS(HY!$G212:$AN212,HY!$G$9:$AN$9,FY!R$2)</f>
        <v>267.32297571532808</v>
      </c>
      <c r="S218" s="17">
        <f>SUMIFS(HY!$G212:$AN212,HY!$G$9:$AN$9,FY!S$2)</f>
        <v>278.0158947439412</v>
      </c>
    </row>
    <row r="219" spans="2:19">
      <c r="B219" s="244" t="s">
        <v>77</v>
      </c>
      <c r="E219" s="245"/>
      <c r="G219" s="17">
        <f>SUMIFS(HY!$G213:$AN213,HY!$G$9:$AN$9,FY!G$2)</f>
        <v>8.5</v>
      </c>
      <c r="H219" s="17">
        <f>SUMIFS(HY!$G213:$AN213,HY!$G$9:$AN$9,FY!H$2)</f>
        <v>10.7</v>
      </c>
      <c r="I219" s="17">
        <f>SUMIFS(HY!$G213:$AN213,HY!$G$9:$AN$9,FY!I$2)</f>
        <v>10.4</v>
      </c>
      <c r="J219" s="17">
        <f>SUMIFS(HY!$G213:$AN213,HY!$G$9:$AN$9,FY!J$2)</f>
        <v>10.1</v>
      </c>
      <c r="K219" s="17">
        <f>SUMIFS(HY!$G213:$AN213,HY!$G$9:$AN$9,FY!K$2)</f>
        <v>10</v>
      </c>
      <c r="L219" s="17">
        <f>SUMIFS(HY!$G213:$AN213,HY!$G$9:$AN$9,FY!L$2)</f>
        <v>9.5</v>
      </c>
      <c r="M219" s="17">
        <f>SUMIFS(HY!$G213:$AN213,HY!$G$9:$AN$9,FY!M$2)</f>
        <v>9.5</v>
      </c>
      <c r="N219" s="17">
        <f>SUMIFS(HY!$G213:$AN213,HY!$G$9:$AN$9,FY!N$2)</f>
        <v>9.879999999999999</v>
      </c>
      <c r="O219" s="17">
        <f>SUMIFS(HY!$G213:$AN213,HY!$G$9:$AN$9,FY!O$2)</f>
        <v>10.275200000000002</v>
      </c>
      <c r="P219" s="17">
        <f>SUMIFS(HY!$G213:$AN213,HY!$G$9:$AN$9,FY!P$2)</f>
        <v>10.686208000000001</v>
      </c>
      <c r="Q219" s="17">
        <f>SUMIFS(HY!$G213:$AN213,HY!$G$9:$AN$9,FY!Q$2)</f>
        <v>11.113656320000002</v>
      </c>
      <c r="R219" s="17">
        <f>SUMIFS(HY!$G213:$AN213,HY!$G$9:$AN$9,FY!R$2)</f>
        <v>11.558202572800003</v>
      </c>
      <c r="S219" s="17">
        <f>SUMIFS(HY!$G213:$AN213,HY!$G$9:$AN$9,FY!S$2)</f>
        <v>12.020530675712003</v>
      </c>
    </row>
    <row r="220" spans="2:19">
      <c r="B220" s="244" t="s">
        <v>1158</v>
      </c>
      <c r="E220" s="245"/>
      <c r="G220" s="17">
        <f>SUMIFS(HY!$G214:$AN214,HY!$G$9:$AN$9,FY!G$2)</f>
        <v>47.132092551543252</v>
      </c>
      <c r="H220" s="17">
        <f>SUMIFS(HY!$G214:$AN214,HY!$G$9:$AN$9,FY!H$2)</f>
        <v>71.3</v>
      </c>
      <c r="I220" s="17">
        <f>SUMIFS(HY!$G214:$AN214,HY!$G$9:$AN$9,FY!I$2)</f>
        <v>69</v>
      </c>
      <c r="J220" s="17">
        <f>SUMIFS(HY!$G214:$AN214,HY!$G$9:$AN$9,FY!J$2)</f>
        <v>72.7</v>
      </c>
      <c r="K220" s="17">
        <f>SUMIFS(HY!$G214:$AN214,HY!$G$9:$AN$9,FY!K$2)</f>
        <v>80.400000000000006</v>
      </c>
      <c r="L220" s="17">
        <f>SUMIFS(HY!$G214:$AN214,HY!$G$9:$AN$9,FY!L$2)</f>
        <v>82.6</v>
      </c>
      <c r="M220" s="17">
        <f>SUMIFS(HY!$G214:$AN214,HY!$G$9:$AN$9,FY!M$2)</f>
        <v>82.6</v>
      </c>
      <c r="N220" s="17">
        <f>SUMIFS(HY!$G214:$AN214,HY!$G$9:$AN$9,FY!N$2)</f>
        <v>85.903999999999996</v>
      </c>
      <c r="O220" s="17">
        <f>SUMIFS(HY!$G214:$AN214,HY!$G$9:$AN$9,FY!O$2)</f>
        <v>89.340159999999997</v>
      </c>
      <c r="P220" s="17">
        <f>SUMIFS(HY!$G214:$AN214,HY!$G$9:$AN$9,FY!P$2)</f>
        <v>92.9137664</v>
      </c>
      <c r="Q220" s="17">
        <f>SUMIFS(HY!$G214:$AN214,HY!$G$9:$AN$9,FY!Q$2)</f>
        <v>96.630317055999996</v>
      </c>
      <c r="R220" s="17">
        <f>SUMIFS(HY!$G214:$AN214,HY!$G$9:$AN$9,FY!R$2)</f>
        <v>100.49552973824001</v>
      </c>
      <c r="S220" s="17">
        <f>SUMIFS(HY!$G214:$AN214,HY!$G$9:$AN$9,FY!S$2)</f>
        <v>104.51535092776962</v>
      </c>
    </row>
    <row r="221" spans="2:19">
      <c r="E221" s="245"/>
    </row>
  </sheetData>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1"/>
  </sheetPr>
  <dimension ref="A1"/>
  <sheetViews>
    <sheetView workbookViewId="0">
      <selection activeCell="C43" sqref="C43"/>
    </sheetView>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autoPageBreaks="0"/>
  </sheetPr>
  <dimension ref="A1:DL455"/>
  <sheetViews>
    <sheetView showGridLines="0" zoomScaleNormal="100" workbookViewId="0">
      <selection activeCell="DD36" sqref="DD36"/>
    </sheetView>
  </sheetViews>
  <sheetFormatPr defaultColWidth="0" defaultRowHeight="15" outlineLevelRow="2" outlineLevelCol="1"/>
  <cols>
    <col min="1" max="1" width="9.140625" customWidth="1"/>
    <col min="2" max="2" width="1.7109375" customWidth="1"/>
    <col min="3" max="3" width="33.85546875" customWidth="1"/>
    <col min="4" max="16" width="9.140625" hidden="1" customWidth="1" outlineLevel="1"/>
    <col min="17" max="17" width="9.140625" customWidth="1" collapsed="1"/>
    <col min="18" max="23" width="9.140625" customWidth="1"/>
    <col min="24" max="24" width="1.7109375" customWidth="1"/>
    <col min="25" max="28" width="9.140625" customWidth="1"/>
    <col min="29" max="29" width="2.7109375" customWidth="1"/>
    <col min="30" max="31" width="9.140625" customWidth="1"/>
    <col min="32" max="32" width="22.28515625" bestFit="1" customWidth="1"/>
    <col min="33" max="44" width="10.28515625" customWidth="1"/>
    <col min="45" max="45" width="2.7109375" customWidth="1"/>
    <col min="46" max="57" width="9.140625" customWidth="1"/>
    <col min="58" max="58" width="2.7109375" customWidth="1"/>
    <col min="59" max="70" width="9.140625" customWidth="1"/>
    <col min="71" max="71" width="2.7109375" customWidth="1"/>
    <col min="72" max="72" width="9.140625" customWidth="1"/>
    <col min="73" max="73" width="1.7109375" customWidth="1"/>
    <col min="74" max="74" width="33.85546875" customWidth="1"/>
    <col min="75" max="81" width="9.140625" hidden="1" customWidth="1" outlineLevel="1"/>
    <col min="82" max="82" width="9.140625" customWidth="1" collapsed="1"/>
    <col min="83" max="88" width="9.140625" customWidth="1"/>
    <col min="89" max="89" width="1.7109375" customWidth="1"/>
    <col min="90" max="91" width="9.140625" customWidth="1"/>
    <col min="92" max="92" width="2.7109375" customWidth="1"/>
    <col min="93" max="94" width="9.140625" customWidth="1"/>
    <col min="95" max="95" width="22.28515625" bestFit="1" customWidth="1"/>
    <col min="96" max="101" width="10.28515625" customWidth="1"/>
    <col min="102" max="102" width="2.7109375" customWidth="1"/>
    <col min="103" max="108" width="9.140625" customWidth="1"/>
    <col min="109" max="109" width="2.7109375" customWidth="1"/>
    <col min="110" max="116" width="9.140625" customWidth="1"/>
    <col min="117" max="117" width="13" hidden="1" customWidth="1" outlineLevel="1"/>
    <col min="118" max="16384" width="13" hidden="1" outlineLevel="1"/>
  </cols>
  <sheetData>
    <row r="1" spans="1:115">
      <c r="Q1" s="605" t="s">
        <v>26</v>
      </c>
    </row>
    <row r="3" spans="1:115" s="569" customFormat="1" ht="20.100000000000001" customHeight="1">
      <c r="C3" s="570" t="s">
        <v>1212</v>
      </c>
      <c r="D3" s="571"/>
      <c r="E3" s="571"/>
      <c r="F3" s="571"/>
      <c r="G3" s="571"/>
      <c r="H3" s="571"/>
      <c r="I3" s="571"/>
      <c r="J3" s="571"/>
      <c r="K3" s="571"/>
      <c r="L3" s="571"/>
      <c r="M3" s="571"/>
      <c r="N3" s="571"/>
      <c r="O3" s="571"/>
      <c r="P3" s="571"/>
      <c r="Q3" s="571"/>
      <c r="R3" s="571"/>
      <c r="S3" s="571"/>
      <c r="T3" s="571"/>
      <c r="U3" s="571"/>
      <c r="V3" s="571"/>
      <c r="W3" s="571"/>
      <c r="X3" s="571"/>
      <c r="Y3" s="571"/>
      <c r="Z3" s="571"/>
      <c r="AA3" s="571"/>
      <c r="AB3" s="571"/>
      <c r="AT3" s="571"/>
      <c r="AU3" s="571"/>
      <c r="AV3" s="571"/>
      <c r="AW3" s="571"/>
      <c r="AX3" s="571"/>
      <c r="AY3" s="571"/>
      <c r="AZ3" s="571"/>
      <c r="BA3" s="571"/>
      <c r="BB3" s="571"/>
      <c r="BC3" s="571"/>
      <c r="BD3" s="571"/>
      <c r="BE3" s="571"/>
      <c r="BG3" s="571"/>
      <c r="BH3" s="571"/>
      <c r="BI3" s="571"/>
      <c r="BJ3" s="571"/>
      <c r="BK3" s="571"/>
      <c r="BL3" s="571"/>
      <c r="BM3" s="571"/>
      <c r="BN3" s="571"/>
      <c r="BO3" s="571"/>
      <c r="BP3" s="571"/>
      <c r="BQ3" s="571"/>
      <c r="BR3" s="571"/>
      <c r="BV3" s="570" t="s">
        <v>1213</v>
      </c>
      <c r="BW3" s="571"/>
      <c r="BX3" s="571"/>
      <c r="BY3" s="571"/>
      <c r="BZ3" s="571"/>
      <c r="CA3" s="571"/>
      <c r="CB3" s="571"/>
      <c r="CC3" s="571"/>
      <c r="CD3" s="571"/>
      <c r="CE3" s="571"/>
      <c r="CF3" s="571"/>
      <c r="CG3" s="571"/>
      <c r="CH3" s="571"/>
      <c r="CI3" s="571"/>
      <c r="CJ3" s="571"/>
      <c r="CK3" s="571"/>
      <c r="CL3" s="571"/>
      <c r="CM3" s="571"/>
      <c r="CY3" s="571"/>
      <c r="CZ3" s="571"/>
      <c r="DA3" s="571"/>
      <c r="DB3" s="571"/>
      <c r="DC3" s="571"/>
      <c r="DD3" s="571"/>
      <c r="DF3" s="571"/>
      <c r="DG3" s="571"/>
      <c r="DH3" s="571"/>
      <c r="DI3" s="571"/>
      <c r="DJ3" s="571"/>
      <c r="DK3" s="571"/>
    </row>
    <row r="4" spans="1:115" ht="30" customHeight="1">
      <c r="A4" s="569"/>
      <c r="C4" s="82"/>
      <c r="D4" s="536" t="s">
        <v>1214</v>
      </c>
      <c r="E4" s="536" t="s">
        <v>1215</v>
      </c>
      <c r="F4" s="536" t="s">
        <v>1216</v>
      </c>
      <c r="G4" s="536" t="s">
        <v>1217</v>
      </c>
      <c r="H4" s="536" t="s">
        <v>1218</v>
      </c>
      <c r="I4" s="536" t="s">
        <v>1219</v>
      </c>
      <c r="J4" s="536" t="s">
        <v>1220</v>
      </c>
      <c r="K4" s="536" t="s">
        <v>1221</v>
      </c>
      <c r="L4" s="536" t="s">
        <v>1222</v>
      </c>
      <c r="M4" s="536" t="s">
        <v>1223</v>
      </c>
      <c r="N4" s="536" t="s">
        <v>1224</v>
      </c>
      <c r="O4" s="536" t="s">
        <v>1225</v>
      </c>
      <c r="P4" s="572"/>
      <c r="Q4" s="573" t="s">
        <v>1226</v>
      </c>
      <c r="R4" s="82" t="str">
        <f>"1H26A"</f>
        <v>1H26A</v>
      </c>
      <c r="S4" s="574" t="s">
        <v>1227</v>
      </c>
      <c r="T4" s="575" t="s">
        <v>1228</v>
      </c>
      <c r="U4" s="574" t="s">
        <v>1229</v>
      </c>
      <c r="V4" s="575" t="s">
        <v>1230</v>
      </c>
      <c r="W4" s="576" t="s">
        <v>1229</v>
      </c>
      <c r="X4" s="263"/>
      <c r="AB4" s="262" t="s">
        <v>1231</v>
      </c>
      <c r="AD4" s="67"/>
      <c r="AE4" s="67"/>
      <c r="AF4" s="67"/>
      <c r="AG4" s="262" t="s">
        <v>1232</v>
      </c>
      <c r="AH4" s="262" t="s">
        <v>1233</v>
      </c>
      <c r="AI4" s="262" t="s">
        <v>1234</v>
      </c>
      <c r="AJ4" s="262" t="s">
        <v>1235</v>
      </c>
      <c r="AK4" s="262" t="s">
        <v>1236</v>
      </c>
      <c r="AL4" s="262" t="s">
        <v>1237</v>
      </c>
      <c r="AM4" s="262" t="s">
        <v>1231</v>
      </c>
      <c r="AN4" s="262" t="s">
        <v>1238</v>
      </c>
      <c r="AO4" s="262" t="s">
        <v>1239</v>
      </c>
      <c r="AP4" s="262" t="s">
        <v>1240</v>
      </c>
      <c r="AQ4" s="262" t="s">
        <v>1241</v>
      </c>
      <c r="AR4" s="262" t="s">
        <v>1242</v>
      </c>
      <c r="AT4" s="262" t="s">
        <v>1232</v>
      </c>
      <c r="AU4" s="262" t="s">
        <v>1233</v>
      </c>
      <c r="AV4" s="262" t="s">
        <v>1234</v>
      </c>
      <c r="AW4" s="262" t="s">
        <v>1235</v>
      </c>
      <c r="AX4" s="262" t="s">
        <v>1236</v>
      </c>
      <c r="AY4" s="262" t="s">
        <v>1237</v>
      </c>
      <c r="AZ4" s="262" t="s">
        <v>1231</v>
      </c>
      <c r="BA4" s="262" t="s">
        <v>1238</v>
      </c>
      <c r="BB4" s="262" t="s">
        <v>1239</v>
      </c>
      <c r="BC4" s="262" t="s">
        <v>1240</v>
      </c>
      <c r="BD4" s="262" t="s">
        <v>1241</v>
      </c>
      <c r="BE4" s="262" t="s">
        <v>1242</v>
      </c>
      <c r="BG4" s="262" t="s">
        <v>1232</v>
      </c>
      <c r="BH4" s="262" t="s">
        <v>1233</v>
      </c>
      <c r="BI4" s="262" t="s">
        <v>1234</v>
      </c>
      <c r="BJ4" s="262" t="s">
        <v>1235</v>
      </c>
      <c r="BK4" s="262" t="s">
        <v>1236</v>
      </c>
      <c r="BL4" s="262" t="s">
        <v>1237</v>
      </c>
      <c r="BM4" s="262" t="s">
        <v>1231</v>
      </c>
      <c r="BN4" s="262" t="s">
        <v>1238</v>
      </c>
      <c r="BO4" s="262" t="s">
        <v>1239</v>
      </c>
      <c r="BP4" s="262" t="s">
        <v>1240</v>
      </c>
      <c r="BQ4" s="262" t="s">
        <v>1241</v>
      </c>
      <c r="BR4" s="262" t="s">
        <v>1242</v>
      </c>
      <c r="BV4" s="612"/>
      <c r="BW4" s="536" t="s">
        <v>1243</v>
      </c>
      <c r="BX4" s="536" t="s">
        <v>1244</v>
      </c>
      <c r="BY4" s="536" t="s">
        <v>1245</v>
      </c>
      <c r="BZ4" s="536" t="s">
        <v>1246</v>
      </c>
      <c r="CA4" s="536" t="s">
        <v>1247</v>
      </c>
      <c r="CB4" s="536" t="s">
        <v>1248</v>
      </c>
      <c r="CC4" s="572"/>
      <c r="CD4" s="573" t="s">
        <v>1249</v>
      </c>
      <c r="CE4" s="82" t="str">
        <f>"FY26A"</f>
        <v>FY26A</v>
      </c>
      <c r="CF4" s="574" t="s">
        <v>1227</v>
      </c>
      <c r="CG4" s="575" t="s">
        <v>1250</v>
      </c>
      <c r="CH4" s="574" t="s">
        <v>1229</v>
      </c>
      <c r="CI4" s="575" t="s">
        <v>1251</v>
      </c>
      <c r="CJ4" s="576" t="s">
        <v>1229</v>
      </c>
      <c r="CK4" s="263"/>
      <c r="CM4" s="262" t="s">
        <v>1252</v>
      </c>
      <c r="CO4" s="67"/>
      <c r="CP4" s="67"/>
      <c r="CQ4" s="67"/>
      <c r="CR4" s="262" t="s">
        <v>1253</v>
      </c>
      <c r="CS4" s="262" t="s">
        <v>1254</v>
      </c>
      <c r="CT4" s="262" t="s">
        <v>1252</v>
      </c>
      <c r="CU4" s="262" t="s">
        <v>1255</v>
      </c>
      <c r="CV4" s="262" t="s">
        <v>1256</v>
      </c>
      <c r="CW4" s="262" t="s">
        <v>1257</v>
      </c>
      <c r="CY4" s="262" t="s">
        <v>1253</v>
      </c>
      <c r="CZ4" s="262" t="s">
        <v>1254</v>
      </c>
      <c r="DA4" s="262" t="s">
        <v>1252</v>
      </c>
      <c r="DB4" s="262" t="s">
        <v>1255</v>
      </c>
      <c r="DC4" s="262" t="s">
        <v>1256</v>
      </c>
      <c r="DD4" s="262" t="s">
        <v>1257</v>
      </c>
      <c r="DF4" s="262" t="s">
        <v>1253</v>
      </c>
      <c r="DG4" s="262" t="s">
        <v>1254</v>
      </c>
      <c r="DH4" s="262" t="s">
        <v>1252</v>
      </c>
      <c r="DI4" s="262" t="s">
        <v>1255</v>
      </c>
      <c r="DJ4" s="262" t="s">
        <v>1256</v>
      </c>
      <c r="DK4" s="262" t="s">
        <v>1257</v>
      </c>
    </row>
    <row r="5" spans="1:115">
      <c r="C5" s="85" t="s">
        <v>1258</v>
      </c>
      <c r="D5" s="84"/>
      <c r="E5" s="84"/>
      <c r="F5" s="84"/>
      <c r="G5" s="84"/>
      <c r="H5" s="84"/>
      <c r="I5" s="84"/>
      <c r="J5" s="84"/>
      <c r="K5" s="84"/>
      <c r="L5" s="84"/>
      <c r="M5" s="84"/>
      <c r="N5" s="84"/>
      <c r="O5" s="84"/>
      <c r="P5" s="84"/>
      <c r="Q5" s="577"/>
      <c r="R5" s="84"/>
      <c r="S5" s="578"/>
      <c r="T5" s="577"/>
      <c r="U5" s="578"/>
      <c r="V5" s="577"/>
      <c r="W5" s="578"/>
      <c r="X5" s="84"/>
      <c r="AD5" s="67"/>
      <c r="AE5" s="67"/>
      <c r="AF5" s="67"/>
      <c r="BV5" s="613" t="s">
        <v>1258</v>
      </c>
      <c r="BW5" s="84"/>
      <c r="BX5" s="84"/>
      <c r="BY5" s="84"/>
      <c r="BZ5" s="84"/>
      <c r="CA5" s="84"/>
      <c r="CB5" s="84"/>
      <c r="CC5" s="84"/>
      <c r="CD5" s="577"/>
      <c r="CE5" s="84"/>
      <c r="CF5" s="578"/>
      <c r="CG5" s="577"/>
      <c r="CH5" s="578"/>
      <c r="CI5" s="577"/>
      <c r="CJ5" s="578"/>
      <c r="CK5" s="84"/>
      <c r="CO5" s="67"/>
      <c r="CP5" s="67"/>
      <c r="CQ5" s="67"/>
    </row>
    <row r="6" spans="1:115">
      <c r="C6" s="88" t="s">
        <v>273</v>
      </c>
      <c r="D6" s="89"/>
      <c r="E6" s="89"/>
      <c r="F6" s="89">
        <f>HY!O311</f>
        <v>438.9</v>
      </c>
      <c r="G6" s="89">
        <f>HY!P311</f>
        <v>423.70000000000005</v>
      </c>
      <c r="H6" s="89">
        <f>HY!Q311</f>
        <v>442.8</v>
      </c>
      <c r="I6" s="89">
        <f>HY!R311</f>
        <v>427.7</v>
      </c>
      <c r="J6" s="89">
        <f>HY!S311</f>
        <v>422</v>
      </c>
      <c r="K6" s="89">
        <f>HY!T311</f>
        <v>403.20000000000005</v>
      </c>
      <c r="L6" s="89">
        <f>HY!U311</f>
        <v>411.7</v>
      </c>
      <c r="M6" s="89">
        <f>HY!V311</f>
        <v>411.00000000000006</v>
      </c>
      <c r="N6" s="89">
        <f>HY!W311</f>
        <v>419.565</v>
      </c>
      <c r="O6" s="89">
        <f>HY!X311</f>
        <v>421.36900000000003</v>
      </c>
      <c r="P6" s="89"/>
      <c r="Q6" s="579">
        <f>J6</f>
        <v>422</v>
      </c>
      <c r="R6" s="89">
        <v>411.7</v>
      </c>
      <c r="S6" s="580">
        <f>R6/Q6-1</f>
        <v>-2.4407582938388628E-2</v>
      </c>
      <c r="T6" s="579">
        <f t="shared" ref="T6:T11" si="0">L6</f>
        <v>411.7</v>
      </c>
      <c r="U6" s="580">
        <f>$R6/T6-1</f>
        <v>0</v>
      </c>
      <c r="V6" s="579">
        <f t="shared" ref="V6:V11" si="1">AB6</f>
        <v>385.86340994845102</v>
      </c>
      <c r="W6" s="580">
        <f>$R6/V6-1</f>
        <v>6.6957864843936843E-2</v>
      </c>
      <c r="X6" s="90"/>
      <c r="Y6" s="87"/>
      <c r="Z6" s="87"/>
      <c r="AA6" s="87"/>
      <c r="AB6" s="585">
        <f t="shared" ref="AB6:AB11" si="2">BB6</f>
        <v>385.86340994845102</v>
      </c>
      <c r="AD6" s="77" t="s">
        <v>1259</v>
      </c>
      <c r="AE6" s="77" t="s">
        <v>1260</v>
      </c>
      <c r="AF6" s="78" t="s">
        <v>1261</v>
      </c>
      <c r="AG6" s="582">
        <f>_xll.VAData($AD6,AG$4,$AE6,$AF6)</f>
        <v>260.8</v>
      </c>
      <c r="AH6" s="582">
        <f>_xll.VAData($AD6,AH$4,$AE6,$AF6)</f>
        <v>370.7</v>
      </c>
      <c r="AI6" s="582">
        <f>_xll.VAData($AD6,AI$4,$AE6,$AF6)</f>
        <v>438.9</v>
      </c>
      <c r="AJ6" s="582">
        <f>_xll.VAData($AD6,AJ$4,$AE6,$AF6)</f>
        <v>423.7</v>
      </c>
      <c r="AK6" s="582">
        <f>_xll.VAData($AD6,AK$4,$AE6,$AF6)</f>
        <v>442.8</v>
      </c>
      <c r="AL6" s="582">
        <f>_xll.VAData($AD6,AL$4,$AE6,$AF6)</f>
        <v>427.70200352855397</v>
      </c>
      <c r="AM6" s="582">
        <f>_xll.VAData($AD6,AM$4,$AE6,$AF6)</f>
        <v>422</v>
      </c>
      <c r="AN6" s="582">
        <f>_xll.VAData($AD6,AN$4,$AE6,$AF6)</f>
        <v>403.2</v>
      </c>
      <c r="AO6" s="582">
        <f>_xll.VAData($AD6,AO$4,$AE6,$AF6)</f>
        <v>411.7</v>
      </c>
      <c r="AP6" s="582">
        <f>_xll.VAData($AD6,AP$4,$AE6,$AF6)</f>
        <v>411</v>
      </c>
      <c r="AQ6" s="582">
        <f>_xll.VAData($AD6,AQ$4,$AE6,$AF6)</f>
        <v>408.04924807163724</v>
      </c>
      <c r="AR6" s="582">
        <f>_xll.VAData($AD6,AR$4,$AE6,$AF6)</f>
        <v>403.744546609841</v>
      </c>
      <c r="AS6" s="583"/>
      <c r="AT6" s="581">
        <v>260.8</v>
      </c>
      <c r="AU6" s="581">
        <v>370.7</v>
      </c>
      <c r="AV6" s="581">
        <v>438.9</v>
      </c>
      <c r="AW6" s="581">
        <v>423.7</v>
      </c>
      <c r="AX6" s="581">
        <v>442.8</v>
      </c>
      <c r="AY6" s="581">
        <v>427.7</v>
      </c>
      <c r="AZ6" s="581">
        <v>422</v>
      </c>
      <c r="BA6" s="581">
        <v>403.2</v>
      </c>
      <c r="BB6" s="581">
        <v>385.86340994845102</v>
      </c>
      <c r="BC6" s="581">
        <v>402.90398787204578</v>
      </c>
      <c r="BD6" s="581">
        <v>430.51721459585951</v>
      </c>
      <c r="BE6" s="581">
        <v>434.226193981775</v>
      </c>
      <c r="BF6" s="583"/>
      <c r="BG6" s="586"/>
      <c r="BH6" s="586"/>
      <c r="BI6" s="584">
        <f t="shared" ref="BI6:BR11" si="3">F6-AV6</f>
        <v>0</v>
      </c>
      <c r="BJ6" s="584">
        <f t="shared" si="3"/>
        <v>0</v>
      </c>
      <c r="BK6" s="584">
        <f t="shared" si="3"/>
        <v>0</v>
      </c>
      <c r="BL6" s="584">
        <f t="shared" si="3"/>
        <v>0</v>
      </c>
      <c r="BM6" s="584">
        <f t="shared" si="3"/>
        <v>0</v>
      </c>
      <c r="BN6" s="584">
        <f t="shared" si="3"/>
        <v>0</v>
      </c>
      <c r="BO6" s="584">
        <f t="shared" si="3"/>
        <v>25.836590051548967</v>
      </c>
      <c r="BP6" s="584">
        <f t="shared" si="3"/>
        <v>8.0960121279542818</v>
      </c>
      <c r="BQ6" s="584">
        <f t="shared" si="3"/>
        <v>-10.952214595859516</v>
      </c>
      <c r="BR6" s="584">
        <f t="shared" si="3"/>
        <v>-12.857193981774969</v>
      </c>
      <c r="BT6" s="89"/>
      <c r="BV6" s="616" t="s">
        <v>273</v>
      </c>
      <c r="BW6" s="89">
        <f>FY!G25</f>
        <v>575.4200442999371</v>
      </c>
      <c r="BX6" s="89">
        <f>FY!H25</f>
        <v>862.6</v>
      </c>
      <c r="BY6" s="89">
        <f>FY!I25</f>
        <v>870.5</v>
      </c>
      <c r="BZ6" s="89">
        <f>FY!J25</f>
        <v>825.2</v>
      </c>
      <c r="CA6" s="89">
        <f>FY!K25</f>
        <v>822.7</v>
      </c>
      <c r="CB6" s="89">
        <f>FY!L25</f>
        <v>840.93399999999997</v>
      </c>
      <c r="CC6" s="89"/>
      <c r="CD6" s="579">
        <f t="shared" ref="CD6:CD11" si="4">BZ6</f>
        <v>825.2</v>
      </c>
      <c r="CE6" s="89">
        <v>822.7</v>
      </c>
      <c r="CF6" s="580">
        <f>CE6/CD6-1</f>
        <v>-3.0295685894328184E-3</v>
      </c>
      <c r="CG6" s="579">
        <f t="shared" ref="CG6:CG11" si="5">CA6</f>
        <v>822.7</v>
      </c>
      <c r="CH6" s="580">
        <f>$CE6/CG6-1</f>
        <v>0</v>
      </c>
      <c r="CI6" s="579">
        <f t="shared" ref="CI6:CI11" si="6">CM6</f>
        <v>815.21502982079221</v>
      </c>
      <c r="CJ6" s="580">
        <f>$CE6/CI6-1</f>
        <v>9.181590016628105E-3</v>
      </c>
      <c r="CK6" s="90"/>
      <c r="CL6" s="87"/>
      <c r="CM6" s="585">
        <f t="shared" ref="CM6:CM11" si="7">DC6</f>
        <v>815.21502982079221</v>
      </c>
      <c r="CO6" s="77" t="s">
        <v>1259</v>
      </c>
      <c r="CP6" s="77" t="s">
        <v>1260</v>
      </c>
      <c r="CQ6" s="78" t="s">
        <v>1261</v>
      </c>
      <c r="CR6" s="582">
        <f>_xll.VAData($AD6,CR$4,$AE6,$AF6)</f>
        <v>631.5</v>
      </c>
      <c r="CS6" s="582">
        <f>_xll.VAData($AD6,CS$4,$AE6,$AF6)</f>
        <v>862.6</v>
      </c>
      <c r="CT6" s="582">
        <f>_xll.VAData($AD6,CT$4,$AE6,$AF6)</f>
        <v>870.5</v>
      </c>
      <c r="CU6" s="582">
        <f>_xll.VAData($AD6,CU$4,$AE6,$AF6)</f>
        <v>825.2</v>
      </c>
      <c r="CV6" s="582">
        <f>_xll.VAData($AD6,CV$4,$AE6,$AF6)</f>
        <v>822.7</v>
      </c>
      <c r="CW6" s="582">
        <f>_xll.VAData($AD6,CW$4,$AE6,$AF6)</f>
        <v>824.73076534785332</v>
      </c>
      <c r="CX6" s="583"/>
      <c r="CY6" s="581">
        <v>631.5</v>
      </c>
      <c r="CZ6" s="581">
        <v>862.6</v>
      </c>
      <c r="DA6" s="581">
        <v>870.5</v>
      </c>
      <c r="DB6" s="581">
        <v>825.2</v>
      </c>
      <c r="DC6" s="581">
        <v>815.21502982079221</v>
      </c>
      <c r="DD6" s="581">
        <v>851.50262084286237</v>
      </c>
      <c r="DE6" s="583"/>
      <c r="DF6" s="584">
        <f t="shared" ref="DF6:DK11" si="8">BW6-CY6</f>
        <v>-56.079955700062897</v>
      </c>
      <c r="DG6" s="584">
        <f t="shared" si="8"/>
        <v>0</v>
      </c>
      <c r="DH6" s="584">
        <f t="shared" si="8"/>
        <v>0</v>
      </c>
      <c r="DI6" s="584">
        <f t="shared" si="8"/>
        <v>0</v>
      </c>
      <c r="DJ6" s="584">
        <f t="shared" si="8"/>
        <v>7.4849701792078349</v>
      </c>
      <c r="DK6" s="584">
        <f t="shared" si="8"/>
        <v>-10.568620842862401</v>
      </c>
    </row>
    <row r="7" spans="1:115">
      <c r="C7" s="88" t="s">
        <v>26</v>
      </c>
      <c r="D7" s="89"/>
      <c r="E7" s="89"/>
      <c r="F7" s="89">
        <f>HY!O325</f>
        <v>161.80000000000001</v>
      </c>
      <c r="G7" s="89">
        <f>HY!P325</f>
        <v>140</v>
      </c>
      <c r="H7" s="89">
        <f>HY!Q325</f>
        <v>144.30000000000001</v>
      </c>
      <c r="I7" s="89">
        <f>HY!R325</f>
        <v>133.5</v>
      </c>
      <c r="J7" s="89">
        <f>HY!S325</f>
        <v>119.5</v>
      </c>
      <c r="K7" s="89">
        <f>HY!T325</f>
        <v>114.19999999999999</v>
      </c>
      <c r="L7" s="89">
        <f>HY!U325</f>
        <v>85.5</v>
      </c>
      <c r="M7" s="89">
        <f>HY!V325</f>
        <v>96.1</v>
      </c>
      <c r="N7" s="89">
        <f>HY!W325</f>
        <v>89.135631999999987</v>
      </c>
      <c r="O7" s="89">
        <f>HY!X325</f>
        <v>94.050503199999994</v>
      </c>
      <c r="P7" s="89"/>
      <c r="Q7" s="638">
        <v>119.5</v>
      </c>
      <c r="R7" s="89">
        <v>85.5</v>
      </c>
      <c r="S7" s="580">
        <f>R7/Q7-1</f>
        <v>-0.28451882845188281</v>
      </c>
      <c r="T7" s="579">
        <f t="shared" si="0"/>
        <v>85.5</v>
      </c>
      <c r="U7" s="580">
        <f>$R7/T7-1</f>
        <v>0</v>
      </c>
      <c r="V7" s="579">
        <f t="shared" si="1"/>
        <v>88.187781745575023</v>
      </c>
      <c r="W7" s="580">
        <f>$R7/V7-1</f>
        <v>-3.0477938013333539E-2</v>
      </c>
      <c r="X7" s="90"/>
      <c r="Y7" s="87"/>
      <c r="Z7" s="87"/>
      <c r="AA7" s="87"/>
      <c r="AB7" s="585">
        <f t="shared" si="2"/>
        <v>88.187781745575023</v>
      </c>
      <c r="AD7" s="77" t="s">
        <v>1259</v>
      </c>
      <c r="AE7" s="77" t="s">
        <v>1262</v>
      </c>
      <c r="AF7" s="78" t="s">
        <v>1261</v>
      </c>
      <c r="AG7" s="582">
        <f>_xll.VAData($AD7,AG$4,$AE7,$AF7)</f>
        <v>36.200000000000003</v>
      </c>
      <c r="AH7" s="582">
        <f>_xll.VAData($AD7,AH$4,$AE7,$AF7)</f>
        <v>101.7</v>
      </c>
      <c r="AI7" s="582">
        <f>_xll.VAData($AD7,AI$4,$AE7,$AF7)</f>
        <v>161.80000000000001</v>
      </c>
      <c r="AJ7" s="582">
        <f>_xll.VAData($AD7,AJ$4,$AE7,$AF7)</f>
        <v>140</v>
      </c>
      <c r="AK7" s="582">
        <f>_xll.VAData($AD7,AK$4,$AE7,$AF7)</f>
        <v>144.25346462505101</v>
      </c>
      <c r="AL7" s="582">
        <f>_xll.VAData($AD7,AL$4,$AE7,$AF7)</f>
        <v>133.5</v>
      </c>
      <c r="AM7" s="582">
        <f>_xll.VAData($AD7,AM$4,$AE7,$AF7)</f>
        <v>119.529</v>
      </c>
      <c r="AN7" s="582">
        <f>_xll.VAData($AD7,AN$4,$AE7,$AF7)</f>
        <v>114.2</v>
      </c>
      <c r="AO7" s="582">
        <f>_xll.VAData($AD7,AO$4,$AE7,$AF7)</f>
        <v>85.5</v>
      </c>
      <c r="AP7" s="582">
        <f>_xll.VAData($AD7,AP$4,$AE7,$AF7)</f>
        <v>96.1</v>
      </c>
      <c r="AQ7" s="582">
        <f>_xll.VAData($AD7,AQ$4,$AE7,$AF7)</f>
        <v>88.991616558548074</v>
      </c>
      <c r="AR7" s="582">
        <f>_xll.VAData($AD7,AR$4,$AE7,$AF7)</f>
        <v>93.164145194990581</v>
      </c>
      <c r="AS7" s="583"/>
      <c r="AT7" s="581">
        <v>36.200000000000003</v>
      </c>
      <c r="AU7" s="581">
        <v>101.7</v>
      </c>
      <c r="AV7" s="581">
        <v>161.69999999999999</v>
      </c>
      <c r="AW7" s="581">
        <v>140.1</v>
      </c>
      <c r="AX7" s="581">
        <v>144.30000000000001</v>
      </c>
      <c r="AY7" s="581">
        <v>133.5</v>
      </c>
      <c r="AZ7" s="581">
        <v>113.1</v>
      </c>
      <c r="BA7" s="581">
        <v>120.6</v>
      </c>
      <c r="BB7" s="581">
        <v>88.187781745575023</v>
      </c>
      <c r="BC7" s="581">
        <v>106.325470107896</v>
      </c>
      <c r="BD7" s="581">
        <v>108.1978513309159</v>
      </c>
      <c r="BE7" s="581">
        <v>118.38289213346221</v>
      </c>
      <c r="BF7" s="583"/>
      <c r="BG7" s="586"/>
      <c r="BH7" s="586"/>
      <c r="BI7" s="584">
        <f t="shared" si="3"/>
        <v>0.10000000000002274</v>
      </c>
      <c r="BJ7" s="584">
        <f t="shared" si="3"/>
        <v>-9.9999999999994316E-2</v>
      </c>
      <c r="BK7" s="584">
        <f t="shared" si="3"/>
        <v>0</v>
      </c>
      <c r="BL7" s="584">
        <f t="shared" si="3"/>
        <v>0</v>
      </c>
      <c r="BM7" s="584">
        <f t="shared" si="3"/>
        <v>6.4000000000000057</v>
      </c>
      <c r="BN7" s="584">
        <f t="shared" si="3"/>
        <v>-6.4000000000000057</v>
      </c>
      <c r="BO7" s="584">
        <f t="shared" si="3"/>
        <v>-2.6877817455750233</v>
      </c>
      <c r="BP7" s="584">
        <f t="shared" si="3"/>
        <v>-10.225470107896001</v>
      </c>
      <c r="BQ7" s="584">
        <f t="shared" si="3"/>
        <v>-19.062219330915909</v>
      </c>
      <c r="BR7" s="584">
        <f t="shared" si="3"/>
        <v>-24.332388933462212</v>
      </c>
      <c r="BT7" s="89"/>
      <c r="BV7" s="616" t="s">
        <v>26</v>
      </c>
      <c r="BW7" s="89">
        <f>FY!G29</f>
        <v>137.9</v>
      </c>
      <c r="BX7" s="89">
        <f>FY!H29</f>
        <v>301.8</v>
      </c>
      <c r="BY7" s="89">
        <f>FY!I29</f>
        <v>277.8</v>
      </c>
      <c r="BZ7" s="89">
        <f>FY!J29</f>
        <v>233.7</v>
      </c>
      <c r="CA7" s="89">
        <f>FY!K29</f>
        <v>181.6</v>
      </c>
      <c r="CB7" s="89">
        <f>FY!L29</f>
        <v>183.18613519999997</v>
      </c>
      <c r="CC7" s="89"/>
      <c r="CD7" s="579">
        <f t="shared" si="4"/>
        <v>233.7</v>
      </c>
      <c r="CE7" s="89">
        <v>181.6</v>
      </c>
      <c r="CF7" s="580">
        <f>CE7/CD7-1</f>
        <v>-0.22293538724860928</v>
      </c>
      <c r="CG7" s="579">
        <f t="shared" si="5"/>
        <v>181.6</v>
      </c>
      <c r="CH7" s="580">
        <f>$CE7/CG7-1</f>
        <v>0</v>
      </c>
      <c r="CI7" s="579">
        <f t="shared" si="6"/>
        <v>182.49152486760761</v>
      </c>
      <c r="CJ7" s="580">
        <f>$CE7/CI7-1</f>
        <v>-4.8852946363092675E-3</v>
      </c>
      <c r="CK7" s="90"/>
      <c r="CL7" s="87"/>
      <c r="CM7" s="585">
        <f t="shared" si="7"/>
        <v>182.49152486760761</v>
      </c>
      <c r="CO7" s="77" t="s">
        <v>1259</v>
      </c>
      <c r="CP7" s="77" t="s">
        <v>1262</v>
      </c>
      <c r="CQ7" s="78" t="s">
        <v>1261</v>
      </c>
      <c r="CR7" s="582">
        <f>_xll.VAData($AD7,CR$4,$AE7,$AF7)</f>
        <v>137.9</v>
      </c>
      <c r="CS7" s="582">
        <f>_xll.VAData($AD7,CS$4,$AE7,$AF7)</f>
        <v>301.8</v>
      </c>
      <c r="CT7" s="582">
        <f>_xll.VAData($AD7,CT$4,$AE7,$AF7)</f>
        <v>277.8</v>
      </c>
      <c r="CU7" s="582">
        <f>_xll.VAData($AD7,CU$4,$AE7,$AF7)</f>
        <v>233.7</v>
      </c>
      <c r="CV7" s="582">
        <f>_xll.VAData($AD7,CV$4,$AE7,$AF7)</f>
        <v>181.6</v>
      </c>
      <c r="CW7" s="582">
        <f>_xll.VAData($AD7,CW$4,$AE7,$AF7)</f>
        <v>181.26337371511656</v>
      </c>
      <c r="CX7" s="583"/>
      <c r="CY7" s="581">
        <v>137.9</v>
      </c>
      <c r="CZ7" s="581">
        <v>301.8</v>
      </c>
      <c r="DA7" s="581">
        <v>277.8</v>
      </c>
      <c r="DB7" s="581">
        <v>233.7</v>
      </c>
      <c r="DC7" s="581">
        <v>182.49152486760761</v>
      </c>
      <c r="DD7" s="581">
        <v>197.49482860900801</v>
      </c>
      <c r="DE7" s="583"/>
      <c r="DF7" s="584">
        <f t="shared" si="8"/>
        <v>0</v>
      </c>
      <c r="DG7" s="584">
        <f t="shared" si="8"/>
        <v>0</v>
      </c>
      <c r="DH7" s="584">
        <f t="shared" si="8"/>
        <v>0</v>
      </c>
      <c r="DI7" s="584">
        <f t="shared" si="8"/>
        <v>0</v>
      </c>
      <c r="DJ7" s="584">
        <f t="shared" si="8"/>
        <v>-0.89152486760761462</v>
      </c>
      <c r="DK7" s="584">
        <f t="shared" si="8"/>
        <v>-14.308693409008043</v>
      </c>
    </row>
    <row r="8" spans="1:115" hidden="1" outlineLevel="1">
      <c r="A8" s="605"/>
      <c r="C8" s="88" t="s">
        <v>128</v>
      </c>
      <c r="D8" s="89"/>
      <c r="E8" s="89"/>
      <c r="F8" s="89">
        <f>HY!O338</f>
        <v>116.336</v>
      </c>
      <c r="G8" s="89">
        <f>HY!P338</f>
        <v>94.792000000000002</v>
      </c>
      <c r="H8" s="89">
        <f>HY!Q338</f>
        <v>100.05300000000001</v>
      </c>
      <c r="I8" s="89">
        <f>HY!R338</f>
        <v>85.725999999999999</v>
      </c>
      <c r="J8" s="89">
        <f>HY!S338</f>
        <v>74.170999999999992</v>
      </c>
      <c r="K8" s="89">
        <f>HY!T338</f>
        <v>65.315999999999974</v>
      </c>
      <c r="L8" s="89">
        <f>HY!U338</f>
        <v>35.620999999999995</v>
      </c>
      <c r="M8" s="89">
        <f>HY!V338</f>
        <v>42.521999999999998</v>
      </c>
      <c r="N8" s="89">
        <f>HY!W338</f>
        <v>28.900864922515652</v>
      </c>
      <c r="O8" s="89">
        <f>HY!X338</f>
        <v>41.323710342688912</v>
      </c>
      <c r="P8" s="89"/>
      <c r="Q8" s="579">
        <f>J8</f>
        <v>74.170999999999992</v>
      </c>
      <c r="R8" s="89"/>
      <c r="S8" s="580">
        <f>R8/Q8-1</f>
        <v>-1</v>
      </c>
      <c r="T8" s="579">
        <f t="shared" si="0"/>
        <v>35.620999999999995</v>
      </c>
      <c r="U8" s="580">
        <f>$R8/T8-1</f>
        <v>-1</v>
      </c>
      <c r="V8" s="579">
        <f t="shared" si="1"/>
        <v>35.08313818929296</v>
      </c>
      <c r="W8" s="580">
        <f>$R8/V8-1</f>
        <v>-1</v>
      </c>
      <c r="X8" s="90"/>
      <c r="Y8" s="87"/>
      <c r="Z8" s="87"/>
      <c r="AA8" s="87"/>
      <c r="AB8" s="585">
        <f t="shared" si="2"/>
        <v>35.08313818929296</v>
      </c>
      <c r="AD8" s="77" t="s">
        <v>1259</v>
      </c>
      <c r="AE8" s="77" t="s">
        <v>1263</v>
      </c>
      <c r="AF8" s="78" t="s">
        <v>1261</v>
      </c>
      <c r="AG8" s="582">
        <f>_xll.VAData($AD8,AG$4,$AE8,$AF8)</f>
        <v>-11.6</v>
      </c>
      <c r="AH8" s="582">
        <f>_xll.VAData($AD8,AH$4,$AE8,$AF8)</f>
        <v>54.8</v>
      </c>
      <c r="AI8" s="582">
        <f>_xll.VAData($AD8,AI$4,$AE8,$AF8)</f>
        <v>116.3</v>
      </c>
      <c r="AJ8" s="582">
        <f>_xll.VAData($AD8,AJ$4,$AE8,$AF8)</f>
        <v>94.8</v>
      </c>
      <c r="AK8" s="582">
        <f>_xll.VAData($AD8,AK$4,$AE8,$AF8)</f>
        <v>100</v>
      </c>
      <c r="AL8" s="582">
        <f>_xll.VAData($AD8,AL$4,$AE8,$AF8)</f>
        <v>85.8</v>
      </c>
      <c r="AM8" s="582">
        <f>_xll.VAData($AD8,AM$4,$AE8,$AF8)</f>
        <v>74.201015400000003</v>
      </c>
      <c r="AN8" s="582">
        <f>_xll.VAData($AD8,AN$4,$AE8,$AF8)</f>
        <v>65.3</v>
      </c>
      <c r="AO8" s="582">
        <f>_xll.VAData($AD8,AO$4,$AE8,$AF8)</f>
        <v>35.6</v>
      </c>
      <c r="AP8" s="582">
        <f>_xll.VAData($AD8,AP$4,$AE8,$AF8)</f>
        <v>40.9</v>
      </c>
      <c r="AQ8" s="582">
        <f>_xll.VAData($AD8,AQ$4,$AE8,$AF8)</f>
        <v>29.496227742834435</v>
      </c>
      <c r="AR8" s="582">
        <f>_xll.VAData($AD8,AR$4,$AE8,$AF8)</f>
        <v>36.268601079891731</v>
      </c>
      <c r="AS8" s="583"/>
      <c r="AT8" s="581">
        <v>-17.600000000000001</v>
      </c>
      <c r="AU8" s="581">
        <v>54.8</v>
      </c>
      <c r="AV8" s="581">
        <v>116.3</v>
      </c>
      <c r="AW8" s="581">
        <v>94.8</v>
      </c>
      <c r="AX8" s="581">
        <v>100</v>
      </c>
      <c r="AY8" s="581">
        <v>85.8</v>
      </c>
      <c r="AZ8" s="581">
        <v>67.8</v>
      </c>
      <c r="BA8" s="581">
        <v>71.7</v>
      </c>
      <c r="BB8" s="581">
        <v>35.08313818929296</v>
      </c>
      <c r="BC8" s="581">
        <v>52.515607842312839</v>
      </c>
      <c r="BD8" s="581">
        <v>53.5569818083328</v>
      </c>
      <c r="BE8" s="581">
        <v>59.382069633097302</v>
      </c>
      <c r="BF8" s="583"/>
      <c r="BG8" s="586"/>
      <c r="BH8" s="586"/>
      <c r="BI8" s="584">
        <f t="shared" si="3"/>
        <v>3.6000000000001364E-2</v>
      </c>
      <c r="BJ8" s="584">
        <f t="shared" si="3"/>
        <v>-7.9999999999955662E-3</v>
      </c>
      <c r="BK8" s="584">
        <f t="shared" si="3"/>
        <v>5.3000000000011482E-2</v>
      </c>
      <c r="BL8" s="584">
        <f t="shared" si="3"/>
        <v>-7.3999999999998067E-2</v>
      </c>
      <c r="BM8" s="584">
        <f t="shared" si="3"/>
        <v>6.3709999999999951</v>
      </c>
      <c r="BN8" s="584">
        <f t="shared" si="3"/>
        <v>-6.3840000000000288</v>
      </c>
      <c r="BO8" s="584">
        <f t="shared" si="3"/>
        <v>0.5378618107070352</v>
      </c>
      <c r="BP8" s="584">
        <f t="shared" si="3"/>
        <v>-9.9936078423128407</v>
      </c>
      <c r="BQ8" s="584">
        <f t="shared" si="3"/>
        <v>-24.656116885817148</v>
      </c>
      <c r="BR8" s="584">
        <f t="shared" si="3"/>
        <v>-18.05835929040839</v>
      </c>
      <c r="BT8" s="89"/>
      <c r="BV8" s="616" t="s">
        <v>128</v>
      </c>
      <c r="BW8" s="89"/>
      <c r="BX8" s="89"/>
      <c r="BY8" s="89"/>
      <c r="BZ8" s="89"/>
      <c r="CA8" s="89"/>
      <c r="CB8" s="89"/>
      <c r="CC8" s="89"/>
      <c r="CD8" s="579">
        <f t="shared" si="4"/>
        <v>0</v>
      </c>
      <c r="CE8" s="89"/>
      <c r="CF8" s="580" t="e">
        <f>CE8/CD8-1</f>
        <v>#DIV/0!</v>
      </c>
      <c r="CG8" s="579">
        <f t="shared" si="5"/>
        <v>0</v>
      </c>
      <c r="CH8" s="580" t="e">
        <f>$CE8/CG8-1</f>
        <v>#DIV/0!</v>
      </c>
      <c r="CI8" s="579">
        <f t="shared" si="6"/>
        <v>76.887933276523</v>
      </c>
      <c r="CJ8" s="580">
        <f>$CE8/CI8-1</f>
        <v>-1</v>
      </c>
      <c r="CK8" s="90"/>
      <c r="CL8" s="87"/>
      <c r="CM8" s="585">
        <f t="shared" si="7"/>
        <v>76.887933276523</v>
      </c>
      <c r="CO8" s="77" t="s">
        <v>1259</v>
      </c>
      <c r="CP8" s="77" t="s">
        <v>1263</v>
      </c>
      <c r="CQ8" s="78" t="s">
        <v>1261</v>
      </c>
      <c r="CR8" s="582">
        <f>_xll.VAData($AD8,CR$4,$AE8,$AF8)</f>
        <v>43.3</v>
      </c>
      <c r="CS8" s="582">
        <f>_xll.VAData($AD8,CS$4,$AE8,$AF8)</f>
        <v>211.1</v>
      </c>
      <c r="CT8" s="582">
        <f>_xll.VAData($AD8,CT$4,$AE8,$AF8)</f>
        <v>185.8</v>
      </c>
      <c r="CU8" s="582">
        <f>_xll.VAData($AD8,CU$4,$AE8,$AF8)</f>
        <v>139.5</v>
      </c>
      <c r="CV8" s="582">
        <f>_xll.VAData($AD8,CV$4,$AE8,$AF8)</f>
        <v>76.5</v>
      </c>
      <c r="CW8" s="582">
        <f>_xll.VAData($AD8,CW$4,$AE8,$AF8)</f>
        <v>66.937245171534855</v>
      </c>
      <c r="CX8" s="583"/>
      <c r="CY8" s="581">
        <v>43.3</v>
      </c>
      <c r="CZ8" s="581">
        <v>211.1</v>
      </c>
      <c r="DA8" s="581">
        <v>185.8</v>
      </c>
      <c r="DB8" s="581">
        <v>139.5</v>
      </c>
      <c r="DC8" s="581">
        <v>76.887933276523</v>
      </c>
      <c r="DD8" s="581">
        <v>88.29275345596588</v>
      </c>
      <c r="DE8" s="583"/>
      <c r="DF8" s="584">
        <f t="shared" si="8"/>
        <v>-43.3</v>
      </c>
      <c r="DG8" s="584">
        <f t="shared" si="8"/>
        <v>-211.1</v>
      </c>
      <c r="DH8" s="584">
        <f t="shared" si="8"/>
        <v>-185.8</v>
      </c>
      <c r="DI8" s="584">
        <f t="shared" si="8"/>
        <v>-139.5</v>
      </c>
      <c r="DJ8" s="584">
        <f t="shared" si="8"/>
        <v>-76.887933276523</v>
      </c>
      <c r="DK8" s="584">
        <f t="shared" si="8"/>
        <v>-88.29275345596588</v>
      </c>
    </row>
    <row r="9" spans="1:115" collapsed="1">
      <c r="C9" s="88" t="s">
        <v>283</v>
      </c>
      <c r="D9" s="89"/>
      <c r="E9" s="89"/>
      <c r="F9" s="89">
        <f>HY!O348</f>
        <v>72.8</v>
      </c>
      <c r="G9" s="89">
        <f>HY!P348</f>
        <v>59.899999999999991</v>
      </c>
      <c r="H9" s="89">
        <f>HY!Q348</f>
        <v>64.5</v>
      </c>
      <c r="I9" s="89">
        <f>HY!R348</f>
        <v>58.7</v>
      </c>
      <c r="J9" s="89">
        <f>HY!S348</f>
        <v>44.2</v>
      </c>
      <c r="K9" s="89">
        <f>HY!T348</f>
        <v>27.299999999999997</v>
      </c>
      <c r="L9" s="89">
        <f>HY!U348</f>
        <v>14.4</v>
      </c>
      <c r="M9" s="89">
        <f>HY!V348</f>
        <v>23.6</v>
      </c>
      <c r="N9" s="89">
        <f>HY!W348</f>
        <v>9.4200085800075293</v>
      </c>
      <c r="O9" s="89">
        <f>HY!X348</f>
        <v>21.030314271929804</v>
      </c>
      <c r="P9" s="89"/>
      <c r="Q9" s="579">
        <f>J9</f>
        <v>44.2</v>
      </c>
      <c r="R9" s="89">
        <v>14.4</v>
      </c>
      <c r="S9" s="580">
        <f>R9/Q9-1</f>
        <v>-0.67420814479638014</v>
      </c>
      <c r="T9" s="579">
        <f t="shared" si="0"/>
        <v>14.4</v>
      </c>
      <c r="U9" s="580">
        <f>$R9/T9-1</f>
        <v>0</v>
      </c>
      <c r="V9" s="579">
        <f t="shared" si="1"/>
        <v>10.08003108605161</v>
      </c>
      <c r="W9" s="580">
        <f>$R9/V9-1</f>
        <v>0.4285670229654559</v>
      </c>
      <c r="X9" s="90"/>
      <c r="Y9" s="87"/>
      <c r="Z9" s="87"/>
      <c r="AA9" s="87"/>
      <c r="AB9" s="585">
        <f t="shared" si="2"/>
        <v>10.08003108605161</v>
      </c>
      <c r="AD9" s="77" t="s">
        <v>1259</v>
      </c>
      <c r="AE9" s="77" t="s">
        <v>1264</v>
      </c>
      <c r="AF9" s="78" t="s">
        <v>1261</v>
      </c>
      <c r="AG9" s="582">
        <f>_xll.VAData($AD9,AG$4,$AE9,$AF9)</f>
        <v>-19.5</v>
      </c>
      <c r="AH9" s="582">
        <f>_xll.VAData($AD9,AH$4,$AE9,$AF9)</f>
        <v>29.2</v>
      </c>
      <c r="AI9" s="582">
        <f>_xll.VAData($AD9,AI$4,$AE9,$AF9)</f>
        <v>72.8</v>
      </c>
      <c r="AJ9" s="582">
        <f>_xll.VAData($AD9,AJ$4,$AE9,$AF9)</f>
        <v>60</v>
      </c>
      <c r="AK9" s="582">
        <f>_xll.VAData($AD9,AK$4,$AE9,$AF9)</f>
        <v>64.503334625050996</v>
      </c>
      <c r="AL9" s="582">
        <f>_xll.VAData($AD9,AL$4,$AE9,$AF9)</f>
        <v>58.7</v>
      </c>
      <c r="AM9" s="582">
        <f>_xll.VAData($AD9,AM$4,$AE9,$AF9)</f>
        <v>44.2</v>
      </c>
      <c r="AN9" s="582">
        <f>_xll.VAData($AD9,AN$4,$AE9,$AF9)</f>
        <v>27.3</v>
      </c>
      <c r="AO9" s="582">
        <f>_xll.VAData($AD9,AO$4,$AE9,$AF9)</f>
        <v>14.4</v>
      </c>
      <c r="AP9" s="582">
        <f>_xll.VAData($AD9,AP$4,$AE9,$AF9)</f>
        <v>23.6</v>
      </c>
      <c r="AQ9" s="582">
        <f>_xll.VAData($AD9,AQ$4,$AE9,$AF9)</f>
        <v>7.6747473825272037</v>
      </c>
      <c r="AR9" s="582">
        <f>_xll.VAData($AD9,AR$4,$AE9,$AF9)</f>
        <v>15.845528670395266</v>
      </c>
      <c r="AS9" s="583"/>
      <c r="AT9" s="581">
        <v>-19.5</v>
      </c>
      <c r="AU9" s="581">
        <v>29.3</v>
      </c>
      <c r="AV9" s="581">
        <v>72.8</v>
      </c>
      <c r="AW9" s="581">
        <v>60</v>
      </c>
      <c r="AX9" s="581">
        <v>64.5</v>
      </c>
      <c r="AY9" s="581">
        <v>58.7</v>
      </c>
      <c r="AZ9" s="581">
        <v>37.799999999999997</v>
      </c>
      <c r="BA9" s="581">
        <v>33.700000000000003</v>
      </c>
      <c r="BB9" s="581">
        <v>10.08003108605161</v>
      </c>
      <c r="BC9" s="581">
        <v>21.188801419229531</v>
      </c>
      <c r="BD9" s="581">
        <v>24.288062180366431</v>
      </c>
      <c r="BE9" s="581">
        <v>28.693162803606299</v>
      </c>
      <c r="BF9" s="583"/>
      <c r="BG9" s="586"/>
      <c r="BH9" s="586"/>
      <c r="BI9" s="584">
        <f t="shared" si="3"/>
        <v>0</v>
      </c>
      <c r="BJ9" s="584">
        <f t="shared" si="3"/>
        <v>-0.10000000000000853</v>
      </c>
      <c r="BK9" s="584">
        <f t="shared" si="3"/>
        <v>0</v>
      </c>
      <c r="BL9" s="584">
        <f t="shared" si="3"/>
        <v>0</v>
      </c>
      <c r="BM9" s="584">
        <f t="shared" si="3"/>
        <v>6.4000000000000057</v>
      </c>
      <c r="BN9" s="584">
        <f t="shared" si="3"/>
        <v>-6.4000000000000057</v>
      </c>
      <c r="BO9" s="584">
        <f t="shared" si="3"/>
        <v>4.3199689139483901</v>
      </c>
      <c r="BP9" s="584">
        <f t="shared" si="3"/>
        <v>2.4111985807704706</v>
      </c>
      <c r="BQ9" s="584">
        <f t="shared" si="3"/>
        <v>-14.868053600358902</v>
      </c>
      <c r="BR9" s="584">
        <f t="shared" si="3"/>
        <v>-7.6628485316764952</v>
      </c>
      <c r="BT9" s="89"/>
      <c r="BV9" s="616" t="s">
        <v>283</v>
      </c>
      <c r="BW9" s="89">
        <f>FY!G41</f>
        <v>9.6999999999999993</v>
      </c>
      <c r="BX9" s="89">
        <f>FY!H41</f>
        <v>132.69999999999999</v>
      </c>
      <c r="BY9" s="89">
        <f>FY!I41</f>
        <v>123.2</v>
      </c>
      <c r="BZ9" s="89">
        <f>FY!J41</f>
        <v>71.5</v>
      </c>
      <c r="CA9" s="89">
        <f>FY!K41</f>
        <v>38</v>
      </c>
      <c r="CB9" s="89">
        <f>FY!L41</f>
        <v>30.450322851937333</v>
      </c>
      <c r="CC9" s="89"/>
      <c r="CD9" s="579">
        <f t="shared" si="4"/>
        <v>71.5</v>
      </c>
      <c r="CE9" s="89">
        <v>38</v>
      </c>
      <c r="CF9" s="580">
        <f>CE9/CD9-1</f>
        <v>-0.46853146853146854</v>
      </c>
      <c r="CG9" s="579">
        <f t="shared" si="5"/>
        <v>38</v>
      </c>
      <c r="CH9" s="580">
        <f>$CE9/CG9-1</f>
        <v>0</v>
      </c>
      <c r="CI9" s="579">
        <f t="shared" si="6"/>
        <v>28.643991566677801</v>
      </c>
      <c r="CJ9" s="580">
        <f>$CE9/CI9-1</f>
        <v>0.32663074947299786</v>
      </c>
      <c r="CK9" s="90"/>
      <c r="CL9" s="87"/>
      <c r="CM9" s="585">
        <f t="shared" si="7"/>
        <v>28.643991566677801</v>
      </c>
      <c r="CO9" s="77" t="s">
        <v>1259</v>
      </c>
      <c r="CP9" s="77" t="s">
        <v>1264</v>
      </c>
      <c r="CQ9" s="78" t="s">
        <v>1261</v>
      </c>
      <c r="CR9" s="582">
        <f>_xll.VAData($AD9,CR$4,$AE9,$AF9)</f>
        <v>9.6999999999999993</v>
      </c>
      <c r="CS9" s="582">
        <f>_xll.VAData($AD9,CS$4,$AE9,$AF9)</f>
        <v>132.80000000000001</v>
      </c>
      <c r="CT9" s="582">
        <f>_xll.VAData($AD9,CT$4,$AE9,$AF9)</f>
        <v>123.2</v>
      </c>
      <c r="CU9" s="582">
        <f>_xll.VAData($AD9,CU$4,$AE9,$AF9)</f>
        <v>71.5</v>
      </c>
      <c r="CV9" s="582">
        <f>_xll.VAData($AD9,CV$4,$AE9,$AF9)</f>
        <v>38</v>
      </c>
      <c r="CW9" s="582">
        <f>_xll.VAData($AD9,CW$4,$AE9,$AF9)</f>
        <v>23.612459267027468</v>
      </c>
      <c r="CX9" s="583"/>
      <c r="CY9" s="581">
        <v>9.6999999999999993</v>
      </c>
      <c r="CZ9" s="581">
        <v>132.80000000000001</v>
      </c>
      <c r="DA9" s="581">
        <v>123.2</v>
      </c>
      <c r="DB9" s="581">
        <v>71.5</v>
      </c>
      <c r="DC9" s="581">
        <v>28.643991566677801</v>
      </c>
      <c r="DD9" s="581">
        <v>35.238310443385593</v>
      </c>
      <c r="DE9" s="583"/>
      <c r="DF9" s="584">
        <f t="shared" si="8"/>
        <v>0</v>
      </c>
      <c r="DG9" s="584">
        <f t="shared" si="8"/>
        <v>-0.10000000000002274</v>
      </c>
      <c r="DH9" s="584">
        <f t="shared" si="8"/>
        <v>0</v>
      </c>
      <c r="DI9" s="584">
        <f t="shared" si="8"/>
        <v>0</v>
      </c>
      <c r="DJ9" s="584">
        <f t="shared" si="8"/>
        <v>9.3560084333221987</v>
      </c>
      <c r="DK9" s="584">
        <f t="shared" si="8"/>
        <v>-4.7879875914482604</v>
      </c>
    </row>
    <row r="10" spans="1:115" hidden="1" outlineLevel="1">
      <c r="C10" s="88" t="s">
        <v>1207</v>
      </c>
      <c r="D10" s="89"/>
      <c r="E10" s="89"/>
      <c r="F10" s="89">
        <f>HY!O349</f>
        <v>9.6</v>
      </c>
      <c r="G10" s="89">
        <f>HY!P349</f>
        <v>8.7000000000000011</v>
      </c>
      <c r="H10" s="89">
        <f>HY!Q349</f>
        <v>8.8000000000000007</v>
      </c>
      <c r="I10" s="89">
        <f>HY!R349</f>
        <v>7.3999999999999986</v>
      </c>
      <c r="J10" s="89">
        <f>HY!S349</f>
        <v>5</v>
      </c>
      <c r="K10" s="89">
        <f>HY!T349</f>
        <v>4.4000000000000004</v>
      </c>
      <c r="L10" s="89">
        <f>HY!U349</f>
        <v>1.5</v>
      </c>
      <c r="M10" s="89">
        <f>HY!V349</f>
        <v>2.2000000000000002</v>
      </c>
      <c r="N10" s="89">
        <f>HY!W349</f>
        <v>0.85399260949191125</v>
      </c>
      <c r="O10" s="89">
        <f>HY!X349</f>
        <v>1.9065516566128184</v>
      </c>
      <c r="P10" s="89"/>
      <c r="Q10" s="579">
        <f>J10</f>
        <v>5</v>
      </c>
      <c r="R10" s="89">
        <v>1.5</v>
      </c>
      <c r="S10" s="580">
        <f>R10/Q10-1</f>
        <v>-0.7</v>
      </c>
      <c r="T10" s="579">
        <f t="shared" si="0"/>
        <v>1.5</v>
      </c>
      <c r="U10" s="580">
        <f>$R10/T10-1</f>
        <v>0</v>
      </c>
      <c r="V10" s="579">
        <f t="shared" si="1"/>
        <v>1.1334305885339</v>
      </c>
      <c r="W10" s="580">
        <f>$R10/V10-1</f>
        <v>0.32341584493520692</v>
      </c>
      <c r="X10" s="90"/>
      <c r="Y10" s="87"/>
      <c r="Z10" s="87"/>
      <c r="AA10" s="87"/>
      <c r="AB10" s="585">
        <f t="shared" si="2"/>
        <v>1.1334305885339</v>
      </c>
      <c r="AD10" s="77" t="s">
        <v>1259</v>
      </c>
      <c r="AE10" s="77" t="s">
        <v>1265</v>
      </c>
      <c r="AF10" s="78" t="s">
        <v>1261</v>
      </c>
      <c r="AG10" s="582">
        <f>_xll.VAData($AD10,AG$4,$AE10,$AF10)</f>
        <v>-2.5651056553306</v>
      </c>
      <c r="AH10" s="582">
        <f>_xll.VAData($AD10,AH$4,$AE10,$AF10)</f>
        <v>3.9</v>
      </c>
      <c r="AI10" s="582">
        <f>_xll.VAData($AD10,AI$4,$AE10,$AF10)</f>
        <v>9.6</v>
      </c>
      <c r="AJ10" s="582">
        <f>_xll.VAData($AD10,AJ$4,$AE10,$AF10)</f>
        <v>7.9143432633573996</v>
      </c>
      <c r="AK10" s="582">
        <f>_xll.VAData($AD10,AK$4,$AE10,$AF10)</f>
        <v>8.8000000000000007</v>
      </c>
      <c r="AL10" s="582">
        <f>_xll.VAData($AD10,AL$4,$AE10,$AF10)</f>
        <v>7.4</v>
      </c>
      <c r="AM10" s="582">
        <f>_xll.VAData($AD10,AM$4,$AE10,$AF10)</f>
        <v>5</v>
      </c>
      <c r="AN10" s="582">
        <f>_xll.VAData($AD10,AN$4,$AE10,$AF10)</f>
        <v>3.5963321734389</v>
      </c>
      <c r="AO10" s="582">
        <f>_xll.VAData($AD10,AO$4,$AE10,$AF10)</f>
        <v>1.305465220359</v>
      </c>
      <c r="AP10" s="582">
        <f>_xll.VAData($AD10,AP$4,$AE10,$AF10)</f>
        <v>2.3584510028929002</v>
      </c>
      <c r="AQ10" s="582">
        <f>_xll.VAData($AD10,AQ$4,$AE10,$AF10)</f>
        <v>0.69577192937020005</v>
      </c>
      <c r="AR10" s="582">
        <f>_xll.VAData($AD10,AR$4,$AE10,$AF10)</f>
        <v>1.4365129567641</v>
      </c>
      <c r="AS10" s="583"/>
      <c r="AT10" s="581">
        <v>-2.6</v>
      </c>
      <c r="AU10" s="581">
        <v>3.9</v>
      </c>
      <c r="AV10" s="581">
        <v>9.6</v>
      </c>
      <c r="AW10" s="581">
        <v>7.9143432633573996</v>
      </c>
      <c r="AX10" s="581">
        <v>8.8000000000000007</v>
      </c>
      <c r="AY10" s="581">
        <v>7.4</v>
      </c>
      <c r="AZ10" s="581">
        <v>5</v>
      </c>
      <c r="BA10" s="581">
        <v>4.4175734124773998</v>
      </c>
      <c r="BB10" s="581">
        <v>1.1334305885339</v>
      </c>
      <c r="BC10" s="581">
        <v>1.5638408213495001</v>
      </c>
      <c r="BD10" s="581">
        <v>2.2099132085773001</v>
      </c>
      <c r="BE10" s="581">
        <v>2.6095536410448998</v>
      </c>
      <c r="BF10" s="583"/>
      <c r="BG10" s="586"/>
      <c r="BH10" s="586"/>
      <c r="BI10" s="584">
        <f t="shared" si="3"/>
        <v>0</v>
      </c>
      <c r="BJ10" s="584">
        <f t="shared" si="3"/>
        <v>0.78565673664260149</v>
      </c>
      <c r="BK10" s="584">
        <f t="shared" si="3"/>
        <v>0</v>
      </c>
      <c r="BL10" s="584">
        <f t="shared" si="3"/>
        <v>0</v>
      </c>
      <c r="BM10" s="584">
        <f t="shared" si="3"/>
        <v>0</v>
      </c>
      <c r="BN10" s="584">
        <f t="shared" si="3"/>
        <v>-1.7573412477399408E-2</v>
      </c>
      <c r="BO10" s="584">
        <f t="shared" si="3"/>
        <v>0.3665694114661</v>
      </c>
      <c r="BP10" s="584">
        <f t="shared" si="3"/>
        <v>0.63615917865050009</v>
      </c>
      <c r="BQ10" s="584">
        <f t="shared" si="3"/>
        <v>-1.3559205990853889</v>
      </c>
      <c r="BR10" s="584">
        <f t="shared" si="3"/>
        <v>-0.70300198443208139</v>
      </c>
      <c r="BT10" s="89"/>
      <c r="BV10" s="616" t="s">
        <v>1207</v>
      </c>
      <c r="BW10" s="89">
        <f>FY!G161</f>
        <v>1.3000000000000003</v>
      </c>
      <c r="BX10" s="89">
        <f>FY!H161</f>
        <v>18.3</v>
      </c>
      <c r="BY10" s="89">
        <f>FY!I161</f>
        <v>16.2</v>
      </c>
      <c r="BZ10" s="89">
        <f>FY!J161</f>
        <v>9.4</v>
      </c>
      <c r="CA10" s="89">
        <f>FY!K161</f>
        <v>3.7</v>
      </c>
      <c r="CB10" s="89">
        <f>FY!L161</f>
        <v>2.7605442661047297</v>
      </c>
      <c r="CC10" s="89"/>
      <c r="CD10" s="579">
        <f t="shared" si="4"/>
        <v>9.4</v>
      </c>
      <c r="CE10" s="89"/>
      <c r="CF10" s="580">
        <f>CE10/CD10-1</f>
        <v>-1</v>
      </c>
      <c r="CG10" s="579">
        <f t="shared" si="5"/>
        <v>3.7</v>
      </c>
      <c r="CH10" s="580">
        <f>$CE10/CG10-1</f>
        <v>-1</v>
      </c>
      <c r="CI10" s="579">
        <f t="shared" si="6"/>
        <v>2.7808760526883001</v>
      </c>
      <c r="CJ10" s="580">
        <f>$CE10/CI10-1</f>
        <v>-1</v>
      </c>
      <c r="CK10" s="90"/>
      <c r="CL10" s="87"/>
      <c r="CM10" s="585">
        <f t="shared" si="7"/>
        <v>2.7808760526883001</v>
      </c>
      <c r="CO10" s="77" t="s">
        <v>1259</v>
      </c>
      <c r="CP10" s="80" t="s">
        <v>1265</v>
      </c>
      <c r="CQ10" s="78" t="s">
        <v>1261</v>
      </c>
      <c r="CR10" s="582">
        <f>_xll.VAData($AD10,CR$4,$AE10,$AF10)</f>
        <v>1.2805147472851</v>
      </c>
      <c r="CS10" s="582">
        <f>_xll.VAData($AD10,CS$4,$AE10,$AF10)</f>
        <v>17.466665257211101</v>
      </c>
      <c r="CT10" s="582">
        <f>_xll.VAData($AD10,CT$4,$AE10,$AF10)</f>
        <v>16.2</v>
      </c>
      <c r="CU10" s="582">
        <f>_xll.VAData($AD10,CU$4,$AE10,$AF10)</f>
        <v>9.4175734124774007</v>
      </c>
      <c r="CV10" s="582">
        <f>_xll.VAData($AD10,CV$4,$AE10,$AF10)</f>
        <v>3.6639162232519999</v>
      </c>
      <c r="CW10" s="582">
        <f>_xll.VAData($AD10,CW$4,$AE10,$AF10)</f>
        <v>2.1618545891501002</v>
      </c>
      <c r="CX10" s="583"/>
      <c r="CY10" s="581">
        <v>1.2775501300000001</v>
      </c>
      <c r="CZ10" s="581">
        <v>17.517079756230999</v>
      </c>
      <c r="DA10" s="581">
        <v>16.2</v>
      </c>
      <c r="DB10" s="581">
        <v>9.4175734124774007</v>
      </c>
      <c r="DC10" s="581">
        <v>2.7808760526883001</v>
      </c>
      <c r="DD10" s="581">
        <v>3.1950591106038</v>
      </c>
      <c r="DE10" s="583"/>
      <c r="DF10" s="584">
        <f t="shared" si="8"/>
        <v>2.2449870000000205E-2</v>
      </c>
      <c r="DG10" s="584">
        <f t="shared" si="8"/>
        <v>0.78292024376900216</v>
      </c>
      <c r="DH10" s="584">
        <f t="shared" si="8"/>
        <v>0</v>
      </c>
      <c r="DI10" s="584">
        <f t="shared" si="8"/>
        <v>-1.7573412477400296E-2</v>
      </c>
      <c r="DJ10" s="584">
        <f t="shared" si="8"/>
        <v>0.91912394731170011</v>
      </c>
      <c r="DK10" s="584">
        <f t="shared" si="8"/>
        <v>-0.4345148444990703</v>
      </c>
    </row>
    <row r="11" spans="1:115" collapsed="1">
      <c r="C11" s="88" t="s">
        <v>1198</v>
      </c>
      <c r="D11" s="89"/>
      <c r="E11" s="89"/>
      <c r="F11" s="89">
        <f>HY!O493</f>
        <v>6</v>
      </c>
      <c r="G11" s="89">
        <f>HY!P493</f>
        <v>6</v>
      </c>
      <c r="H11" s="89">
        <f>HY!Q493</f>
        <v>5.25</v>
      </c>
      <c r="I11" s="89">
        <f>HY!R493</f>
        <v>0</v>
      </c>
      <c r="J11" s="89">
        <f>HY!S493</f>
        <v>0</v>
      </c>
      <c r="K11" s="89">
        <f>HY!T493</f>
        <v>0</v>
      </c>
      <c r="L11" s="89">
        <f>HY!U493</f>
        <v>0</v>
      </c>
      <c r="M11" s="89">
        <f>HY!V493</f>
        <v>0</v>
      </c>
      <c r="N11" s="89">
        <f>HY!W493</f>
        <v>0</v>
      </c>
      <c r="O11" s="89">
        <f>HY!X493</f>
        <v>0</v>
      </c>
      <c r="P11" s="89"/>
      <c r="Q11" s="579">
        <f>J11</f>
        <v>0</v>
      </c>
      <c r="R11" s="89">
        <v>0</v>
      </c>
      <c r="S11" s="580" t="s">
        <v>1266</v>
      </c>
      <c r="T11" s="579">
        <f t="shared" si="0"/>
        <v>0</v>
      </c>
      <c r="U11" s="580" t="s">
        <v>1266</v>
      </c>
      <c r="V11" s="579">
        <f t="shared" si="1"/>
        <v>0</v>
      </c>
      <c r="W11" s="580" t="s">
        <v>1266</v>
      </c>
      <c r="X11" s="90"/>
      <c r="Y11" s="87"/>
      <c r="Z11" s="87" t="s">
        <v>1267</v>
      </c>
      <c r="AA11" s="87"/>
      <c r="AB11" s="585">
        <f t="shared" si="2"/>
        <v>0</v>
      </c>
      <c r="AD11" s="77" t="s">
        <v>1259</v>
      </c>
      <c r="AE11" s="77" t="s">
        <v>1268</v>
      </c>
      <c r="AF11" s="78" t="s">
        <v>1261</v>
      </c>
      <c r="AG11" s="582">
        <f>_xll.VAData($AD11,AG$4,$AE11,$AF11)</f>
        <v>0</v>
      </c>
      <c r="AH11" s="582">
        <f>_xll.VAData($AD11,AH$4,$AE11,$AF11)</f>
        <v>0</v>
      </c>
      <c r="AI11" s="582">
        <f>_xll.VAData($AD11,AI$4,$AE11,$AF11)</f>
        <v>6</v>
      </c>
      <c r="AJ11" s="582">
        <f>_xll.VAData($AD11,AJ$4,$AE11,$AF11)</f>
        <v>6</v>
      </c>
      <c r="AK11" s="582">
        <f>_xll.VAData($AD11,AK$4,$AE11,$AF11)</f>
        <v>5.25</v>
      </c>
      <c r="AL11" s="582">
        <f>_xll.VAData($AD11,AL$4,$AE11,$AF11)</f>
        <v>0</v>
      </c>
      <c r="AM11" s="582">
        <f>_xll.VAData($AD11,AM$4,$AE11,$AF11)</f>
        <v>0</v>
      </c>
      <c r="AN11" s="582">
        <f>_xll.VAData($AD11,AN$4,$AE11,$AF11)</f>
        <v>0</v>
      </c>
      <c r="AO11" s="582">
        <f>_xll.VAData($AD11,AO$4,$AE11,$AF11)</f>
        <v>0</v>
      </c>
      <c r="AP11" s="582">
        <f>_xll.VAData($AD11,AP$4,$AE11,$AF11)</f>
        <v>0</v>
      </c>
      <c r="AQ11" s="582">
        <f>_xll.VAData($AD11,AQ$4,$AE11,$AF11)</f>
        <v>0</v>
      </c>
      <c r="AR11" s="582">
        <f>_xll.VAData($AD11,AR$4,$AE11,$AF11)</f>
        <v>0</v>
      </c>
      <c r="AS11" s="583"/>
      <c r="AT11" s="581">
        <v>0</v>
      </c>
      <c r="AU11" s="581">
        <v>0</v>
      </c>
      <c r="AV11" s="581">
        <v>6</v>
      </c>
      <c r="AW11" s="581">
        <v>6</v>
      </c>
      <c r="AX11" s="581">
        <v>5.25</v>
      </c>
      <c r="AY11" s="581">
        <v>0</v>
      </c>
      <c r="AZ11" s="581">
        <v>0</v>
      </c>
      <c r="BA11" s="581">
        <v>0</v>
      </c>
      <c r="BB11" s="581">
        <v>0</v>
      </c>
      <c r="BC11" s="581">
        <v>0</v>
      </c>
      <c r="BD11" s="581">
        <v>9.69851751353E-2</v>
      </c>
      <c r="BE11" s="581">
        <v>0.76641861732670002</v>
      </c>
      <c r="BF11" s="583"/>
      <c r="BG11" s="586"/>
      <c r="BH11" s="586"/>
      <c r="BI11" s="584">
        <f t="shared" si="3"/>
        <v>0</v>
      </c>
      <c r="BJ11" s="584">
        <f t="shared" si="3"/>
        <v>0</v>
      </c>
      <c r="BK11" s="584">
        <f t="shared" si="3"/>
        <v>0</v>
      </c>
      <c r="BL11" s="584">
        <f t="shared" si="3"/>
        <v>0</v>
      </c>
      <c r="BM11" s="584">
        <f t="shared" si="3"/>
        <v>0</v>
      </c>
      <c r="BN11" s="584">
        <f t="shared" si="3"/>
        <v>0</v>
      </c>
      <c r="BO11" s="584">
        <f t="shared" si="3"/>
        <v>0</v>
      </c>
      <c r="BP11" s="584">
        <f t="shared" si="3"/>
        <v>0</v>
      </c>
      <c r="BQ11" s="584">
        <f t="shared" si="3"/>
        <v>-9.69851751353E-2</v>
      </c>
      <c r="BR11" s="584">
        <f t="shared" si="3"/>
        <v>-0.76641861732670002</v>
      </c>
      <c r="BT11" s="89"/>
      <c r="BV11" s="616" t="s">
        <v>1198</v>
      </c>
      <c r="BW11" s="89">
        <f>FY!G163</f>
        <v>0</v>
      </c>
      <c r="BX11" s="89">
        <f>FY!H163</f>
        <v>12</v>
      </c>
      <c r="BY11" s="89">
        <f>FY!I163</f>
        <v>5.25</v>
      </c>
      <c r="BZ11" s="89">
        <f>FY!J163</f>
        <v>0</v>
      </c>
      <c r="CA11" s="89">
        <f>FY!K163</f>
        <v>0</v>
      </c>
      <c r="CB11" s="89">
        <f>FY!L163</f>
        <v>0</v>
      </c>
      <c r="CC11" s="89"/>
      <c r="CD11" s="579">
        <f t="shared" si="4"/>
        <v>0</v>
      </c>
      <c r="CE11" s="89">
        <v>0</v>
      </c>
      <c r="CF11" s="580" t="s">
        <v>1266</v>
      </c>
      <c r="CG11" s="579">
        <f t="shared" si="5"/>
        <v>0</v>
      </c>
      <c r="CH11" s="580" t="s">
        <v>1266</v>
      </c>
      <c r="CI11" s="579">
        <f t="shared" si="6"/>
        <v>0</v>
      </c>
      <c r="CJ11" s="580" t="s">
        <v>1266</v>
      </c>
      <c r="CK11" s="90"/>
      <c r="CL11" s="87"/>
      <c r="CM11" s="585">
        <f t="shared" si="7"/>
        <v>0</v>
      </c>
      <c r="CO11" s="77" t="s">
        <v>1259</v>
      </c>
      <c r="CP11" s="77" t="s">
        <v>1268</v>
      </c>
      <c r="CQ11" s="78" t="s">
        <v>1261</v>
      </c>
      <c r="CR11" s="582">
        <f>_xll.VAData($AD11,CR$4,$AE11,$AF11)</f>
        <v>0</v>
      </c>
      <c r="CS11" s="582">
        <f>_xll.VAData($AD11,CS$4,$AE11,$AF11)</f>
        <v>12</v>
      </c>
      <c r="CT11" s="582">
        <f>_xll.VAData($AD11,CT$4,$AE11,$AF11)</f>
        <v>5.25</v>
      </c>
      <c r="CU11" s="582">
        <f>_xll.VAData($AD11,CU$4,$AE11,$AF11)</f>
        <v>0</v>
      </c>
      <c r="CV11" s="582">
        <f>_xll.VAData($AD11,CV$4,$AE11,$AF11)</f>
        <v>0</v>
      </c>
      <c r="CW11" s="582">
        <f>_xll.VAData($AD11,CW$4,$AE11,$AF11)</f>
        <v>0</v>
      </c>
      <c r="CX11" s="583"/>
      <c r="CY11" s="581">
        <v>0</v>
      </c>
      <c r="CZ11" s="581">
        <v>12</v>
      </c>
      <c r="DA11" s="581">
        <v>5.25</v>
      </c>
      <c r="DB11" s="581">
        <v>0</v>
      </c>
      <c r="DC11" s="581">
        <v>0</v>
      </c>
      <c r="DD11" s="581">
        <v>1.2740925084807</v>
      </c>
      <c r="DE11" s="583"/>
      <c r="DF11" s="584">
        <f t="shared" si="8"/>
        <v>0</v>
      </c>
      <c r="DG11" s="584">
        <f t="shared" si="8"/>
        <v>0</v>
      </c>
      <c r="DH11" s="584">
        <f t="shared" si="8"/>
        <v>0</v>
      </c>
      <c r="DI11" s="584">
        <f t="shared" si="8"/>
        <v>0</v>
      </c>
      <c r="DJ11" s="584">
        <f t="shared" si="8"/>
        <v>0</v>
      </c>
      <c r="DK11" s="584">
        <f t="shared" si="8"/>
        <v>-1.2740925084807</v>
      </c>
    </row>
    <row r="12" spans="1:115">
      <c r="C12" s="88"/>
      <c r="D12" s="89"/>
      <c r="E12" s="89"/>
      <c r="F12" s="89"/>
      <c r="G12" s="89"/>
      <c r="H12" s="89"/>
      <c r="I12" s="89"/>
      <c r="J12" s="89"/>
      <c r="K12" s="89"/>
      <c r="L12" s="89"/>
      <c r="M12" s="89"/>
      <c r="N12" s="89"/>
      <c r="O12" s="89"/>
      <c r="P12" s="89"/>
      <c r="Q12" s="579"/>
      <c r="R12" s="89"/>
      <c r="S12" s="580"/>
      <c r="T12" s="579"/>
      <c r="U12" s="580"/>
      <c r="V12" s="579"/>
      <c r="W12" s="580"/>
      <c r="X12" s="90"/>
      <c r="Y12" s="87"/>
      <c r="Z12" s="87"/>
      <c r="AA12" s="87"/>
      <c r="AB12" s="586"/>
      <c r="AT12" s="586"/>
      <c r="AU12" s="586"/>
      <c r="AV12" s="586"/>
      <c r="AW12" s="586"/>
      <c r="AX12" s="586"/>
      <c r="AY12" s="586"/>
      <c r="AZ12" s="586"/>
      <c r="BA12" s="586"/>
      <c r="BB12" s="586"/>
      <c r="BC12" s="586"/>
      <c r="BD12" s="586"/>
      <c r="BE12" s="586"/>
      <c r="BG12" s="586"/>
      <c r="BH12" s="586"/>
      <c r="BI12" s="586"/>
      <c r="BJ12" s="586"/>
      <c r="BK12" s="586"/>
      <c r="BL12" s="586"/>
      <c r="BM12" s="586"/>
      <c r="BN12" s="586"/>
      <c r="BO12" s="586"/>
      <c r="BP12" s="586"/>
      <c r="BQ12" s="586"/>
      <c r="BR12" s="586"/>
      <c r="BV12" s="88"/>
      <c r="BW12" s="89"/>
      <c r="BX12" s="89"/>
      <c r="BY12" s="89"/>
      <c r="BZ12" s="89"/>
      <c r="CA12" s="89"/>
      <c r="CB12" s="89"/>
      <c r="CC12" s="89"/>
      <c r="CD12" s="89"/>
      <c r="CE12" s="89"/>
      <c r="CF12" s="90"/>
      <c r="CG12" s="89"/>
      <c r="CH12" s="90"/>
      <c r="CI12" s="89"/>
      <c r="CJ12" s="90"/>
      <c r="CK12" s="90"/>
      <c r="CL12" s="87"/>
      <c r="CM12" s="586"/>
      <c r="CY12" s="586"/>
      <c r="CZ12" s="586"/>
      <c r="DA12" s="586"/>
      <c r="DB12" s="586"/>
      <c r="DC12" s="586"/>
      <c r="DD12" s="586"/>
      <c r="DF12" s="586"/>
      <c r="DG12" s="586"/>
      <c r="DH12" s="586"/>
      <c r="DI12" s="586"/>
      <c r="DJ12" s="586"/>
      <c r="DK12" s="586"/>
    </row>
    <row r="13" spans="1:115" hidden="1" outlineLevel="1">
      <c r="C13" s="85" t="s">
        <v>1269</v>
      </c>
      <c r="D13" s="84"/>
      <c r="E13" s="84"/>
      <c r="F13" s="84"/>
      <c r="G13" s="84"/>
      <c r="H13" s="84"/>
      <c r="I13" s="84"/>
      <c r="J13" s="84"/>
      <c r="K13" s="84"/>
      <c r="L13" s="84"/>
      <c r="M13" s="84"/>
      <c r="N13" s="84"/>
      <c r="O13" s="84"/>
      <c r="P13" s="84"/>
      <c r="Q13" s="577"/>
      <c r="R13" s="84"/>
      <c r="S13" s="578"/>
      <c r="T13" s="577"/>
      <c r="U13" s="578"/>
      <c r="V13" s="577"/>
      <c r="W13" s="578"/>
      <c r="X13" s="84"/>
      <c r="AD13" s="67"/>
      <c r="AE13" s="67"/>
      <c r="AF13" s="67"/>
      <c r="BG13" s="586"/>
      <c r="BH13" s="586"/>
      <c r="BV13" s="85" t="s">
        <v>1269</v>
      </c>
      <c r="BW13" s="84"/>
      <c r="BX13" s="84"/>
      <c r="BY13" s="84"/>
      <c r="BZ13" s="84"/>
      <c r="CA13" s="84"/>
      <c r="CB13" s="84"/>
      <c r="CC13" s="84"/>
      <c r="CD13" s="577"/>
      <c r="CE13" s="84"/>
      <c r="CF13" s="578"/>
      <c r="CG13" s="577"/>
      <c r="CH13" s="578"/>
      <c r="CI13" s="577"/>
      <c r="CJ13" s="578"/>
      <c r="CK13" s="84"/>
      <c r="CO13" s="67"/>
      <c r="CP13" s="67"/>
      <c r="CQ13" s="67"/>
    </row>
    <row r="14" spans="1:115" hidden="1" outlineLevel="1">
      <c r="A14" s="605"/>
      <c r="C14" s="88" t="s">
        <v>273</v>
      </c>
      <c r="D14" s="89"/>
      <c r="E14" s="89"/>
      <c r="F14" s="89">
        <f>HY!O356</f>
        <v>462.6</v>
      </c>
      <c r="G14" s="89">
        <f>HY!P356</f>
        <v>463.6</v>
      </c>
      <c r="H14" s="89">
        <f>HY!Q356</f>
        <v>445.2</v>
      </c>
      <c r="I14" s="89">
        <f>HY!R356</f>
        <v>483.3</v>
      </c>
      <c r="J14" s="89">
        <f>HY!S356</f>
        <v>422</v>
      </c>
      <c r="K14" s="89">
        <f>HY!T356</f>
        <v>403.20000000000005</v>
      </c>
      <c r="L14" s="89">
        <f>HY!U356</f>
        <v>411.7</v>
      </c>
      <c r="M14" s="89">
        <f>HY!V356</f>
        <v>467.2</v>
      </c>
      <c r="N14" s="89">
        <f>HY!W356</f>
        <v>419.565</v>
      </c>
      <c r="O14" s="89">
        <f>HY!X356</f>
        <v>421.36900000000003</v>
      </c>
      <c r="P14" s="89"/>
      <c r="Q14" s="579">
        <f>J14</f>
        <v>422</v>
      </c>
      <c r="R14" s="89"/>
      <c r="S14" s="580">
        <f>R14/Q14-1</f>
        <v>-1</v>
      </c>
      <c r="T14" s="579">
        <f>L14</f>
        <v>411.7</v>
      </c>
      <c r="U14" s="580">
        <f>$R14/T14-1</f>
        <v>-1</v>
      </c>
      <c r="V14" s="579">
        <f>AB14</f>
        <v>391.40875999999997</v>
      </c>
      <c r="W14" s="580">
        <f>$R14/V14-1</f>
        <v>-1</v>
      </c>
      <c r="X14" s="90"/>
      <c r="Y14" s="87"/>
      <c r="Z14" s="87"/>
      <c r="AA14" s="87"/>
      <c r="AB14" s="585">
        <f>BB14</f>
        <v>391.40875999999997</v>
      </c>
      <c r="AD14" s="77" t="s">
        <v>1259</v>
      </c>
      <c r="AE14" s="77" t="s">
        <v>1160</v>
      </c>
      <c r="AF14" s="78" t="s">
        <v>1261</v>
      </c>
      <c r="AG14" s="582">
        <f>_xll.VAData($AD14,AG$4,$AE14,$AF14)</f>
        <v>289.8</v>
      </c>
      <c r="AH14" s="582">
        <f>_xll.VAData($AD14,AH$4,$AE14,$AF14)</f>
        <v>349.2</v>
      </c>
      <c r="AI14" s="582">
        <f>_xll.VAData($AD14,AI$4,$AE14,$AF14)</f>
        <v>462.6</v>
      </c>
      <c r="AJ14" s="582">
        <f>_xll.VAData($AD14,AJ$4,$AE14,$AF14)</f>
        <v>463.6</v>
      </c>
      <c r="AK14" s="582">
        <f>_xll.VAData($AD14,AK$4,$AE14,$AF14)</f>
        <v>445.2</v>
      </c>
      <c r="AL14" s="582">
        <f>_xll.VAData($AD14,AL$4,$AE14,$AF14)</f>
        <v>483.3</v>
      </c>
      <c r="AM14" s="582">
        <f>_xll.VAData($AD14,AM$4,$AE14,$AF14)</f>
        <v>422</v>
      </c>
      <c r="AN14" s="582">
        <f>_xll.VAData($AD14,AN$4,$AE14,$AF14)</f>
        <v>403.2</v>
      </c>
      <c r="AO14" s="582">
        <f>_xll.VAData($AD14,AO$4,$AE14,$AF14)</f>
        <v>411.7</v>
      </c>
      <c r="AP14" s="582">
        <f>_xll.VAData($AD14,AP$4,$AE14,$AF14)</f>
        <v>467.2</v>
      </c>
      <c r="AQ14" s="582">
        <f>_xll.VAData($AD14,AQ$4,$AE14,$AF14)</f>
        <v>419.565</v>
      </c>
      <c r="AR14" s="582">
        <f>_xll.VAData($AD14,AR$4,$AE14,$AF14)</f>
        <v>421.36900000000003</v>
      </c>
      <c r="AS14" s="583"/>
      <c r="AT14" s="581">
        <v>289.8</v>
      </c>
      <c r="AU14" s="581">
        <v>349.2</v>
      </c>
      <c r="AV14" s="581">
        <v>462.6</v>
      </c>
      <c r="AW14" s="581">
        <v>463.6</v>
      </c>
      <c r="AX14" s="581">
        <v>445.2</v>
      </c>
      <c r="AY14" s="581">
        <v>483.3</v>
      </c>
      <c r="AZ14" s="581">
        <v>422</v>
      </c>
      <c r="BA14" s="581">
        <v>403.2</v>
      </c>
      <c r="BB14" s="581">
        <v>391.40875999999997</v>
      </c>
      <c r="BC14" s="581">
        <v>404.70454999999998</v>
      </c>
      <c r="BD14" s="581">
        <v>426.3092504</v>
      </c>
      <c r="BE14" s="581">
        <v>441.15810699999997</v>
      </c>
      <c r="BF14" s="583"/>
      <c r="BG14" s="586"/>
      <c r="BH14" s="586"/>
      <c r="BI14" s="584">
        <f t="shared" ref="BI14:BR18" si="9">F14-AV14</f>
        <v>0</v>
      </c>
      <c r="BJ14" s="584">
        <f t="shared" si="9"/>
        <v>0</v>
      </c>
      <c r="BK14" s="584">
        <f t="shared" si="9"/>
        <v>0</v>
      </c>
      <c r="BL14" s="584">
        <f t="shared" si="9"/>
        <v>0</v>
      </c>
      <c r="BM14" s="584">
        <f t="shared" si="9"/>
        <v>0</v>
      </c>
      <c r="BN14" s="584">
        <f t="shared" si="9"/>
        <v>0</v>
      </c>
      <c r="BO14" s="584">
        <f t="shared" si="9"/>
        <v>20.291240000000016</v>
      </c>
      <c r="BP14" s="584">
        <f t="shared" si="9"/>
        <v>62.495450000000005</v>
      </c>
      <c r="BQ14" s="584">
        <f t="shared" si="9"/>
        <v>-6.7442503999999985</v>
      </c>
      <c r="BR14" s="584">
        <f t="shared" si="9"/>
        <v>-19.789106999999944</v>
      </c>
      <c r="BT14" s="89"/>
      <c r="BV14" s="88" t="s">
        <v>273</v>
      </c>
      <c r="BW14" s="89"/>
      <c r="BX14" s="89"/>
      <c r="BY14" s="89"/>
      <c r="BZ14" s="89"/>
      <c r="CA14" s="89"/>
      <c r="CB14" s="89"/>
      <c r="CC14" s="89"/>
      <c r="CD14" s="579">
        <f>BZ14</f>
        <v>0</v>
      </c>
      <c r="CE14" s="89"/>
      <c r="CF14" s="580" t="e">
        <f>CE14/CD14-1</f>
        <v>#DIV/0!</v>
      </c>
      <c r="CG14" s="579">
        <f>CA14</f>
        <v>0</v>
      </c>
      <c r="CH14" s="580" t="e">
        <f>$CE14/CG14-1</f>
        <v>#DIV/0!</v>
      </c>
      <c r="CI14" s="579">
        <f>CM14</f>
        <v>831.03511666666645</v>
      </c>
      <c r="CJ14" s="580">
        <f>$CE14/CI14-1</f>
        <v>-1</v>
      </c>
      <c r="CK14" s="90"/>
      <c r="CL14" s="87"/>
      <c r="CM14" s="585">
        <f>DC14</f>
        <v>831.03511666666645</v>
      </c>
      <c r="CO14" s="77" t="s">
        <v>1259</v>
      </c>
      <c r="CP14" s="77" t="s">
        <v>1160</v>
      </c>
      <c r="CQ14" s="78" t="s">
        <v>1261</v>
      </c>
      <c r="CR14" s="582">
        <f>_xll.VAData($AD14,CR$4,$AE14,$AF14)</f>
        <v>639</v>
      </c>
      <c r="CS14" s="582">
        <f>_xll.VAData($AD14,CS$4,$AE14,$AF14)</f>
        <v>926.2</v>
      </c>
      <c r="CT14" s="582">
        <f>_xll.VAData($AD14,CT$4,$AE14,$AF14)</f>
        <v>928.5</v>
      </c>
      <c r="CU14" s="582">
        <f>_xll.VAData($AD14,CU$4,$AE14,$AF14)</f>
        <v>825.2</v>
      </c>
      <c r="CV14" s="582">
        <f>_xll.VAData($AD14,CV$4,$AE14,$AF14)</f>
        <v>878.9</v>
      </c>
      <c r="CW14" s="582">
        <f>_xll.VAData($AD14,CW$4,$AE14,$AF14)</f>
        <v>824.16047641074852</v>
      </c>
      <c r="CX14" s="583"/>
      <c r="CY14" s="581">
        <v>639</v>
      </c>
      <c r="CZ14" s="581">
        <v>926.2</v>
      </c>
      <c r="DA14" s="581">
        <v>928.5</v>
      </c>
      <c r="DB14" s="581">
        <v>825.2</v>
      </c>
      <c r="DC14" s="581">
        <v>831.03511666666645</v>
      </c>
      <c r="DD14" s="581">
        <v>865.96228601666655</v>
      </c>
      <c r="DE14" s="583"/>
      <c r="DF14" s="584"/>
      <c r="DG14" s="584">
        <f t="shared" ref="DG14:DK18" si="10">BX14-CZ14</f>
        <v>-926.2</v>
      </c>
      <c r="DH14" s="584">
        <f t="shared" si="10"/>
        <v>-928.5</v>
      </c>
      <c r="DI14" s="584">
        <f t="shared" si="10"/>
        <v>-825.2</v>
      </c>
      <c r="DJ14" s="584">
        <f t="shared" si="10"/>
        <v>-831.03511666666645</v>
      </c>
      <c r="DK14" s="584">
        <f t="shared" si="10"/>
        <v>-865.96228601666655</v>
      </c>
    </row>
    <row r="15" spans="1:115" hidden="1" outlineLevel="1">
      <c r="A15" s="605"/>
      <c r="C15" s="88" t="s">
        <v>26</v>
      </c>
      <c r="D15" s="89"/>
      <c r="E15" s="89"/>
      <c r="F15" s="89" t="e">
        <f>HY!#REF!</f>
        <v>#REF!</v>
      </c>
      <c r="G15" s="89" t="e">
        <f>HY!#REF!</f>
        <v>#REF!</v>
      </c>
      <c r="H15" s="89" t="e">
        <f>HY!#REF!</f>
        <v>#REF!</v>
      </c>
      <c r="I15" s="89" t="e">
        <f>HY!#REF!</f>
        <v>#REF!</v>
      </c>
      <c r="J15" s="89" t="e">
        <f>HY!#REF!</f>
        <v>#REF!</v>
      </c>
      <c r="K15" s="89" t="e">
        <f>HY!#REF!</f>
        <v>#REF!</v>
      </c>
      <c r="L15" s="89" t="e">
        <f>HY!#REF!</f>
        <v>#REF!</v>
      </c>
      <c r="M15" s="89" t="e">
        <f>HY!#REF!</f>
        <v>#REF!</v>
      </c>
      <c r="N15" s="89" t="e">
        <f>HY!#REF!</f>
        <v>#REF!</v>
      </c>
      <c r="O15" s="89" t="e">
        <f>HY!#REF!</f>
        <v>#REF!</v>
      </c>
      <c r="P15" s="89"/>
      <c r="Q15" s="579" t="e">
        <f>J15</f>
        <v>#REF!</v>
      </c>
      <c r="R15" s="89"/>
      <c r="S15" s="580" t="e">
        <f>R15/Q15-1</f>
        <v>#REF!</v>
      </c>
      <c r="T15" s="579" t="e">
        <f>L15</f>
        <v>#REF!</v>
      </c>
      <c r="U15" s="580" t="e">
        <f>$R15/T15-1</f>
        <v>#REF!</v>
      </c>
      <c r="V15" s="579">
        <f>AB15</f>
        <v>48.042084034618803</v>
      </c>
      <c r="W15" s="580">
        <f>$R15/V15-1</f>
        <v>-1</v>
      </c>
      <c r="X15" s="90"/>
      <c r="Y15" s="87"/>
      <c r="Z15" s="87"/>
      <c r="AA15" s="87"/>
      <c r="AB15" s="585">
        <f>BB15</f>
        <v>48.042084034618803</v>
      </c>
      <c r="AD15" s="77" t="s">
        <v>1259</v>
      </c>
      <c r="AE15" s="77" t="s">
        <v>26</v>
      </c>
      <c r="AF15" s="78" t="s">
        <v>1261</v>
      </c>
      <c r="AG15" s="582">
        <f>_xll.VAData($AD15,AG$4,$AE15,$AF15)</f>
        <v>20.399999999999999</v>
      </c>
      <c r="AH15" s="582">
        <f>_xll.VAData($AD15,AH$4,$AE15,$AF15)</f>
        <v>76.5</v>
      </c>
      <c r="AI15" s="582">
        <f>_xll.VAData($AD15,AI$4,$AE15,$AF15)</f>
        <v>106.34</v>
      </c>
      <c r="AJ15" s="582">
        <f>_xll.VAData($AD15,AJ$4,$AE15,$AF15)</f>
        <v>59.558999999999997</v>
      </c>
      <c r="AK15" s="582">
        <f>_xll.VAData($AD15,AK$4,$AE15,$AF15)</f>
        <v>100.99</v>
      </c>
      <c r="AL15" s="582">
        <f>_xll.VAData($AD15,AL$4,$AE15,$AF15)</f>
        <v>37.167000000000002</v>
      </c>
      <c r="AM15" s="582">
        <f>_xll.VAData($AD15,AM$4,$AE15,$AF15)</f>
        <v>113.084</v>
      </c>
      <c r="AN15" s="582">
        <f>_xll.VAData($AD15,AN$4,$AE15,$AF15)</f>
        <v>103.011</v>
      </c>
      <c r="AO15" s="582">
        <f>_xll.VAData($AD15,AO$4,$AE15,$AF15)</f>
        <v>72.084999999999994</v>
      </c>
      <c r="AP15" s="582">
        <f>_xll.VAData($AD15,AP$4,$AE15,$AF15)</f>
        <v>48.389000000000003</v>
      </c>
      <c r="AQ15" s="582">
        <f>_xll.VAData($AD15,AQ$4,$AE15,$AF15)</f>
        <v>77.135632000000001</v>
      </c>
      <c r="AR15" s="582">
        <f>_xll.VAData($AD15,AR$4,$AE15,$AF15)</f>
        <v>84.050503199999994</v>
      </c>
      <c r="AS15" s="583"/>
      <c r="AT15" s="581">
        <v>20.399999999999999</v>
      </c>
      <c r="AU15" s="581">
        <v>76.5</v>
      </c>
      <c r="AV15" s="581">
        <v>106.34</v>
      </c>
      <c r="AW15" s="581">
        <v>59.558999999999997</v>
      </c>
      <c r="AX15" s="581">
        <v>100.99</v>
      </c>
      <c r="AY15" s="581">
        <v>37.167000000000002</v>
      </c>
      <c r="AZ15" s="581">
        <v>113.084</v>
      </c>
      <c r="BA15" s="581">
        <v>103.011</v>
      </c>
      <c r="BB15" s="581">
        <v>48.042084034618803</v>
      </c>
      <c r="BC15" s="581">
        <v>99.040578224017949</v>
      </c>
      <c r="BD15" s="581">
        <v>103.68747603712001</v>
      </c>
      <c r="BE15" s="581">
        <v>118.4595935796</v>
      </c>
      <c r="BF15" s="583"/>
      <c r="BG15" s="586"/>
      <c r="BH15" s="586"/>
      <c r="BI15" s="584" t="e">
        <f t="shared" si="9"/>
        <v>#REF!</v>
      </c>
      <c r="BJ15" s="584" t="e">
        <f t="shared" si="9"/>
        <v>#REF!</v>
      </c>
      <c r="BK15" s="584" t="e">
        <f t="shared" si="9"/>
        <v>#REF!</v>
      </c>
      <c r="BL15" s="584" t="e">
        <f t="shared" si="9"/>
        <v>#REF!</v>
      </c>
      <c r="BM15" s="584" t="e">
        <f t="shared" si="9"/>
        <v>#REF!</v>
      </c>
      <c r="BN15" s="584" t="e">
        <f t="shared" si="9"/>
        <v>#REF!</v>
      </c>
      <c r="BO15" s="584" t="e">
        <f t="shared" si="9"/>
        <v>#REF!</v>
      </c>
      <c r="BP15" s="584" t="e">
        <f t="shared" si="9"/>
        <v>#REF!</v>
      </c>
      <c r="BQ15" s="584" t="e">
        <f t="shared" si="9"/>
        <v>#REF!</v>
      </c>
      <c r="BR15" s="584" t="e">
        <f t="shared" si="9"/>
        <v>#REF!</v>
      </c>
      <c r="BT15" s="89"/>
      <c r="BV15" s="88" t="s">
        <v>26</v>
      </c>
      <c r="BW15" s="89"/>
      <c r="BX15" s="89"/>
      <c r="BY15" s="89"/>
      <c r="BZ15" s="89"/>
      <c r="CA15" s="89"/>
      <c r="CB15" s="89"/>
      <c r="CC15" s="89"/>
      <c r="CD15" s="579">
        <f>BZ15</f>
        <v>0</v>
      </c>
      <c r="CE15" s="89"/>
      <c r="CF15" s="580" t="e">
        <f>CE15/CD15-1</f>
        <v>#DIV/0!</v>
      </c>
      <c r="CG15" s="579">
        <f>CA15</f>
        <v>0</v>
      </c>
      <c r="CH15" s="580" t="e">
        <f>$CE15/CG15-1</f>
        <v>#DIV/0!</v>
      </c>
      <c r="CI15" s="579">
        <f>CM15</f>
        <v>149.96293208820069</v>
      </c>
      <c r="CJ15" s="580">
        <f>$CE15/CI15-1</f>
        <v>-1</v>
      </c>
      <c r="CK15" s="90"/>
      <c r="CL15" s="87"/>
      <c r="CM15" s="585">
        <f>DC15</f>
        <v>149.96293208820069</v>
      </c>
      <c r="CO15" s="77" t="s">
        <v>1259</v>
      </c>
      <c r="CP15" s="77" t="s">
        <v>26</v>
      </c>
      <c r="CQ15" s="78" t="s">
        <v>1261</v>
      </c>
      <c r="CR15" s="582">
        <f>_xll.VAData($AD15,CR$4,$AE15,$AF15)</f>
        <v>96.9</v>
      </c>
      <c r="CS15" s="582">
        <f>_xll.VAData($AD15,CS$4,$AE15,$AF15)</f>
        <v>165.899</v>
      </c>
      <c r="CT15" s="582">
        <f>_xll.VAData($AD15,CT$4,$AE15,$AF15)</f>
        <v>138.15700000000001</v>
      </c>
      <c r="CU15" s="582">
        <f>_xll.VAData($AD15,CU$4,$AE15,$AF15)</f>
        <v>216.095</v>
      </c>
      <c r="CV15" s="582">
        <f>_xll.VAData($AD15,CV$4,$AE15,$AF15)</f>
        <v>120.474</v>
      </c>
      <c r="CW15" s="582">
        <f>_xll.VAData($AD15,CW$4,$AE15,$AF15)</f>
        <v>158.87317327936134</v>
      </c>
      <c r="CX15" s="583"/>
      <c r="CY15" s="581">
        <v>96.9</v>
      </c>
      <c r="CZ15" s="581">
        <v>165.899</v>
      </c>
      <c r="DA15" s="581">
        <v>138.15700000000001</v>
      </c>
      <c r="DB15" s="581">
        <v>216.095</v>
      </c>
      <c r="DC15" s="581">
        <v>149.96293208820069</v>
      </c>
      <c r="DD15" s="581">
        <v>174.81695192828431</v>
      </c>
      <c r="DE15" s="583"/>
      <c r="DF15" s="584"/>
      <c r="DG15" s="584">
        <f t="shared" si="10"/>
        <v>-165.899</v>
      </c>
      <c r="DH15" s="584">
        <f t="shared" si="10"/>
        <v>-138.15700000000001</v>
      </c>
      <c r="DI15" s="584">
        <f t="shared" si="10"/>
        <v>-216.095</v>
      </c>
      <c r="DJ15" s="584">
        <f t="shared" si="10"/>
        <v>-149.96293208820069</v>
      </c>
      <c r="DK15" s="584">
        <f t="shared" si="10"/>
        <v>-174.81695192828431</v>
      </c>
    </row>
    <row r="16" spans="1:115" hidden="1" outlineLevel="2">
      <c r="A16" s="605"/>
      <c r="C16" s="88" t="s">
        <v>128</v>
      </c>
      <c r="D16" s="89"/>
      <c r="E16" s="89"/>
      <c r="F16" s="89" t="e">
        <f>HY!#REF!</f>
        <v>#REF!</v>
      </c>
      <c r="G16" s="89" t="e">
        <f>HY!#REF!</f>
        <v>#REF!</v>
      </c>
      <c r="H16" s="89" t="e">
        <f>HY!#REF!</f>
        <v>#REF!</v>
      </c>
      <c r="I16" s="89" t="e">
        <f>HY!#REF!</f>
        <v>#REF!</v>
      </c>
      <c r="J16" s="89" t="e">
        <f>HY!#REF!</f>
        <v>#REF!</v>
      </c>
      <c r="K16" s="89" t="e">
        <f>HY!#REF!</f>
        <v>#REF!</v>
      </c>
      <c r="L16" s="89" t="e">
        <f>HY!#REF!</f>
        <v>#REF!</v>
      </c>
      <c r="M16" s="89" t="e">
        <f>HY!#REF!</f>
        <v>#REF!</v>
      </c>
      <c r="N16" s="89" t="e">
        <f>HY!#REF!</f>
        <v>#REF!</v>
      </c>
      <c r="O16" s="89" t="e">
        <f>HY!#REF!</f>
        <v>#REF!</v>
      </c>
      <c r="P16" s="89"/>
      <c r="Q16" s="579" t="e">
        <f>J16</f>
        <v>#REF!</v>
      </c>
      <c r="R16" s="89"/>
      <c r="S16" s="580" t="e">
        <f>R16/Q16-1</f>
        <v>#REF!</v>
      </c>
      <c r="T16" s="579" t="e">
        <f>L16</f>
        <v>#REF!</v>
      </c>
      <c r="U16" s="580" t="e">
        <f>$R16/T16-1</f>
        <v>#REF!</v>
      </c>
      <c r="V16" s="579">
        <f>AB16</f>
        <v>-4.7813366867602003</v>
      </c>
      <c r="W16" s="580">
        <f>$R16/V16-1</f>
        <v>-1</v>
      </c>
      <c r="X16" s="90"/>
      <c r="Y16" s="87"/>
      <c r="Z16" s="87"/>
      <c r="AA16" s="87"/>
      <c r="AB16" s="585">
        <f>BB16</f>
        <v>-4.7813366867602003</v>
      </c>
      <c r="AD16" s="77" t="s">
        <v>1259</v>
      </c>
      <c r="AE16" s="77" t="s">
        <v>1270</v>
      </c>
      <c r="AF16" s="78" t="s">
        <v>1261</v>
      </c>
      <c r="AG16" s="582">
        <f>_xll.VAData($AD16,AG$4,$AE16,$AF16)</f>
        <v>-27.4</v>
      </c>
      <c r="AH16" s="582">
        <f>_xll.VAData($AD16,AH$4,$AE16,$AF16)</f>
        <v>29.68</v>
      </c>
      <c r="AI16" s="582">
        <f>_xll.VAData($AD16,AI$4,$AE16,$AF16)</f>
        <v>60.9</v>
      </c>
      <c r="AJ16" s="582">
        <f>_xll.VAData($AD16,AJ$4,$AE16,$AF16)</f>
        <v>14.351000000000001</v>
      </c>
      <c r="AK16" s="582">
        <f>_xll.VAData($AD16,AK$4,$AE16,$AF16)</f>
        <v>56.7</v>
      </c>
      <c r="AL16" s="582">
        <f>_xll.VAData($AD16,AL$4,$AE16,$AF16)</f>
        <v>-10.5</v>
      </c>
      <c r="AM16" s="582">
        <f>_xll.VAData($AD16,AM$4,$AE16,$AF16)</f>
        <v>67.8</v>
      </c>
      <c r="AN16" s="582">
        <f>_xll.VAData($AD16,AN$4,$AE16,$AF16)</f>
        <v>54.1</v>
      </c>
      <c r="AO16" s="582">
        <f>_xll.VAData($AD16,AO$4,$AE16,$AF16)</f>
        <v>22.2</v>
      </c>
      <c r="AP16" s="582">
        <f>_xll.VAData($AD16,AP$4,$AE16,$AF16)</f>
        <v>-6.8</v>
      </c>
      <c r="AQ16" s="582">
        <f>_xll.VAData($AD16,AQ$4,$AE16,$AF16)</f>
        <v>16.900864922515701</v>
      </c>
      <c r="AR16" s="582">
        <f>_xll.VAData($AD16,AR$4,$AE16,$AF16)</f>
        <v>31.323710342688901</v>
      </c>
      <c r="AS16" s="583"/>
      <c r="AT16" s="581">
        <v>-27.4</v>
      </c>
      <c r="AU16" s="581">
        <v>29.68</v>
      </c>
      <c r="AV16" s="581">
        <v>60.9</v>
      </c>
      <c r="AW16" s="581">
        <v>14.351000000000001</v>
      </c>
      <c r="AX16" s="581">
        <v>56.7</v>
      </c>
      <c r="AY16" s="581">
        <v>-10.5</v>
      </c>
      <c r="AZ16" s="581">
        <v>67.8</v>
      </c>
      <c r="BA16" s="581">
        <v>54.1</v>
      </c>
      <c r="BB16" s="581">
        <v>-4.7813366867602003</v>
      </c>
      <c r="BC16" s="581">
        <v>46.128096802997199</v>
      </c>
      <c r="BD16" s="581">
        <v>50.846733250862201</v>
      </c>
      <c r="BE16" s="581">
        <v>65.959903776347701</v>
      </c>
      <c r="BF16" s="583"/>
      <c r="BG16" s="586"/>
      <c r="BH16" s="586"/>
      <c r="BI16" s="584" t="e">
        <f t="shared" si="9"/>
        <v>#REF!</v>
      </c>
      <c r="BJ16" s="584" t="e">
        <f t="shared" si="9"/>
        <v>#REF!</v>
      </c>
      <c r="BK16" s="584" t="e">
        <f t="shared" si="9"/>
        <v>#REF!</v>
      </c>
      <c r="BL16" s="584" t="e">
        <f t="shared" si="9"/>
        <v>#REF!</v>
      </c>
      <c r="BM16" s="584" t="e">
        <f t="shared" si="9"/>
        <v>#REF!</v>
      </c>
      <c r="BN16" s="584" t="e">
        <f t="shared" si="9"/>
        <v>#REF!</v>
      </c>
      <c r="BO16" s="584" t="e">
        <f t="shared" si="9"/>
        <v>#REF!</v>
      </c>
      <c r="BP16" s="584" t="e">
        <f t="shared" si="9"/>
        <v>#REF!</v>
      </c>
      <c r="BQ16" s="584" t="e">
        <f t="shared" si="9"/>
        <v>#REF!</v>
      </c>
      <c r="BR16" s="584" t="e">
        <f t="shared" si="9"/>
        <v>#REF!</v>
      </c>
      <c r="BT16" s="89"/>
      <c r="BV16" s="88" t="s">
        <v>128</v>
      </c>
      <c r="BW16" s="89"/>
      <c r="BX16" s="89"/>
      <c r="BY16" s="89"/>
      <c r="BZ16" s="89"/>
      <c r="CA16" s="89"/>
      <c r="CB16" s="89"/>
      <c r="CC16" s="89"/>
      <c r="CD16" s="579">
        <f>BZ16</f>
        <v>0</v>
      </c>
      <c r="CE16" s="89"/>
      <c r="CF16" s="580" t="e">
        <f>CE16/CD16-1</f>
        <v>#DIV/0!</v>
      </c>
      <c r="CG16" s="579">
        <f>CA16</f>
        <v>0</v>
      </c>
      <c r="CH16" s="580" t="e">
        <f>$CE16/CG16-1</f>
        <v>#DIV/0!</v>
      </c>
      <c r="CI16" s="579">
        <f>CM16</f>
        <v>43.313477060985157</v>
      </c>
      <c r="CJ16" s="580">
        <f>$CE16/CI16-1</f>
        <v>-1</v>
      </c>
      <c r="CK16" s="90"/>
      <c r="CL16" s="87"/>
      <c r="CM16" s="585">
        <f>DC16</f>
        <v>43.313477060985157</v>
      </c>
      <c r="CO16" s="77" t="s">
        <v>1259</v>
      </c>
      <c r="CP16" s="77" t="s">
        <v>1270</v>
      </c>
      <c r="CQ16" s="78" t="s">
        <v>1261</v>
      </c>
      <c r="CR16" s="582">
        <f>_xll.VAData($AD16,CR$4,$AE16,$AF16)</f>
        <v>2.2999999999999998</v>
      </c>
      <c r="CS16" s="582">
        <f>_xll.VAData($AD16,CS$4,$AE16,$AF16)</f>
        <v>75.2</v>
      </c>
      <c r="CT16" s="582">
        <f>_xll.VAData($AD16,CT$4,$AE16,$AF16)</f>
        <v>46.2</v>
      </c>
      <c r="CU16" s="582">
        <f>_xll.VAData($AD16,CU$4,$AE16,$AF16)</f>
        <v>121.9</v>
      </c>
      <c r="CV16" s="582">
        <f>_xll.VAData($AD16,CV$4,$AE16,$AF16)</f>
        <v>15.4</v>
      </c>
      <c r="CW16" s="582">
        <f>_xll.VAData($AD16,CW$4,$AE16,$AF16)</f>
        <v>41.524461426096202</v>
      </c>
      <c r="CX16" s="583"/>
      <c r="CY16" s="581">
        <v>2.2999999999999998</v>
      </c>
      <c r="CZ16" s="581">
        <v>75.2</v>
      </c>
      <c r="DA16" s="581">
        <v>46.2</v>
      </c>
      <c r="DB16" s="581">
        <v>121.9</v>
      </c>
      <c r="DC16" s="581">
        <v>43.313477060985157</v>
      </c>
      <c r="DD16" s="581">
        <v>58.42340841357327</v>
      </c>
      <c r="DE16" s="583"/>
      <c r="DF16" s="584"/>
      <c r="DG16" s="584">
        <f t="shared" si="10"/>
        <v>-75.2</v>
      </c>
      <c r="DH16" s="584">
        <f t="shared" si="10"/>
        <v>-46.2</v>
      </c>
      <c r="DI16" s="584">
        <f t="shared" si="10"/>
        <v>-121.9</v>
      </c>
      <c r="DJ16" s="584">
        <f t="shared" si="10"/>
        <v>-43.313477060985157</v>
      </c>
      <c r="DK16" s="584">
        <f t="shared" si="10"/>
        <v>-58.42340841357327</v>
      </c>
    </row>
    <row r="17" spans="1:115" hidden="1" outlineLevel="1">
      <c r="A17" s="605"/>
      <c r="C17" s="88" t="s">
        <v>283</v>
      </c>
      <c r="D17" s="89"/>
      <c r="E17" s="89"/>
      <c r="F17" s="89">
        <f>HY!O368</f>
        <v>22.8</v>
      </c>
      <c r="G17" s="89">
        <f>HY!P368</f>
        <v>-14.825000000000001</v>
      </c>
      <c r="H17" s="89">
        <f>HY!Q368</f>
        <v>22.5</v>
      </c>
      <c r="I17" s="89">
        <f>HY!R368</f>
        <v>-165.8</v>
      </c>
      <c r="J17" s="89">
        <f>HY!S368</f>
        <v>6.1</v>
      </c>
      <c r="K17" s="89">
        <f>HY!T368</f>
        <v>23.1</v>
      </c>
      <c r="L17" s="89">
        <f>HY!U368</f>
        <v>12.1</v>
      </c>
      <c r="M17" s="89">
        <f>HY!V368</f>
        <v>6.1</v>
      </c>
      <c r="N17" s="89">
        <f>HY!W368</f>
        <v>-27.579991419992471</v>
      </c>
      <c r="O17" s="89">
        <f>HY!X368</f>
        <v>11.030314271929804</v>
      </c>
      <c r="P17" s="89"/>
      <c r="Q17" s="579">
        <f>J17</f>
        <v>6.1</v>
      </c>
      <c r="R17" s="89"/>
      <c r="S17" s="580">
        <f>R17/Q17-1</f>
        <v>-1</v>
      </c>
      <c r="T17" s="579">
        <f>L17</f>
        <v>12.1</v>
      </c>
      <c r="U17" s="580">
        <f>$R17/T17-1</f>
        <v>-1</v>
      </c>
      <c r="V17" s="579">
        <f>AB17</f>
        <v>-8.8603279400082098</v>
      </c>
      <c r="W17" s="580">
        <f>$R17/V17-1</f>
        <v>-1</v>
      </c>
      <c r="X17" s="90"/>
      <c r="Y17" s="87"/>
      <c r="Z17" s="87"/>
      <c r="AA17" s="87"/>
      <c r="AB17" s="585">
        <f>BB17</f>
        <v>-8.8603279400082098</v>
      </c>
      <c r="AD17" s="77" t="s">
        <v>1259</v>
      </c>
      <c r="AE17" s="77" t="s">
        <v>1271</v>
      </c>
      <c r="AF17" s="78" t="s">
        <v>1261</v>
      </c>
      <c r="AG17" s="582">
        <f>_xll.VAData($AD17,AG$4,$AE17,$AF17)</f>
        <v>-33.700000000000003</v>
      </c>
      <c r="AH17" s="582">
        <f>_xll.VAData($AD17,AH$4,$AE17,$AF17)</f>
        <v>0.1</v>
      </c>
      <c r="AI17" s="582">
        <f>_xll.VAData($AD17,AI$4,$AE17,$AF17)</f>
        <v>22.8</v>
      </c>
      <c r="AJ17" s="582">
        <f>_xll.VAData($AD17,AJ$4,$AE17,$AF17)</f>
        <v>-14.8</v>
      </c>
      <c r="AK17" s="582">
        <f>_xll.VAData($AD17,AK$4,$AE17,$AF17)</f>
        <v>22.5</v>
      </c>
      <c r="AL17" s="582">
        <f>_xll.VAData($AD17,AL$4,$AE17,$AF17)</f>
        <v>-165.8</v>
      </c>
      <c r="AM17" s="582">
        <f>_xll.VAData($AD17,AM$4,$AE17,$AF17)</f>
        <v>6.1110153999999897</v>
      </c>
      <c r="AN17" s="582">
        <f>_xll.VAData($AD17,AN$4,$AE17,$AF17)</f>
        <v>23.1</v>
      </c>
      <c r="AO17" s="582">
        <f>_xll.VAData($AD17,AO$4,$AE17,$AF17)</f>
        <v>12.1</v>
      </c>
      <c r="AP17" s="582">
        <f>_xll.VAData($AD17,AP$4,$AE17,$AF17)</f>
        <v>6.1</v>
      </c>
      <c r="AQ17" s="582">
        <f>_xll.VAData($AD17,AQ$4,$AE17,$AF17)</f>
        <v>72.86716747385131</v>
      </c>
      <c r="AR17" s="582">
        <f>_xll.VAData($AD17,AR$4,$AE17,$AF17)</f>
        <v>4.2131085790809797</v>
      </c>
      <c r="AS17" s="583"/>
      <c r="AT17" s="581">
        <v>-33.700000000000003</v>
      </c>
      <c r="AU17" s="581">
        <v>0.1</v>
      </c>
      <c r="AV17" s="581">
        <v>22.8</v>
      </c>
      <c r="AW17" s="581">
        <v>-14.8</v>
      </c>
      <c r="AX17" s="581">
        <v>22.5</v>
      </c>
      <c r="AY17" s="581">
        <v>-165.8</v>
      </c>
      <c r="AZ17" s="581">
        <v>6.1</v>
      </c>
      <c r="BA17" s="581">
        <v>23.1</v>
      </c>
      <c r="BB17" s="581">
        <v>-8.8603279400082098</v>
      </c>
      <c r="BC17" s="581">
        <v>3.8827136088996852</v>
      </c>
      <c r="BD17" s="581">
        <v>17.02297759995605</v>
      </c>
      <c r="BE17" s="581">
        <v>23.209880571239001</v>
      </c>
      <c r="BF17" s="583"/>
      <c r="BG17" s="586"/>
      <c r="BH17" s="586"/>
      <c r="BI17" s="584">
        <f t="shared" si="9"/>
        <v>0</v>
      </c>
      <c r="BJ17" s="584">
        <f t="shared" si="9"/>
        <v>-2.5000000000000355E-2</v>
      </c>
      <c r="BK17" s="584">
        <f t="shared" si="9"/>
        <v>0</v>
      </c>
      <c r="BL17" s="584">
        <f t="shared" si="9"/>
        <v>0</v>
      </c>
      <c r="BM17" s="584">
        <f t="shared" si="9"/>
        <v>0</v>
      </c>
      <c r="BN17" s="584">
        <f t="shared" si="9"/>
        <v>0</v>
      </c>
      <c r="BO17" s="584">
        <f t="shared" si="9"/>
        <v>20.960327940008209</v>
      </c>
      <c r="BP17" s="584">
        <f t="shared" si="9"/>
        <v>2.2172863911003144</v>
      </c>
      <c r="BQ17" s="584">
        <f t="shared" si="9"/>
        <v>-44.602969019948517</v>
      </c>
      <c r="BR17" s="584">
        <f t="shared" si="9"/>
        <v>-12.179566299309197</v>
      </c>
      <c r="BT17" s="89"/>
      <c r="BV17" s="88" t="s">
        <v>283</v>
      </c>
      <c r="BW17" s="89"/>
      <c r="BX17" s="89"/>
      <c r="BY17" s="89"/>
      <c r="BZ17" s="89"/>
      <c r="CA17" s="89"/>
      <c r="CB17" s="89"/>
      <c r="CC17" s="89"/>
      <c r="CD17" s="579">
        <f>BZ17</f>
        <v>0</v>
      </c>
      <c r="CE17" s="89"/>
      <c r="CF17" s="580" t="e">
        <f>CE17/CD17-1</f>
        <v>#DIV/0!</v>
      </c>
      <c r="CG17" s="579">
        <f>CA17</f>
        <v>0</v>
      </c>
      <c r="CH17" s="580" t="e">
        <f>$CE17/CG17-1</f>
        <v>#DIV/0!</v>
      </c>
      <c r="CI17" s="579">
        <f>CM17</f>
        <v>7.580336231851752</v>
      </c>
      <c r="CJ17" s="580">
        <f>$CE17/CI17-1</f>
        <v>-1</v>
      </c>
      <c r="CK17" s="90"/>
      <c r="CL17" s="87"/>
      <c r="CM17" s="585">
        <f>DC17</f>
        <v>7.580336231851752</v>
      </c>
      <c r="CO17" s="77" t="s">
        <v>1259</v>
      </c>
      <c r="CP17" s="77" t="s">
        <v>1271</v>
      </c>
      <c r="CQ17" s="78" t="s">
        <v>1261</v>
      </c>
      <c r="CR17" s="582">
        <f>_xll.VAData($AD17,CR$4,$AE17,$AF17)</f>
        <v>-33.594999999999999</v>
      </c>
      <c r="CS17" s="582">
        <f>_xll.VAData($AD17,CS$4,$AE17,$AF17)</f>
        <v>8</v>
      </c>
      <c r="CT17" s="582">
        <f>_xll.VAData($AD17,CT$4,$AE17,$AF17)</f>
        <v>-143.30000000000001</v>
      </c>
      <c r="CU17" s="582">
        <f>_xll.VAData($AD17,CU$4,$AE17,$AF17)</f>
        <v>29.2</v>
      </c>
      <c r="CV17" s="582">
        <f>_xll.VAData($AD17,CV$4,$AE17,$AF17)</f>
        <v>18.2</v>
      </c>
      <c r="CW17" s="582">
        <f>_xll.VAData($AD17,CW$4,$AE17,$AF17)</f>
        <v>38.05251936569573</v>
      </c>
      <c r="CX17" s="583"/>
      <c r="CY17" s="581">
        <v>-33.594999999999999</v>
      </c>
      <c r="CZ17" s="581">
        <v>8</v>
      </c>
      <c r="DA17" s="581">
        <v>-143.30000000000001</v>
      </c>
      <c r="DB17" s="581">
        <v>29.2</v>
      </c>
      <c r="DC17" s="581">
        <v>7.580336231851752</v>
      </c>
      <c r="DD17" s="581">
        <v>25.97953720872043</v>
      </c>
      <c r="DE17" s="583"/>
      <c r="DF17" s="584"/>
      <c r="DG17" s="584">
        <f t="shared" si="10"/>
        <v>-8</v>
      </c>
      <c r="DH17" s="584">
        <f t="shared" si="10"/>
        <v>143.30000000000001</v>
      </c>
      <c r="DI17" s="584">
        <f t="shared" si="10"/>
        <v>-29.2</v>
      </c>
      <c r="DJ17" s="584">
        <f t="shared" si="10"/>
        <v>-7.580336231851752</v>
      </c>
      <c r="DK17" s="584">
        <f t="shared" si="10"/>
        <v>-25.97953720872043</v>
      </c>
    </row>
    <row r="18" spans="1:115" hidden="1" outlineLevel="1">
      <c r="A18" s="605"/>
      <c r="C18" s="88" t="s">
        <v>1207</v>
      </c>
      <c r="D18" s="89"/>
      <c r="E18" s="89"/>
      <c r="F18" s="89">
        <f>HY!O370</f>
        <v>3</v>
      </c>
      <c r="G18" s="89">
        <f>HY!P370</f>
        <v>-1.9</v>
      </c>
      <c r="H18" s="89">
        <f>HY!Q370</f>
        <v>3</v>
      </c>
      <c r="I18" s="89">
        <f>HY!R370</f>
        <v>-1.9</v>
      </c>
      <c r="J18" s="89">
        <f>HY!S370</f>
        <v>3</v>
      </c>
      <c r="K18" s="89">
        <f>HY!T370</f>
        <v>0.89999999999999991</v>
      </c>
      <c r="L18" s="89">
        <f>HY!U370</f>
        <v>1.2</v>
      </c>
      <c r="M18" s="89">
        <f>HY!V370</f>
        <v>0.60000000000000009</v>
      </c>
      <c r="N18" s="89">
        <f>HY!W370</f>
        <v>-2.5003277483750517</v>
      </c>
      <c r="O18" s="89">
        <f>HY!X370</f>
        <v>0.99997858691904462</v>
      </c>
      <c r="P18" s="89"/>
      <c r="Q18" s="579">
        <f>J18</f>
        <v>3</v>
      </c>
      <c r="R18" s="89"/>
      <c r="S18" s="580">
        <f>R18/Q18-1</f>
        <v>-1</v>
      </c>
      <c r="T18" s="579">
        <f>L18</f>
        <v>1.2</v>
      </c>
      <c r="U18" s="580">
        <f>$R18/T18-1</f>
        <v>-1</v>
      </c>
      <c r="V18" s="579">
        <f>AB18</f>
        <v>-1.2256675322387001</v>
      </c>
      <c r="W18" s="580">
        <f>$R18/V18-1</f>
        <v>-1</v>
      </c>
      <c r="X18" s="90"/>
      <c r="Y18" s="87"/>
      <c r="Z18" s="87"/>
      <c r="AA18" s="87"/>
      <c r="AB18" s="585">
        <f>BB18</f>
        <v>-1.2256675322387001</v>
      </c>
      <c r="AD18" s="77" t="s">
        <v>1259</v>
      </c>
      <c r="AE18" s="80" t="s">
        <v>1272</v>
      </c>
      <c r="AF18" s="78" t="s">
        <v>1261</v>
      </c>
      <c r="AG18" s="582">
        <f>_xll.VAData($AD18,AG$4,$AE18,$AF18)</f>
        <v>-4.5</v>
      </c>
      <c r="AH18" s="582" t="str">
        <f>_xll.VAData($AD18,AH$4,$AE18,$AF18)</f>
        <v>-</v>
      </c>
      <c r="AI18" s="582">
        <f>_xll.VAData($AD18,AI$4,$AE18,$AF18)</f>
        <v>2.9991901831338001</v>
      </c>
      <c r="AJ18" s="582">
        <f>_xll.VAData($AD18,AJ$4,$AE18,$AF18)</f>
        <v>-1.9501313361824</v>
      </c>
      <c r="AK18" s="582">
        <f>_xll.VAData($AD18,AK$4,$AE18,$AF18)</f>
        <v>3</v>
      </c>
      <c r="AL18" s="582">
        <f>_xll.VAData($AD18,AL$4,$AE18,$AF18)</f>
        <v>-21.9</v>
      </c>
      <c r="AM18" s="582">
        <f>_xll.VAData($AD18,AM$4,$AE18,$AF18)</f>
        <v>0.8</v>
      </c>
      <c r="AN18" s="582">
        <f>_xll.VAData($AD18,AN$4,$AE18,$AF18)</f>
        <v>3.1</v>
      </c>
      <c r="AO18" s="582">
        <f>_xll.VAData($AD18,AO$4,$AE18,$AF18)</f>
        <v>1.2</v>
      </c>
      <c r="AP18" s="582">
        <f>_xll.VAData($AD18,AP$4,$AE18,$AF18)</f>
        <v>0.6</v>
      </c>
      <c r="AQ18" s="582">
        <f>_xll.VAData($AD18,AQ$4,$AE18,$AF18)</f>
        <v>6.605941169666</v>
      </c>
      <c r="AR18" s="582">
        <f>_xll.VAData($AD18,AR$4,$AE18,$AF18)</f>
        <v>0.57505937150849995</v>
      </c>
      <c r="AS18" s="583"/>
      <c r="AT18" s="581">
        <v>-4.5</v>
      </c>
      <c r="AU18" s="581" t="s">
        <v>967</v>
      </c>
      <c r="AV18" s="581">
        <v>2.9976116619847999</v>
      </c>
      <c r="AW18" s="581">
        <v>-1.9522046716282</v>
      </c>
      <c r="AX18" s="581">
        <v>3</v>
      </c>
      <c r="AY18" s="581">
        <v>-21.9</v>
      </c>
      <c r="AZ18" s="581">
        <v>0.8</v>
      </c>
      <c r="BA18" s="581">
        <v>3.1</v>
      </c>
      <c r="BB18" s="581">
        <v>-1.2256675322387001</v>
      </c>
      <c r="BC18" s="581">
        <v>4.6419995745100001E-2</v>
      </c>
      <c r="BD18" s="581">
        <v>1.5480426150766</v>
      </c>
      <c r="BE18" s="581">
        <v>2.1091099123524</v>
      </c>
      <c r="BF18" s="583"/>
      <c r="BG18" s="586"/>
      <c r="BH18" s="586"/>
      <c r="BI18" s="584">
        <f t="shared" si="9"/>
        <v>2.3883380152001088E-3</v>
      </c>
      <c r="BJ18" s="584">
        <f t="shared" si="9"/>
        <v>5.2204671628200083E-2</v>
      </c>
      <c r="BK18" s="584">
        <f t="shared" si="9"/>
        <v>0</v>
      </c>
      <c r="BL18" s="584">
        <f t="shared" si="9"/>
        <v>20</v>
      </c>
      <c r="BM18" s="584">
        <f t="shared" si="9"/>
        <v>2.2000000000000002</v>
      </c>
      <c r="BN18" s="584">
        <f t="shared" si="9"/>
        <v>-2.2000000000000002</v>
      </c>
      <c r="BO18" s="584">
        <f t="shared" si="9"/>
        <v>2.4256675322387</v>
      </c>
      <c r="BP18" s="584">
        <f t="shared" si="9"/>
        <v>0.55358000425490006</v>
      </c>
      <c r="BQ18" s="584">
        <f t="shared" si="9"/>
        <v>-4.0483703634516512</v>
      </c>
      <c r="BR18" s="584">
        <f t="shared" si="9"/>
        <v>-1.1091313254333555</v>
      </c>
      <c r="BT18" s="89"/>
      <c r="BV18" s="88" t="s">
        <v>1207</v>
      </c>
      <c r="BW18" s="89"/>
      <c r="BX18" s="89"/>
      <c r="BY18" s="89"/>
      <c r="BZ18" s="89"/>
      <c r="CA18" s="89"/>
      <c r="CB18" s="89"/>
      <c r="CC18" s="89"/>
      <c r="CD18" s="579">
        <f>BZ18</f>
        <v>0</v>
      </c>
      <c r="CE18" s="89"/>
      <c r="CF18" s="580" t="e">
        <f>CE18/CD18-1</f>
        <v>#DIV/0!</v>
      </c>
      <c r="CG18" s="579">
        <f>CA18</f>
        <v>0</v>
      </c>
      <c r="CH18" s="580" t="e">
        <f>$CE18/CG18-1</f>
        <v>#DIV/0!</v>
      </c>
      <c r="CI18" s="579">
        <f>CM18</f>
        <v>0.78529165503989995</v>
      </c>
      <c r="CJ18" s="580">
        <f>$CE18/CI18-1</f>
        <v>-1</v>
      </c>
      <c r="CK18" s="90"/>
      <c r="CL18" s="87"/>
      <c r="CM18" s="585">
        <f>DC18</f>
        <v>0.78529165503989995</v>
      </c>
      <c r="CO18" s="77" t="s">
        <v>1259</v>
      </c>
      <c r="CP18" s="80" t="s">
        <v>1272</v>
      </c>
      <c r="CQ18" s="78" t="s">
        <v>1261</v>
      </c>
      <c r="CR18" s="582">
        <f>_xll.VAData($AD18,CR$4,$AE18,$AF18)</f>
        <v>-4.4355974751316998</v>
      </c>
      <c r="CS18" s="582">
        <f>_xll.VAData($AD18,CS$4,$AE18,$AF18)</f>
        <v>1.1000000000000001</v>
      </c>
      <c r="CT18" s="582">
        <f>_xll.VAData($AD18,CT$4,$AE18,$AF18)</f>
        <v>-18.899999999999999</v>
      </c>
      <c r="CU18" s="582">
        <f>_xll.VAData($AD18,CU$4,$AE18,$AF18)</f>
        <v>3.8505409513473001</v>
      </c>
      <c r="CV18" s="582">
        <f>_xll.VAData($AD18,CV$4,$AE18,$AF18)</f>
        <v>1.8</v>
      </c>
      <c r="CW18" s="582">
        <f>_xll.VAData($AD18,CW$4,$AE18,$AF18)</f>
        <v>3.4571238526127002</v>
      </c>
      <c r="CX18" s="583"/>
      <c r="CY18" s="581">
        <v>-4.4355974751316998</v>
      </c>
      <c r="CZ18" s="581">
        <v>1.1000000000000001</v>
      </c>
      <c r="DA18" s="581">
        <v>-18.899999999999999</v>
      </c>
      <c r="DB18" s="581">
        <v>3.8505409513473001</v>
      </c>
      <c r="DC18" s="581">
        <v>0.78529165503989995</v>
      </c>
      <c r="DD18" s="581">
        <v>2.3553093696778999</v>
      </c>
      <c r="DE18" s="583"/>
      <c r="DF18" s="584"/>
      <c r="DG18" s="584">
        <f t="shared" si="10"/>
        <v>-1.1000000000000001</v>
      </c>
      <c r="DH18" s="584">
        <f t="shared" si="10"/>
        <v>18.899999999999999</v>
      </c>
      <c r="DI18" s="584">
        <f t="shared" si="10"/>
        <v>-3.8505409513473001</v>
      </c>
      <c r="DJ18" s="584">
        <f t="shared" si="10"/>
        <v>-0.78529165503989995</v>
      </c>
      <c r="DK18" s="584">
        <f t="shared" si="10"/>
        <v>-2.3553093696778999</v>
      </c>
    </row>
    <row r="19" spans="1:115" hidden="1" outlineLevel="1">
      <c r="C19" s="88"/>
      <c r="D19" s="89"/>
      <c r="E19" s="89"/>
      <c r="F19" s="89"/>
      <c r="G19" s="89"/>
      <c r="H19" s="89"/>
      <c r="I19" s="89"/>
      <c r="J19" s="89"/>
      <c r="K19" s="89"/>
      <c r="L19" s="89"/>
      <c r="M19" s="89"/>
      <c r="N19" s="89"/>
      <c r="O19" s="89"/>
      <c r="P19" s="89"/>
      <c r="Q19" s="89"/>
      <c r="R19" s="89"/>
      <c r="S19" s="90"/>
      <c r="T19" s="89"/>
      <c r="U19" s="90"/>
      <c r="V19" s="89"/>
      <c r="W19" s="90"/>
      <c r="X19" s="90"/>
      <c r="Y19" s="87"/>
      <c r="Z19" s="87"/>
      <c r="AA19" s="87"/>
      <c r="AB19" s="586"/>
      <c r="AT19" s="586"/>
      <c r="AU19" s="586"/>
      <c r="AV19" s="586"/>
      <c r="AW19" s="586"/>
      <c r="AX19" s="586"/>
      <c r="AY19" s="586"/>
      <c r="AZ19" s="586"/>
      <c r="BA19" s="586"/>
      <c r="BB19" s="586"/>
      <c r="BC19" s="586"/>
      <c r="BD19" s="586"/>
      <c r="BE19" s="586"/>
      <c r="BG19" s="586"/>
      <c r="BH19" s="586"/>
      <c r="BI19" s="586"/>
      <c r="BJ19" s="586"/>
      <c r="BK19" s="586"/>
      <c r="BL19" s="586"/>
      <c r="BM19" s="586"/>
      <c r="BN19" s="586"/>
      <c r="BO19" s="586"/>
      <c r="BP19" s="586"/>
      <c r="BQ19" s="586"/>
      <c r="BR19" s="586"/>
      <c r="BV19" s="88"/>
      <c r="BW19" s="89"/>
      <c r="BX19" s="89"/>
      <c r="BY19" s="89"/>
      <c r="BZ19" s="89"/>
      <c r="CA19" s="89"/>
      <c r="CB19" s="89"/>
      <c r="CC19" s="89"/>
      <c r="CD19" s="89"/>
      <c r="CE19" s="89"/>
      <c r="CF19" s="90"/>
      <c r="CG19" s="89"/>
      <c r="CH19" s="90"/>
      <c r="CI19" s="89"/>
      <c r="CJ19" s="90"/>
      <c r="CK19" s="90"/>
      <c r="CL19" s="87"/>
      <c r="CM19" s="586"/>
      <c r="CY19" s="586"/>
      <c r="CZ19" s="586"/>
      <c r="DA19" s="586"/>
      <c r="DB19" s="586"/>
      <c r="DC19" s="586"/>
      <c r="DD19" s="586"/>
      <c r="DF19" s="586"/>
      <c r="DG19" s="586"/>
      <c r="DH19" s="586"/>
      <c r="DI19" s="586"/>
      <c r="DJ19" s="586"/>
      <c r="DK19" s="586"/>
    </row>
    <row r="20" spans="1:115" collapsed="1">
      <c r="C20" s="88"/>
      <c r="D20" s="89"/>
      <c r="E20" s="89"/>
      <c r="F20" s="89"/>
      <c r="G20" s="89"/>
      <c r="H20" s="89"/>
      <c r="I20" s="89"/>
      <c r="J20" s="89"/>
      <c r="K20" s="89"/>
      <c r="L20" s="89"/>
      <c r="M20" s="89"/>
      <c r="N20" s="89"/>
      <c r="O20" s="89"/>
      <c r="P20" s="89"/>
      <c r="Q20" s="89"/>
      <c r="R20" s="89"/>
      <c r="S20" s="90"/>
      <c r="T20" s="89"/>
      <c r="U20" s="90"/>
      <c r="V20" s="89"/>
      <c r="W20" s="90"/>
      <c r="X20" s="90"/>
      <c r="Y20" s="87"/>
      <c r="Z20" s="87"/>
      <c r="AA20" s="87"/>
      <c r="AB20" s="586"/>
      <c r="AT20" s="586"/>
      <c r="AU20" s="586"/>
      <c r="AV20" s="586"/>
      <c r="AW20" s="586"/>
      <c r="AX20" s="586"/>
      <c r="AY20" s="586"/>
      <c r="AZ20" s="586"/>
      <c r="BA20" s="586"/>
      <c r="BB20" s="586"/>
      <c r="BC20" s="586"/>
      <c r="BD20" s="586"/>
      <c r="BE20" s="586"/>
      <c r="BG20" s="586"/>
      <c r="BH20" s="586"/>
      <c r="BI20" s="586"/>
      <c r="BJ20" s="586"/>
      <c r="BK20" s="586"/>
      <c r="BL20" s="586"/>
      <c r="BM20" s="586"/>
      <c r="BN20" s="586"/>
      <c r="BO20" s="586"/>
      <c r="BP20" s="586"/>
      <c r="BQ20" s="586"/>
      <c r="BR20" s="586"/>
      <c r="BV20" s="88"/>
      <c r="BW20" s="89"/>
      <c r="BX20" s="89"/>
      <c r="BY20" s="89"/>
      <c r="BZ20" s="89"/>
      <c r="CA20" s="89"/>
      <c r="CB20" s="89"/>
      <c r="CC20" s="89"/>
      <c r="CD20" s="89"/>
      <c r="CE20" s="89"/>
      <c r="CF20" s="90"/>
      <c r="CG20" s="89"/>
      <c r="CH20" s="90"/>
      <c r="CI20" s="89"/>
      <c r="CJ20" s="90"/>
      <c r="CK20" s="90"/>
      <c r="CL20" s="87"/>
      <c r="CM20" s="586"/>
      <c r="CY20" s="586"/>
      <c r="CZ20" s="586"/>
      <c r="DA20" s="586"/>
      <c r="DB20" s="586"/>
      <c r="DC20" s="586"/>
      <c r="DD20" s="586"/>
      <c r="DF20" s="586"/>
      <c r="DG20" s="586"/>
      <c r="DH20" s="586"/>
      <c r="DI20" s="586"/>
      <c r="DJ20" s="586"/>
      <c r="DK20" s="586"/>
    </row>
    <row r="21" spans="1:115" s="569" customFormat="1" ht="20.100000000000001" customHeight="1">
      <c r="C21" s="570" t="s">
        <v>1273</v>
      </c>
      <c r="D21" s="571"/>
      <c r="E21" s="571"/>
      <c r="F21" s="571"/>
      <c r="G21" s="571"/>
      <c r="H21" s="571"/>
      <c r="I21" s="571"/>
      <c r="J21" s="571"/>
      <c r="K21" s="571"/>
      <c r="L21" s="571"/>
      <c r="M21" s="571"/>
      <c r="N21" s="571"/>
      <c r="O21" s="571"/>
      <c r="P21" s="571"/>
      <c r="Q21" s="571"/>
      <c r="R21" s="571"/>
      <c r="S21" s="571"/>
      <c r="T21" s="571"/>
      <c r="U21" s="571"/>
      <c r="V21" s="571"/>
      <c r="W21" s="571"/>
      <c r="X21" s="571"/>
      <c r="Y21" s="571"/>
      <c r="Z21" s="571"/>
      <c r="AA21" s="571"/>
      <c r="AB21" s="587"/>
      <c r="AT21" s="587"/>
      <c r="AU21" s="587"/>
      <c r="AV21" s="587"/>
      <c r="AW21" s="587"/>
      <c r="AX21" s="587"/>
      <c r="AY21" s="587"/>
      <c r="AZ21" s="587"/>
      <c r="BA21" s="587"/>
      <c r="BB21" s="587"/>
      <c r="BC21" s="587"/>
      <c r="BD21" s="587"/>
      <c r="BE21" s="587"/>
      <c r="BG21" s="587"/>
      <c r="BH21" s="587"/>
      <c r="BI21" s="587"/>
      <c r="BJ21" s="587"/>
      <c r="BK21" s="587"/>
      <c r="BL21" s="587"/>
      <c r="BM21" s="587"/>
      <c r="BN21" s="587"/>
      <c r="BO21" s="587"/>
      <c r="BP21" s="587"/>
      <c r="BQ21" s="587"/>
      <c r="BR21" s="587"/>
      <c r="BV21" s="570" t="s">
        <v>1274</v>
      </c>
      <c r="BW21" s="571"/>
      <c r="BX21" s="571"/>
      <c r="BY21" s="571"/>
      <c r="BZ21" s="571"/>
      <c r="CA21" s="571"/>
      <c r="CB21" s="571"/>
      <c r="CC21" s="571"/>
      <c r="CD21" s="571"/>
      <c r="CE21" s="571"/>
      <c r="CF21" s="571"/>
      <c r="CG21" s="571"/>
      <c r="CH21" s="571"/>
      <c r="CI21" s="571"/>
      <c r="CJ21" s="571"/>
      <c r="CK21" s="571"/>
      <c r="CL21" s="571"/>
      <c r="CM21" s="587"/>
      <c r="CY21" s="587"/>
      <c r="CZ21" s="587"/>
      <c r="DA21" s="587"/>
      <c r="DB21" s="587"/>
      <c r="DC21" s="587"/>
      <c r="DD21" s="587"/>
      <c r="DF21" s="587"/>
      <c r="DG21" s="587"/>
      <c r="DH21" s="587"/>
      <c r="DI21" s="587"/>
      <c r="DJ21" s="587"/>
      <c r="DK21" s="587"/>
    </row>
    <row r="22" spans="1:115" ht="30" customHeight="1">
      <c r="A22" s="569"/>
      <c r="C22" s="82"/>
      <c r="D22" s="536" t="str">
        <f t="shared" ref="D22:O22" si="11">D$4</f>
        <v>1H22A</v>
      </c>
      <c r="E22" s="536" t="str">
        <f t="shared" si="11"/>
        <v>2H22A</v>
      </c>
      <c r="F22" s="536" t="str">
        <f t="shared" si="11"/>
        <v>1H23A</v>
      </c>
      <c r="G22" s="536" t="str">
        <f t="shared" si="11"/>
        <v>2H23A</v>
      </c>
      <c r="H22" s="536" t="str">
        <f t="shared" si="11"/>
        <v>1H24A</v>
      </c>
      <c r="I22" s="536" t="str">
        <f t="shared" si="11"/>
        <v>2H24E</v>
      </c>
      <c r="J22" s="536" t="str">
        <f t="shared" si="11"/>
        <v>1H25E</v>
      </c>
      <c r="K22" s="536" t="str">
        <f t="shared" si="11"/>
        <v>2H25E</v>
      </c>
      <c r="L22" s="536" t="str">
        <f t="shared" si="11"/>
        <v>1H26E</v>
      </c>
      <c r="M22" s="536" t="str">
        <f t="shared" si="11"/>
        <v>2H26E</v>
      </c>
      <c r="N22" s="536" t="str">
        <f t="shared" si="11"/>
        <v>1H27E</v>
      </c>
      <c r="O22" s="536" t="str">
        <f t="shared" si="11"/>
        <v>2H27E</v>
      </c>
      <c r="P22" s="572"/>
      <c r="Q22" s="573" t="str">
        <f t="shared" ref="Q22:W22" si="12">Q$4</f>
        <v>1H25A</v>
      </c>
      <c r="R22" s="82" t="str">
        <f t="shared" si="12"/>
        <v>1H26A</v>
      </c>
      <c r="S22" s="574" t="str">
        <f t="shared" si="12"/>
        <v>% change</v>
      </c>
      <c r="T22" s="575" t="str">
        <f t="shared" si="12"/>
        <v>E&amp;Pe 1H26E</v>
      </c>
      <c r="U22" s="574" t="str">
        <f t="shared" si="12"/>
        <v>% diff</v>
      </c>
      <c r="V22" s="575" t="str">
        <f t="shared" si="12"/>
        <v>VA Cons. 1H26E</v>
      </c>
      <c r="W22" s="576" t="str">
        <f t="shared" si="12"/>
        <v>% diff</v>
      </c>
      <c r="X22" s="263"/>
      <c r="AB22" s="588" t="s">
        <v>1231</v>
      </c>
      <c r="AD22" s="67"/>
      <c r="AE22" s="67"/>
      <c r="AF22" s="67"/>
      <c r="AG22" s="262" t="s">
        <v>1232</v>
      </c>
      <c r="AH22" s="262" t="s">
        <v>1233</v>
      </c>
      <c r="AI22" s="262" t="s">
        <v>1234</v>
      </c>
      <c r="AJ22" s="262" t="s">
        <v>1235</v>
      </c>
      <c r="AK22" s="262" t="s">
        <v>1236</v>
      </c>
      <c r="AL22" s="262" t="s">
        <v>1237</v>
      </c>
      <c r="AM22" s="262" t="s">
        <v>1231</v>
      </c>
      <c r="AN22" s="262" t="s">
        <v>1238</v>
      </c>
      <c r="AO22" s="262" t="s">
        <v>1239</v>
      </c>
      <c r="AP22" s="262" t="s">
        <v>1240</v>
      </c>
      <c r="AQ22" s="262" t="s">
        <v>1241</v>
      </c>
      <c r="AR22" s="262" t="s">
        <v>1242</v>
      </c>
      <c r="AT22" s="588" t="s">
        <v>1232</v>
      </c>
      <c r="AU22" s="588" t="s">
        <v>1233</v>
      </c>
      <c r="AV22" s="588" t="s">
        <v>1234</v>
      </c>
      <c r="AW22" s="588" t="s">
        <v>1235</v>
      </c>
      <c r="AX22" s="588" t="s">
        <v>1236</v>
      </c>
      <c r="AY22" s="588" t="s">
        <v>1237</v>
      </c>
      <c r="AZ22" s="588" t="s">
        <v>1231</v>
      </c>
      <c r="BA22" s="588" t="s">
        <v>1238</v>
      </c>
      <c r="BB22" s="588" t="s">
        <v>1239</v>
      </c>
      <c r="BC22" s="588" t="s">
        <v>1240</v>
      </c>
      <c r="BD22" s="588" t="s">
        <v>1241</v>
      </c>
      <c r="BE22" s="588" t="s">
        <v>1242</v>
      </c>
      <c r="BG22" s="588" t="s">
        <v>1232</v>
      </c>
      <c r="BH22" s="588" t="s">
        <v>1233</v>
      </c>
      <c r="BI22" s="588" t="s">
        <v>1234</v>
      </c>
      <c r="BJ22" s="588" t="s">
        <v>1235</v>
      </c>
      <c r="BK22" s="588" t="s">
        <v>1236</v>
      </c>
      <c r="BL22" s="588" t="s">
        <v>1237</v>
      </c>
      <c r="BM22" s="588" t="s">
        <v>1231</v>
      </c>
      <c r="BN22" s="588" t="s">
        <v>1238</v>
      </c>
      <c r="BO22" s="588" t="s">
        <v>1239</v>
      </c>
      <c r="BP22" s="588" t="s">
        <v>1240</v>
      </c>
      <c r="BQ22" s="588" t="s">
        <v>1241</v>
      </c>
      <c r="BR22" s="588" t="s">
        <v>1242</v>
      </c>
      <c r="BV22" s="612"/>
      <c r="BW22" s="536" t="str">
        <f t="shared" ref="BW22:CB22" si="13">BW$4</f>
        <v>FY22A</v>
      </c>
      <c r="BX22" s="536" t="str">
        <f t="shared" si="13"/>
        <v>FY23A</v>
      </c>
      <c r="BY22" s="536" t="str">
        <f t="shared" si="13"/>
        <v>FY24E</v>
      </c>
      <c r="BZ22" s="536" t="str">
        <f t="shared" si="13"/>
        <v>FY25E</v>
      </c>
      <c r="CA22" s="536" t="str">
        <f t="shared" si="13"/>
        <v>FY26E</v>
      </c>
      <c r="CB22" s="536" t="str">
        <f t="shared" si="13"/>
        <v>FY27E</v>
      </c>
      <c r="CC22" s="572"/>
      <c r="CD22" s="573" t="str">
        <f t="shared" ref="CD22:CJ22" si="14">CD$4</f>
        <v>FY25A</v>
      </c>
      <c r="CE22" s="82" t="str">
        <f t="shared" si="14"/>
        <v>FY26A</v>
      </c>
      <c r="CF22" s="574" t="str">
        <f t="shared" si="14"/>
        <v>% change</v>
      </c>
      <c r="CG22" s="575" t="str">
        <f t="shared" si="14"/>
        <v>E&amp;Pe FY26E</v>
      </c>
      <c r="CH22" s="574" t="str">
        <f t="shared" si="14"/>
        <v>% diff</v>
      </c>
      <c r="CI22" s="575" t="str">
        <f t="shared" si="14"/>
        <v>VA Cons. FY26E</v>
      </c>
      <c r="CJ22" s="576" t="str">
        <f t="shared" si="14"/>
        <v>% diff</v>
      </c>
      <c r="CK22" s="263"/>
      <c r="CM22" s="262" t="s">
        <v>1252</v>
      </c>
      <c r="CO22" s="67"/>
      <c r="CP22" s="67"/>
      <c r="CQ22" s="67"/>
      <c r="CR22" s="262" t="s">
        <v>1253</v>
      </c>
      <c r="CS22" s="262" t="s">
        <v>1254</v>
      </c>
      <c r="CT22" s="262" t="s">
        <v>1252</v>
      </c>
      <c r="CU22" s="262" t="s">
        <v>1255</v>
      </c>
      <c r="CV22" s="262" t="s">
        <v>1256</v>
      </c>
      <c r="CW22" s="262" t="s">
        <v>1257</v>
      </c>
      <c r="CY22" s="262" t="s">
        <v>1253</v>
      </c>
      <c r="CZ22" s="262" t="s">
        <v>1254</v>
      </c>
      <c r="DA22" s="262" t="s">
        <v>1252</v>
      </c>
      <c r="DB22" s="262" t="s">
        <v>1255</v>
      </c>
      <c r="DC22" s="262" t="s">
        <v>1256</v>
      </c>
      <c r="DD22" s="262" t="s">
        <v>1257</v>
      </c>
      <c r="DF22" s="262" t="s">
        <v>1253</v>
      </c>
      <c r="DG22" s="262" t="s">
        <v>1254</v>
      </c>
      <c r="DH22" s="262" t="s">
        <v>1252</v>
      </c>
      <c r="DI22" s="262" t="s">
        <v>1255</v>
      </c>
      <c r="DJ22" s="262" t="s">
        <v>1256</v>
      </c>
      <c r="DK22" s="262" t="s">
        <v>1257</v>
      </c>
    </row>
    <row r="23" spans="1:115">
      <c r="C23" s="85" t="s">
        <v>1275</v>
      </c>
      <c r="D23" s="84"/>
      <c r="E23" s="84"/>
      <c r="F23" s="84"/>
      <c r="G23" s="84"/>
      <c r="H23" s="84"/>
      <c r="I23" s="84"/>
      <c r="J23" s="84"/>
      <c r="K23" s="84"/>
      <c r="L23" s="84"/>
      <c r="M23" s="84"/>
      <c r="N23" s="84"/>
      <c r="O23" s="84"/>
      <c r="P23" s="84"/>
      <c r="Q23" s="577"/>
      <c r="R23" s="84"/>
      <c r="S23" s="578"/>
      <c r="T23" s="577"/>
      <c r="U23" s="578"/>
      <c r="V23" s="577"/>
      <c r="W23" s="578"/>
      <c r="X23" s="84"/>
      <c r="AB23" s="583"/>
      <c r="AD23" s="67"/>
      <c r="AE23" s="67"/>
      <c r="AF23" s="67"/>
      <c r="AT23" s="583"/>
      <c r="AU23" s="583"/>
      <c r="AV23" s="583"/>
      <c r="AW23" s="583"/>
      <c r="AX23" s="583"/>
      <c r="AY23" s="583"/>
      <c r="AZ23" s="583"/>
      <c r="BA23" s="583"/>
      <c r="BB23" s="583"/>
      <c r="BC23" s="583"/>
      <c r="BD23" s="583"/>
      <c r="BE23" s="583"/>
      <c r="BG23" s="583"/>
      <c r="BH23" s="583"/>
      <c r="BI23" s="583"/>
      <c r="BJ23" s="583"/>
      <c r="BK23" s="583"/>
      <c r="BL23" s="583"/>
      <c r="BM23" s="583"/>
      <c r="BN23" s="583"/>
      <c r="BO23" s="583"/>
      <c r="BP23" s="583"/>
      <c r="BQ23" s="583"/>
      <c r="BR23" s="583"/>
      <c r="BV23" s="613" t="s">
        <v>1275</v>
      </c>
      <c r="BW23" s="84"/>
      <c r="BX23" s="84"/>
      <c r="BY23" s="84"/>
      <c r="BZ23" s="84"/>
      <c r="CA23" s="84"/>
      <c r="CB23" s="84"/>
      <c r="CC23" s="84"/>
      <c r="CD23" s="577"/>
      <c r="CE23" s="84"/>
      <c r="CF23" s="578"/>
      <c r="CG23" s="577"/>
      <c r="CH23" s="578"/>
      <c r="CI23" s="577"/>
      <c r="CJ23" s="578"/>
      <c r="CK23" s="84"/>
      <c r="CM23" s="583"/>
      <c r="CO23" s="67"/>
      <c r="CP23" s="67"/>
      <c r="CQ23" s="67"/>
      <c r="CY23" s="583"/>
      <c r="CZ23" s="583"/>
      <c r="DA23" s="583"/>
      <c r="DB23" s="583"/>
      <c r="DC23" s="583"/>
      <c r="DD23" s="583"/>
      <c r="DF23" s="583"/>
      <c r="DG23" s="583"/>
      <c r="DH23" s="583"/>
      <c r="DI23" s="583"/>
      <c r="DJ23" s="583"/>
      <c r="DK23" s="583"/>
    </row>
    <row r="24" spans="1:115">
      <c r="C24" s="589" t="s">
        <v>70</v>
      </c>
      <c r="D24" s="89"/>
      <c r="E24" s="89"/>
      <c r="F24" s="89">
        <f>HY!O306</f>
        <v>258.3</v>
      </c>
      <c r="G24" s="89">
        <f>HY!P306</f>
        <v>259.70000000000005</v>
      </c>
      <c r="H24" s="89">
        <f>HY!Q306</f>
        <v>280.60000000000002</v>
      </c>
      <c r="I24" s="89">
        <f>HY!R306</f>
        <v>266.09999999999997</v>
      </c>
      <c r="J24" s="89">
        <f>HY!S306</f>
        <v>258.3</v>
      </c>
      <c r="K24" s="89">
        <f>HY!T306</f>
        <v>255.99999999999994</v>
      </c>
      <c r="L24" s="89">
        <f>HY!U306</f>
        <v>248.1</v>
      </c>
      <c r="M24" s="89">
        <f>HY!V306</f>
        <v>250.50000000000003</v>
      </c>
      <c r="N24" s="89">
        <f>HY!W306</f>
        <v>256</v>
      </c>
      <c r="O24" s="89">
        <f>HY!X306</f>
        <v>258</v>
      </c>
      <c r="P24" s="89"/>
      <c r="Q24" s="579">
        <f>J24</f>
        <v>258.3</v>
      </c>
      <c r="R24" s="89">
        <v>248.1</v>
      </c>
      <c r="S24" s="580">
        <f>R24/Q24-1</f>
        <v>-3.9488966318234731E-2</v>
      </c>
      <c r="T24" s="579">
        <f>L24</f>
        <v>248.1</v>
      </c>
      <c r="U24" s="580">
        <f>$R24/T24-1</f>
        <v>0</v>
      </c>
      <c r="V24" s="579">
        <f>AB24</f>
        <v>237.62699255646729</v>
      </c>
      <c r="W24" s="580">
        <f>$R24/V24-1</f>
        <v>4.4073307206646595E-2</v>
      </c>
      <c r="X24" s="90"/>
      <c r="Y24" s="87"/>
      <c r="Z24" s="87"/>
      <c r="AA24" s="87"/>
      <c r="AB24" s="585">
        <f>BB24</f>
        <v>237.62699255646729</v>
      </c>
      <c r="AD24" s="77" t="s">
        <v>1259</v>
      </c>
      <c r="AE24" s="77" t="s">
        <v>1276</v>
      </c>
      <c r="AF24" s="78" t="s">
        <v>1261</v>
      </c>
      <c r="AG24" s="86">
        <f>_xll.VAData($AD24,AG$4,$AE24,$AF24)</f>
        <v>118.5</v>
      </c>
      <c r="AH24" s="86">
        <f>_xll.VAData($AD24,AH$4,$AE24,$AF24)</f>
        <v>212.11</v>
      </c>
      <c r="AI24" s="86">
        <f>_xll.VAData($AD24,AI$4,$AE24,$AF24)</f>
        <v>258.3</v>
      </c>
      <c r="AJ24" s="86">
        <f>_xll.VAData($AD24,AJ$4,$AE24,$AF24)</f>
        <v>259.7</v>
      </c>
      <c r="AK24" s="86">
        <f>_xll.VAData($AD24,AK$4,$AE24,$AF24)</f>
        <v>280.60000000000002</v>
      </c>
      <c r="AL24" s="86">
        <f>_xll.VAData($AD24,AL$4,$AE24,$AF24)</f>
        <v>266.10000000000002</v>
      </c>
      <c r="AM24" s="86">
        <f>_xll.VAData($AD24,AM$4,$AE24,$AF24)</f>
        <v>258.3</v>
      </c>
      <c r="AN24" s="86">
        <f>_xll.VAData($AD24,AN$4,$AE24,$AF24)</f>
        <v>256</v>
      </c>
      <c r="AO24" s="86">
        <f>_xll.VAData($AD24,AO$4,$AE24,$AF24)</f>
        <v>248.1</v>
      </c>
      <c r="AP24" s="86">
        <f>_xll.VAData($AD24,AP$4,$AE24,$AF24)</f>
        <v>250.5</v>
      </c>
      <c r="AQ24" s="86">
        <f>_xll.VAData($AD24,AQ$4,$AE24,$AF24)</f>
        <v>248.16170540931921</v>
      </c>
      <c r="AR24" s="86">
        <f>_xll.VAData($AD24,AR$4,$AE24,$AF24)</f>
        <v>246.03909093834841</v>
      </c>
      <c r="AT24" s="581">
        <v>118.5</v>
      </c>
      <c r="AU24" s="581">
        <v>212.11</v>
      </c>
      <c r="AV24" s="581">
        <v>258.3</v>
      </c>
      <c r="AW24" s="581">
        <v>259.7</v>
      </c>
      <c r="AX24" s="581">
        <v>280.60000000000002</v>
      </c>
      <c r="AY24" s="581">
        <v>266.10000000000002</v>
      </c>
      <c r="AZ24" s="581">
        <v>258.3</v>
      </c>
      <c r="BA24" s="581">
        <v>256</v>
      </c>
      <c r="BB24" s="581">
        <v>237.62699255646729</v>
      </c>
      <c r="BC24" s="581">
        <v>258.19953318502729</v>
      </c>
      <c r="BD24" s="581">
        <v>271.57176498985223</v>
      </c>
      <c r="BE24" s="581">
        <v>277.34608354118723</v>
      </c>
      <c r="BG24" s="586"/>
      <c r="BH24" s="586"/>
      <c r="BI24" s="584">
        <f t="shared" ref="BI24:BR28" si="15">F24-AV24</f>
        <v>0</v>
      </c>
      <c r="BJ24" s="584">
        <f t="shared" si="15"/>
        <v>0</v>
      </c>
      <c r="BK24" s="584">
        <f t="shared" si="15"/>
        <v>0</v>
      </c>
      <c r="BL24" s="584">
        <f t="shared" si="15"/>
        <v>0</v>
      </c>
      <c r="BM24" s="584">
        <f t="shared" si="15"/>
        <v>0</v>
      </c>
      <c r="BN24" s="584">
        <f t="shared" si="15"/>
        <v>0</v>
      </c>
      <c r="BO24" s="584">
        <f t="shared" si="15"/>
        <v>10.473007443532708</v>
      </c>
      <c r="BP24" s="584">
        <f t="shared" si="15"/>
        <v>-7.6995331850272635</v>
      </c>
      <c r="BQ24" s="584">
        <f t="shared" si="15"/>
        <v>-15.571764989852227</v>
      </c>
      <c r="BR24" s="584">
        <f t="shared" si="15"/>
        <v>-19.346083541187227</v>
      </c>
      <c r="BV24" s="614" t="s">
        <v>70</v>
      </c>
      <c r="BW24" s="89"/>
      <c r="BX24" s="89">
        <f>FY!H6</f>
        <v>518</v>
      </c>
      <c r="BY24" s="89">
        <f>FY!I6</f>
        <v>546.70000000000005</v>
      </c>
      <c r="BZ24" s="89">
        <f>FY!J6</f>
        <v>514.29999999999995</v>
      </c>
      <c r="CA24" s="89">
        <f>FY!K6</f>
        <v>498.6</v>
      </c>
      <c r="CB24" s="89">
        <f>FY!L6</f>
        <v>514</v>
      </c>
      <c r="CC24" s="89"/>
      <c r="CD24" s="579">
        <f>BZ24</f>
        <v>514.29999999999995</v>
      </c>
      <c r="CE24" s="89">
        <v>498.6</v>
      </c>
      <c r="CF24" s="580">
        <f>CE24/CD24-1</f>
        <v>-3.0526929807505265E-2</v>
      </c>
      <c r="CG24" s="579">
        <f>CA24</f>
        <v>498.6</v>
      </c>
      <c r="CH24" s="580">
        <f>$CE24/CG24-1</f>
        <v>0</v>
      </c>
      <c r="CI24" s="579">
        <f>CM24</f>
        <v>498.80079787928941</v>
      </c>
      <c r="CJ24" s="580">
        <f>$CE24/CI24-1</f>
        <v>-4.0256126321991381E-4</v>
      </c>
      <c r="CK24" s="90"/>
      <c r="CL24" s="87"/>
      <c r="CM24" s="585">
        <f>DC24</f>
        <v>498.80079787928941</v>
      </c>
      <c r="CO24" s="77" t="s">
        <v>1259</v>
      </c>
      <c r="CP24" s="77" t="s">
        <v>1276</v>
      </c>
      <c r="CQ24" s="78" t="s">
        <v>1261</v>
      </c>
      <c r="CR24" s="86">
        <f>_xll.VAData($AD24,CR$4,$AE24,$AF24)</f>
        <v>331.2</v>
      </c>
      <c r="CS24" s="86">
        <f>_xll.VAData($AD24,CS$4,$AE24,$AF24)</f>
        <v>584</v>
      </c>
      <c r="CT24" s="86">
        <f>_xll.VAData($AD24,CT$4,$AE24,$AF24)</f>
        <v>546.70000000000005</v>
      </c>
      <c r="CU24" s="86">
        <f>_xll.VAData($AD24,CU$4,$AE24,$AF24)</f>
        <v>514.29999999999995</v>
      </c>
      <c r="CV24" s="86">
        <f>_xll.VAData($AD24,CV$4,$AE24,$AF24)</f>
        <v>498.6</v>
      </c>
      <c r="CW24" s="86">
        <f>_xll.VAData($AD24,CW$4,$AE24,$AF24)</f>
        <v>521.02657171438796</v>
      </c>
      <c r="CY24" s="581">
        <v>331.2</v>
      </c>
      <c r="CZ24" s="581">
        <v>584</v>
      </c>
      <c r="DA24" s="581">
        <v>546.70000000000005</v>
      </c>
      <c r="DB24" s="581">
        <v>514.29999999999995</v>
      </c>
      <c r="DC24" s="581">
        <v>498.80079787928941</v>
      </c>
      <c r="DD24" s="581">
        <v>551.44149662909217</v>
      </c>
      <c r="DG24" s="584">
        <f t="shared" ref="DG24:DK28" si="16">BX24-CZ24</f>
        <v>-66</v>
      </c>
      <c r="DH24" s="584">
        <f t="shared" si="16"/>
        <v>0</v>
      </c>
      <c r="DI24" s="584">
        <f t="shared" si="16"/>
        <v>0</v>
      </c>
      <c r="DJ24" s="584">
        <f t="shared" si="16"/>
        <v>-0.20079787928938231</v>
      </c>
      <c r="DK24" s="584">
        <f t="shared" si="16"/>
        <v>-37.441496629092171</v>
      </c>
    </row>
    <row r="25" spans="1:115">
      <c r="C25" s="589" t="s">
        <v>77</v>
      </c>
      <c r="D25" s="89"/>
      <c r="E25" s="89"/>
      <c r="F25" s="89">
        <f>HY!O307</f>
        <v>42.2</v>
      </c>
      <c r="G25" s="89">
        <f>HY!P307</f>
        <v>35.700000000000003</v>
      </c>
      <c r="H25" s="89">
        <f>HY!Q307</f>
        <v>38.699999999999996</v>
      </c>
      <c r="I25" s="89">
        <f>HY!R307</f>
        <v>38.400000000000006</v>
      </c>
      <c r="J25" s="89">
        <f>HY!S307</f>
        <v>38.299999999999997</v>
      </c>
      <c r="K25" s="89">
        <f>HY!T307</f>
        <v>35.900000000000006</v>
      </c>
      <c r="L25" s="89">
        <f>HY!U307</f>
        <v>37.4</v>
      </c>
      <c r="M25" s="89">
        <f>HY!V307</f>
        <v>36.500000000000007</v>
      </c>
      <c r="N25" s="89">
        <f>HY!W307</f>
        <v>37.564999999999998</v>
      </c>
      <c r="O25" s="89">
        <f>HY!X307</f>
        <v>37.268999999999998</v>
      </c>
      <c r="P25" s="89"/>
      <c r="Q25" s="579">
        <f>J25</f>
        <v>38.299999999999997</v>
      </c>
      <c r="R25" s="89">
        <v>37.4</v>
      </c>
      <c r="S25" s="580">
        <f>R25/Q25-1</f>
        <v>-2.3498694516971286E-2</v>
      </c>
      <c r="T25" s="579">
        <f>L25</f>
        <v>37.4</v>
      </c>
      <c r="U25" s="580">
        <f>$R25/T25-1</f>
        <v>0</v>
      </c>
      <c r="V25" s="579">
        <f>AB25</f>
        <v>35.243063696769561</v>
      </c>
      <c r="W25" s="580">
        <f>$R25/V25-1</f>
        <v>6.1201725303698495E-2</v>
      </c>
      <c r="X25" s="90"/>
      <c r="Y25" s="87"/>
      <c r="Z25" s="87"/>
      <c r="AA25" s="87"/>
      <c r="AB25" s="585">
        <f>BB25</f>
        <v>35.243063696769561</v>
      </c>
      <c r="AD25" s="77" t="s">
        <v>1259</v>
      </c>
      <c r="AE25" s="77" t="s">
        <v>1277</v>
      </c>
      <c r="AF25" s="78" t="s">
        <v>1261</v>
      </c>
      <c r="AG25" s="86">
        <f>_xll.VAData($AD25,AG$4,$AE25,$AF25)</f>
        <v>29.3</v>
      </c>
      <c r="AH25" s="86">
        <f>_xll.VAData($AD25,AH$4,$AE25,$AF25)</f>
        <v>37.200000000000003</v>
      </c>
      <c r="AI25" s="86">
        <f>_xll.VAData($AD25,AI$4,$AE25,$AF25)</f>
        <v>47.7</v>
      </c>
      <c r="AJ25" s="86">
        <f>_xll.VAData($AD25,AJ$4,$AE25,$AF25)</f>
        <v>40.299999999999997</v>
      </c>
      <c r="AK25" s="86">
        <f>_xll.VAData($AD25,AK$4,$AE25,$AF25)</f>
        <v>38.799999999999997</v>
      </c>
      <c r="AL25" s="86">
        <f>_xll.VAData($AD25,AL$4,$AE25,$AF25)</f>
        <v>38.200000000000003</v>
      </c>
      <c r="AM25" s="86">
        <f>_xll.VAData($AD25,AM$4,$AE25,$AF25)</f>
        <v>38.299999999999997</v>
      </c>
      <c r="AN25" s="86">
        <f>_xll.VAData($AD25,AN$4,$AE25,$AF25)</f>
        <v>35.9</v>
      </c>
      <c r="AO25" s="86">
        <f>_xll.VAData($AD25,AO$4,$AE25,$AF25)</f>
        <v>37.4</v>
      </c>
      <c r="AP25" s="86">
        <f>_xll.VAData($AD25,AP$4,$AE25,$AF25)</f>
        <v>36.5</v>
      </c>
      <c r="AQ25" s="86">
        <f>_xll.VAData($AD25,AQ$4,$AE25,$AF25)</f>
        <v>39.412752816620149</v>
      </c>
      <c r="AR25" s="86">
        <f>_xll.VAData($AD25,AR$4,$AE25,$AF25)</f>
        <v>39.288312895224173</v>
      </c>
      <c r="AT25" s="581">
        <v>29.3</v>
      </c>
      <c r="AU25" s="581">
        <v>37.200000000000003</v>
      </c>
      <c r="AV25" s="581">
        <v>47.7</v>
      </c>
      <c r="AW25" s="581">
        <v>40.299999999999997</v>
      </c>
      <c r="AX25" s="581">
        <v>38.799999999999997</v>
      </c>
      <c r="AY25" s="581">
        <v>38.200000000000003</v>
      </c>
      <c r="AZ25" s="581">
        <v>38.299999999999997</v>
      </c>
      <c r="BA25" s="581">
        <v>35.9</v>
      </c>
      <c r="BB25" s="581">
        <v>35.243063696769561</v>
      </c>
      <c r="BC25" s="581">
        <v>35.049782794942423</v>
      </c>
      <c r="BD25" s="581">
        <v>36.53926355320155</v>
      </c>
      <c r="BE25" s="581">
        <v>36.112667577758899</v>
      </c>
      <c r="BG25" s="586"/>
      <c r="BH25" s="586"/>
      <c r="BI25" s="584">
        <f t="shared" si="15"/>
        <v>-5.5</v>
      </c>
      <c r="BJ25" s="584">
        <f t="shared" si="15"/>
        <v>-4.5999999999999943</v>
      </c>
      <c r="BK25" s="584">
        <f t="shared" si="15"/>
        <v>-0.10000000000000142</v>
      </c>
      <c r="BL25" s="584">
        <f t="shared" si="15"/>
        <v>0.20000000000000284</v>
      </c>
      <c r="BM25" s="584">
        <f t="shared" si="15"/>
        <v>0</v>
      </c>
      <c r="BN25" s="584">
        <f t="shared" si="15"/>
        <v>0</v>
      </c>
      <c r="BO25" s="584">
        <f t="shared" si="15"/>
        <v>2.1569363032304381</v>
      </c>
      <c r="BP25" s="584">
        <f t="shared" si="15"/>
        <v>1.4502172050575837</v>
      </c>
      <c r="BQ25" s="584">
        <f t="shared" si="15"/>
        <v>1.0257364467984473</v>
      </c>
      <c r="BR25" s="584">
        <f t="shared" si="15"/>
        <v>1.1563324222410998</v>
      </c>
      <c r="BV25" s="614" t="s">
        <v>77</v>
      </c>
      <c r="BW25" s="89"/>
      <c r="BX25" s="89">
        <f>FY!H7</f>
        <v>77.900000000000006</v>
      </c>
      <c r="BY25" s="89">
        <f>FY!I7</f>
        <v>77.099999999999994</v>
      </c>
      <c r="BZ25" s="89">
        <f>FY!J7</f>
        <v>74.2</v>
      </c>
      <c r="CA25" s="89">
        <f>FY!K7</f>
        <v>73.900000000000006</v>
      </c>
      <c r="CB25" s="89">
        <f>FY!L7</f>
        <v>74.834000000000003</v>
      </c>
      <c r="CC25" s="89"/>
      <c r="CD25" s="579">
        <f>BZ25</f>
        <v>74.2</v>
      </c>
      <c r="CE25" s="89">
        <v>73.900000000000006</v>
      </c>
      <c r="CF25" s="580">
        <f>CE25/CD25-1</f>
        <v>-4.0431266846361336E-3</v>
      </c>
      <c r="CG25" s="579">
        <f>CA25</f>
        <v>73.900000000000006</v>
      </c>
      <c r="CH25" s="580">
        <f>$CE25/CG25-1</f>
        <v>0</v>
      </c>
      <c r="CI25" s="579">
        <f>CM25</f>
        <v>74.700096951892107</v>
      </c>
      <c r="CJ25" s="580">
        <f>$CE25/CI25-1</f>
        <v>-1.0710788667481541E-2</v>
      </c>
      <c r="CK25" s="90"/>
      <c r="CL25" s="87"/>
      <c r="CM25" s="585">
        <f>DC25</f>
        <v>74.700096951892107</v>
      </c>
      <c r="CO25" s="77" t="s">
        <v>1259</v>
      </c>
      <c r="CP25" s="77" t="s">
        <v>1277</v>
      </c>
      <c r="CQ25" s="78" t="s">
        <v>1261</v>
      </c>
      <c r="CR25" s="86">
        <f>_xll.VAData($AD25,CR$4,$AE25,$AF25)</f>
        <v>66.5</v>
      </c>
      <c r="CS25" s="86">
        <f>_xll.VAData($AD25,CS$4,$AE25,$AF25)</f>
        <v>77.900000000000006</v>
      </c>
      <c r="CT25" s="86">
        <f>_xll.VAData($AD25,CT$4,$AE25,$AF25)</f>
        <v>77</v>
      </c>
      <c r="CU25" s="86">
        <f>_xll.VAData($AD25,CU$4,$AE25,$AF25)</f>
        <v>74.2</v>
      </c>
      <c r="CV25" s="86">
        <f>_xll.VAData($AD25,CV$4,$AE25,$AF25)</f>
        <v>73.900000000000006</v>
      </c>
      <c r="CW25" s="86">
        <f>_xll.VAData($AD25,CW$4,$AE25,$AF25)</f>
        <v>77.995652569475453</v>
      </c>
      <c r="CY25" s="581">
        <v>66.5</v>
      </c>
      <c r="CZ25" s="581">
        <v>77.900000000000006</v>
      </c>
      <c r="DA25" s="581">
        <v>77</v>
      </c>
      <c r="DB25" s="581">
        <v>74.2</v>
      </c>
      <c r="DC25" s="581">
        <v>74.700096951892107</v>
      </c>
      <c r="DD25" s="581">
        <v>76.221058740120341</v>
      </c>
      <c r="DG25" s="584">
        <f t="shared" si="16"/>
        <v>0</v>
      </c>
      <c r="DH25" s="584">
        <f t="shared" si="16"/>
        <v>9.9999999999994316E-2</v>
      </c>
      <c r="DI25" s="584">
        <f t="shared" si="16"/>
        <v>0</v>
      </c>
      <c r="DJ25" s="584">
        <f t="shared" si="16"/>
        <v>-0.80009695189210106</v>
      </c>
      <c r="DK25" s="584">
        <f t="shared" si="16"/>
        <v>-1.387058740120338</v>
      </c>
    </row>
    <row r="26" spans="1:115">
      <c r="C26" s="589" t="s">
        <v>78</v>
      </c>
      <c r="D26" s="89"/>
      <c r="E26" s="89"/>
      <c r="F26" s="89">
        <f>HY!O101</f>
        <v>129.89999999999998</v>
      </c>
      <c r="G26" s="89">
        <f>HY!P101</f>
        <v>119.9</v>
      </c>
      <c r="H26" s="89">
        <f>HY!Q101</f>
        <v>116.79926454683107</v>
      </c>
      <c r="I26" s="89">
        <f>HY!R101</f>
        <v>119.90073545316895</v>
      </c>
      <c r="J26" s="89">
        <f>HY!S101</f>
        <v>123.2</v>
      </c>
      <c r="K26" s="89">
        <f>HY!T101</f>
        <v>108.8</v>
      </c>
      <c r="L26" s="89">
        <f>HY!U101</f>
        <v>124.5</v>
      </c>
      <c r="M26" s="89">
        <f>HY!V101</f>
        <v>122.1</v>
      </c>
      <c r="N26" s="89">
        <f>HY!W101</f>
        <v>125</v>
      </c>
      <c r="O26" s="89">
        <f>HY!X101</f>
        <v>124.1</v>
      </c>
      <c r="P26" s="89"/>
      <c r="Q26" s="579">
        <f>J26</f>
        <v>123.2</v>
      </c>
      <c r="R26" s="89">
        <v>124.5</v>
      </c>
      <c r="S26" s="580">
        <f>R26/Q26-1</f>
        <v>1.0551948051948035E-2</v>
      </c>
      <c r="T26" s="579">
        <f>L26</f>
        <v>124.5</v>
      </c>
      <c r="U26" s="580">
        <f>$R26/T26-1</f>
        <v>0</v>
      </c>
      <c r="V26" s="579">
        <f>AB26</f>
        <v>115.06805902082139</v>
      </c>
      <c r="W26" s="580">
        <f>$R26/V26-1</f>
        <v>8.196836775939631E-2</v>
      </c>
      <c r="X26" s="90"/>
      <c r="Y26" s="87"/>
      <c r="Z26" s="87"/>
      <c r="AA26" s="87"/>
      <c r="AB26" s="585">
        <f>BB26</f>
        <v>115.06805902082139</v>
      </c>
      <c r="AD26" s="77" t="s">
        <v>1259</v>
      </c>
      <c r="AE26" s="77" t="s">
        <v>1278</v>
      </c>
      <c r="AF26" s="78" t="s">
        <v>1261</v>
      </c>
      <c r="AG26" s="86">
        <f>_xll.VAData($AD26,AG$4,$AE26,$AF26)</f>
        <v>98.571501131783805</v>
      </c>
      <c r="AH26" s="86">
        <f>_xll.VAData($AD26,AH$4,$AE26,$AF26)</f>
        <v>101.2773754942676</v>
      </c>
      <c r="AI26" s="86">
        <f>_xll.VAData($AD26,AI$4,$AE26,$AF26)</f>
        <v>129.9</v>
      </c>
      <c r="AJ26" s="86">
        <f>_xll.VAData($AD26,AJ$4,$AE26,$AF26)</f>
        <v>122.87945417596696</v>
      </c>
      <c r="AK26" s="86">
        <f>_xll.VAData($AD26,AK$4,$AE26,$AF26)</f>
        <v>116.8</v>
      </c>
      <c r="AL26" s="86">
        <f>_xll.VAData($AD26,AL$4,$AE26,$AF26)</f>
        <v>120.1</v>
      </c>
      <c r="AM26" s="86">
        <f>_xll.VAData($AD26,AM$4,$AE26,$AF26)</f>
        <v>123.2</v>
      </c>
      <c r="AN26" s="86">
        <f>_xll.VAData($AD26,AN$4,$AE26,$AF26)</f>
        <v>108.8</v>
      </c>
      <c r="AO26" s="86">
        <f>_xll.VAData($AD26,AO$4,$AE26,$AF26)</f>
        <v>124.5</v>
      </c>
      <c r="AP26" s="86">
        <f>_xll.VAData($AD26,AP$4,$AE26,$AF26)</f>
        <v>122.1</v>
      </c>
      <c r="AQ26" s="86">
        <f>_xll.VAData($AD26,AQ$4,$AE26,$AF26)</f>
        <v>128.55414132675119</v>
      </c>
      <c r="AR26" s="86">
        <f>_xll.VAData($AD26,AR$4,$AE26,$AF26)</f>
        <v>124.50122611846808</v>
      </c>
      <c r="AT26" s="581">
        <v>98.571501131783805</v>
      </c>
      <c r="AU26" s="581">
        <v>101.2773754942676</v>
      </c>
      <c r="AV26" s="581">
        <v>129.9</v>
      </c>
      <c r="AW26" s="581">
        <v>122.879454175967</v>
      </c>
      <c r="AX26" s="581">
        <v>116.8</v>
      </c>
      <c r="AY26" s="581">
        <v>120.1</v>
      </c>
      <c r="AZ26" s="581">
        <v>123.2230674037597</v>
      </c>
      <c r="BA26" s="581">
        <v>108.8</v>
      </c>
      <c r="BB26" s="581">
        <v>115.06805902082139</v>
      </c>
      <c r="BC26" s="581">
        <v>114.0684097945897</v>
      </c>
      <c r="BD26" s="581">
        <v>119.4633752173693</v>
      </c>
      <c r="BE26" s="581">
        <v>112.12379404104659</v>
      </c>
      <c r="BG26" s="586"/>
      <c r="BH26" s="586"/>
      <c r="BI26" s="584">
        <f t="shared" si="15"/>
        <v>0</v>
      </c>
      <c r="BJ26" s="584">
        <f t="shared" si="15"/>
        <v>-2.9794541759669926</v>
      </c>
      <c r="BK26" s="584">
        <f t="shared" si="15"/>
        <v>-7.354531689287569E-4</v>
      </c>
      <c r="BL26" s="584">
        <f t="shared" si="15"/>
        <v>-0.19926454683104566</v>
      </c>
      <c r="BM26" s="584">
        <f t="shared" si="15"/>
        <v>-2.3067403759696958E-2</v>
      </c>
      <c r="BN26" s="584">
        <f t="shared" si="15"/>
        <v>0</v>
      </c>
      <c r="BO26" s="584">
        <f t="shared" si="15"/>
        <v>9.4319409791786057</v>
      </c>
      <c r="BP26" s="584">
        <f t="shared" si="15"/>
        <v>8.0315902054102963</v>
      </c>
      <c r="BQ26" s="584">
        <f t="shared" si="15"/>
        <v>5.536624782630696</v>
      </c>
      <c r="BR26" s="584">
        <f t="shared" si="15"/>
        <v>11.9762059589534</v>
      </c>
      <c r="BV26" s="614" t="s">
        <v>78</v>
      </c>
      <c r="BW26" s="89"/>
      <c r="BX26" s="89">
        <f>FY!H8</f>
        <v>249.79999999999998</v>
      </c>
      <c r="BY26" s="89">
        <f>FY!I8</f>
        <v>236.70000000000002</v>
      </c>
      <c r="BZ26" s="89">
        <f>FY!J8</f>
        <v>232</v>
      </c>
      <c r="CA26" s="89">
        <f>FY!K8</f>
        <v>246.6</v>
      </c>
      <c r="CB26" s="89">
        <f>FY!L8</f>
        <v>249.1</v>
      </c>
      <c r="CC26" s="89"/>
      <c r="CD26" s="579">
        <v>245.1</v>
      </c>
      <c r="CE26" s="89">
        <v>246.6</v>
      </c>
      <c r="CF26" s="580">
        <f>CE26/CD26-1</f>
        <v>6.1199510403917579E-3</v>
      </c>
      <c r="CG26" s="579">
        <f>CA26</f>
        <v>246.6</v>
      </c>
      <c r="CH26" s="580">
        <f>$CE26/CG26-1</f>
        <v>0</v>
      </c>
      <c r="CI26" s="579">
        <f>CM26</f>
        <v>230.3021747778653</v>
      </c>
      <c r="CJ26" s="580">
        <f>$CE26/CI26-1</f>
        <v>7.0767135559421046E-2</v>
      </c>
      <c r="CK26" s="90"/>
      <c r="CL26" s="87"/>
      <c r="CM26" s="585">
        <f>DC26</f>
        <v>230.3021747778653</v>
      </c>
      <c r="CO26" s="77" t="s">
        <v>1259</v>
      </c>
      <c r="CP26" s="77" t="s">
        <v>1278</v>
      </c>
      <c r="CQ26" s="78" t="s">
        <v>1261</v>
      </c>
      <c r="CR26" s="86">
        <f>_xll.VAData($AD26,CR$4,$AE26,$AF26)</f>
        <v>197.07327494125201</v>
      </c>
      <c r="CS26" s="86">
        <f>_xll.VAData($AD26,CS$4,$AE26,$AF26)</f>
        <v>266.05789945697438</v>
      </c>
      <c r="CT26" s="86">
        <f>_xll.VAData($AD26,CT$4,$AE26,$AF26)</f>
        <v>236.9</v>
      </c>
      <c r="CU26" s="86">
        <f>_xll.VAData($AD26,CU$4,$AE26,$AF26)</f>
        <v>232</v>
      </c>
      <c r="CV26" s="86">
        <f>_xll.VAData($AD26,CV$4,$AE26,$AF26)</f>
        <v>246.6</v>
      </c>
      <c r="CW26" s="86">
        <f>_xll.VAData($AD26,CW$4,$AE26,$AF26)</f>
        <v>254.0855816112566</v>
      </c>
      <c r="CY26" s="581">
        <v>197.07327494125201</v>
      </c>
      <c r="CZ26" s="581">
        <v>266.05789945697438</v>
      </c>
      <c r="DA26" s="581">
        <v>236.9</v>
      </c>
      <c r="DB26" s="581">
        <v>232</v>
      </c>
      <c r="DC26" s="581">
        <v>230.3021747778653</v>
      </c>
      <c r="DD26" s="581">
        <v>238.0539880595187</v>
      </c>
      <c r="DG26" s="584">
        <f t="shared" si="16"/>
        <v>-16.2578994569744</v>
      </c>
      <c r="DH26" s="584">
        <f t="shared" si="16"/>
        <v>-0.19999999999998863</v>
      </c>
      <c r="DI26" s="584">
        <f t="shared" si="16"/>
        <v>0</v>
      </c>
      <c r="DJ26" s="584">
        <f t="shared" si="16"/>
        <v>16.297825222134691</v>
      </c>
      <c r="DK26" s="584">
        <f t="shared" si="16"/>
        <v>11.046011940481293</v>
      </c>
    </row>
    <row r="27" spans="1:115">
      <c r="C27" s="589" t="s">
        <v>1279</v>
      </c>
      <c r="D27" s="89"/>
      <c r="E27" s="89"/>
      <c r="F27" s="89">
        <f>HY!O309</f>
        <v>7.9</v>
      </c>
      <c r="G27" s="89">
        <f>HY!P309</f>
        <v>7.5</v>
      </c>
      <c r="H27" s="89">
        <f>HY!Q309</f>
        <v>5.6</v>
      </c>
      <c r="I27" s="89">
        <f>HY!R309</f>
        <v>3.7000000000000011</v>
      </c>
      <c r="J27" s="89">
        <f>HY!S309</f>
        <v>2.1</v>
      </c>
      <c r="K27" s="89">
        <f>HY!T309</f>
        <v>1.9999999999999996</v>
      </c>
      <c r="L27" s="89">
        <f>HY!U309</f>
        <v>1.6</v>
      </c>
      <c r="M27" s="89">
        <f>HY!V309</f>
        <v>1.1999999999999997</v>
      </c>
      <c r="N27" s="89">
        <f>HY!W309</f>
        <v>1</v>
      </c>
      <c r="O27" s="89">
        <f>HY!X309</f>
        <v>2</v>
      </c>
      <c r="P27" s="89"/>
      <c r="Q27" s="579">
        <f>J27</f>
        <v>2.1</v>
      </c>
      <c r="R27" s="89">
        <v>1.6</v>
      </c>
      <c r="S27" s="580">
        <f>R27/Q27-1</f>
        <v>-0.23809523809523814</v>
      </c>
      <c r="T27" s="579">
        <f>L27</f>
        <v>1.6</v>
      </c>
      <c r="U27" s="580">
        <f>$R27/T27-1</f>
        <v>0</v>
      </c>
      <c r="V27" s="579">
        <f>AB27</f>
        <v>2.341538461538462</v>
      </c>
      <c r="W27" s="580">
        <f>$R27/V27-1</f>
        <v>-0.31668856767411313</v>
      </c>
      <c r="X27" s="90"/>
      <c r="Y27" s="87"/>
      <c r="Z27" s="87"/>
      <c r="AA27" s="87"/>
      <c r="AB27" s="585">
        <f>BB27</f>
        <v>2.341538461538462</v>
      </c>
      <c r="AD27" s="77" t="s">
        <v>1259</v>
      </c>
      <c r="AE27" s="77" t="s">
        <v>1280</v>
      </c>
      <c r="AF27" s="78" t="s">
        <v>1261</v>
      </c>
      <c r="AG27" s="86">
        <f>_xll.VAData($AD27,AG$4,$AE27,$AF27)</f>
        <v>9.3000000000000007</v>
      </c>
      <c r="AH27" s="86">
        <f>_xll.VAData($AD27,AH$4,$AE27,$AF27)</f>
        <v>7.6</v>
      </c>
      <c r="AI27" s="86">
        <f>_xll.VAData($AD27,AI$4,$AE27,$AF27)</f>
        <v>7.9</v>
      </c>
      <c r="AJ27" s="86">
        <f>_xll.VAData($AD27,AJ$4,$AE27,$AF27)</f>
        <v>7.5</v>
      </c>
      <c r="AK27" s="86">
        <f>_xll.VAData($AD27,AK$4,$AE27,$AF27)</f>
        <v>5.6</v>
      </c>
      <c r="AL27" s="86">
        <f>_xll.VAData($AD27,AL$4,$AE27,$AF27)</f>
        <v>3.8</v>
      </c>
      <c r="AM27" s="86">
        <f>_xll.VAData($AD27,AM$4,$AE27,$AF27)</f>
        <v>2.1</v>
      </c>
      <c r="AN27" s="86">
        <f>_xll.VAData($AD27,AN$4,$AE27,$AF27)</f>
        <v>2</v>
      </c>
      <c r="AO27" s="86">
        <f>_xll.VAData($AD27,AO$4,$AE27,$AF27)</f>
        <v>1.6</v>
      </c>
      <c r="AP27" s="86">
        <f>_xll.VAData($AD27,AP$4,$AE27,$AF27)</f>
        <v>1.2</v>
      </c>
      <c r="AQ27" s="86">
        <f>_xll.VAData($AD27,AQ$4,$AE27,$AF27)</f>
        <v>2.8940000000000001</v>
      </c>
      <c r="AR27" s="86">
        <f>_xll.VAData($AD27,AR$4,$AE27,$AF27)</f>
        <v>5.7610000000000001</v>
      </c>
      <c r="AT27" s="581">
        <v>9.3000000000000007</v>
      </c>
      <c r="AU27" s="581">
        <v>7.6</v>
      </c>
      <c r="AV27" s="581">
        <v>7.9</v>
      </c>
      <c r="AW27" s="581">
        <v>7.5</v>
      </c>
      <c r="AX27" s="581">
        <v>5.6</v>
      </c>
      <c r="AY27" s="581">
        <v>3.8</v>
      </c>
      <c r="AZ27" s="581">
        <v>2.1</v>
      </c>
      <c r="BA27" s="581">
        <v>2</v>
      </c>
      <c r="BB27" s="581">
        <v>2.341538461538462</v>
      </c>
      <c r="BC27" s="581">
        <v>1.85</v>
      </c>
      <c r="BD27" s="581">
        <v>9.7647946470060258</v>
      </c>
      <c r="BE27" s="581">
        <v>13.398980811479721</v>
      </c>
      <c r="BG27" s="586"/>
      <c r="BH27" s="586"/>
      <c r="BI27" s="584">
        <f t="shared" si="15"/>
        <v>0</v>
      </c>
      <c r="BJ27" s="584">
        <f t="shared" si="15"/>
        <v>0</v>
      </c>
      <c r="BK27" s="584">
        <f t="shared" si="15"/>
        <v>0</v>
      </c>
      <c r="BL27" s="584">
        <f t="shared" si="15"/>
        <v>-9.9999999999998757E-2</v>
      </c>
      <c r="BM27" s="584">
        <f t="shared" si="15"/>
        <v>0</v>
      </c>
      <c r="BN27" s="584">
        <f t="shared" si="15"/>
        <v>0</v>
      </c>
      <c r="BO27" s="584">
        <f t="shared" si="15"/>
        <v>-0.74153846153846192</v>
      </c>
      <c r="BP27" s="584">
        <f t="shared" si="15"/>
        <v>-0.65000000000000036</v>
      </c>
      <c r="BQ27" s="584">
        <f t="shared" si="15"/>
        <v>-8.7647946470060258</v>
      </c>
      <c r="BR27" s="584">
        <f t="shared" si="15"/>
        <v>-11.398980811479721</v>
      </c>
      <c r="BV27" s="614" t="s">
        <v>1279</v>
      </c>
      <c r="BW27" s="89"/>
      <c r="BX27" s="89">
        <f>FY!H9</f>
        <v>15.4</v>
      </c>
      <c r="BY27" s="89">
        <f>FY!I9</f>
        <v>9.3000000000000007</v>
      </c>
      <c r="BZ27" s="89">
        <f>FY!J9</f>
        <v>4.0999999999999996</v>
      </c>
      <c r="CA27" s="89">
        <f>FY!K9</f>
        <v>2.8</v>
      </c>
      <c r="CB27" s="89">
        <f>FY!L9</f>
        <v>3</v>
      </c>
      <c r="CC27" s="89"/>
      <c r="CD27" s="579">
        <f>BZ27</f>
        <v>4.0999999999999996</v>
      </c>
      <c r="CE27" s="89">
        <v>2.8</v>
      </c>
      <c r="CF27" s="580">
        <f>CE27/CD27-1</f>
        <v>-0.31707317073170727</v>
      </c>
      <c r="CG27" s="579">
        <f>CA27</f>
        <v>2.8</v>
      </c>
      <c r="CH27" s="580">
        <f>$CE27/CG27-1</f>
        <v>0</v>
      </c>
      <c r="CI27" s="579">
        <f>CM27</f>
        <v>3.9826666666666668</v>
      </c>
      <c r="CJ27" s="580">
        <f>$CE27/CI27-1</f>
        <v>-0.29695346501506537</v>
      </c>
      <c r="CK27" s="90"/>
      <c r="CL27" s="87"/>
      <c r="CM27" s="585">
        <f>DC27</f>
        <v>3.9826666666666668</v>
      </c>
      <c r="CO27" s="77" t="s">
        <v>1259</v>
      </c>
      <c r="CP27" s="77" t="s">
        <v>1280</v>
      </c>
      <c r="CQ27" s="78" t="s">
        <v>1261</v>
      </c>
      <c r="CR27" s="86">
        <f>_xll.VAData($AD27,CR$4,$AE27,$AF27)</f>
        <v>16.899999999999999</v>
      </c>
      <c r="CS27" s="86">
        <f>_xll.VAData($AD27,CS$4,$AE27,$AF27)</f>
        <v>15.4</v>
      </c>
      <c r="CT27" s="86">
        <f>_xll.VAData($AD27,CT$4,$AE27,$AF27)</f>
        <v>9.4</v>
      </c>
      <c r="CU27" s="86">
        <f>_xll.VAData($AD27,CU$4,$AE27,$AF27)</f>
        <v>4.0999999999999996</v>
      </c>
      <c r="CV27" s="86">
        <f>_xll.VAData($AD27,CV$4,$AE27,$AF27)</f>
        <v>2.8</v>
      </c>
      <c r="CW27" s="86">
        <f>_xll.VAData($AD27,CW$4,$AE27,$AF27)</f>
        <v>11.4531528</v>
      </c>
      <c r="CY27" s="581">
        <v>16.899999999999999</v>
      </c>
      <c r="CZ27" s="581">
        <v>15.4</v>
      </c>
      <c r="DA27" s="581">
        <v>9.4</v>
      </c>
      <c r="DB27" s="581">
        <v>4.0999999999999996</v>
      </c>
      <c r="DC27" s="581">
        <v>3.9826666666666668</v>
      </c>
      <c r="DD27" s="581">
        <v>14.804190988897471</v>
      </c>
      <c r="DG27" s="584">
        <f t="shared" si="16"/>
        <v>0</v>
      </c>
      <c r="DH27" s="584">
        <f t="shared" si="16"/>
        <v>-9.9999999999999645E-2</v>
      </c>
      <c r="DI27" s="584">
        <f t="shared" si="16"/>
        <v>0</v>
      </c>
      <c r="DJ27" s="584">
        <f t="shared" si="16"/>
        <v>-1.182666666666667</v>
      </c>
      <c r="DK27" s="584">
        <f t="shared" si="16"/>
        <v>-11.804190988897471</v>
      </c>
    </row>
    <row r="28" spans="1:115" s="597" customFormat="1">
      <c r="C28" s="590" t="s">
        <v>1281</v>
      </c>
      <c r="D28" s="591"/>
      <c r="E28" s="591"/>
      <c r="F28" s="591">
        <f>HY!O311</f>
        <v>438.9</v>
      </c>
      <c r="G28" s="591">
        <f>HY!P311</f>
        <v>423.70000000000005</v>
      </c>
      <c r="H28" s="591">
        <f>HY!Q311</f>
        <v>442.8</v>
      </c>
      <c r="I28" s="591">
        <f>HY!R311</f>
        <v>427.7</v>
      </c>
      <c r="J28" s="591">
        <f>HY!S311</f>
        <v>422</v>
      </c>
      <c r="K28" s="591">
        <f>HY!T311</f>
        <v>403.20000000000005</v>
      </c>
      <c r="L28" s="591">
        <f>HY!U311</f>
        <v>411.7</v>
      </c>
      <c r="M28" s="591">
        <f>HY!V311</f>
        <v>411.00000000000006</v>
      </c>
      <c r="N28" s="591">
        <f>HY!W311</f>
        <v>419.565</v>
      </c>
      <c r="O28" s="591">
        <f>HY!X311</f>
        <v>421.36900000000003</v>
      </c>
      <c r="P28" s="591"/>
      <c r="Q28" s="592">
        <f>J28</f>
        <v>422</v>
      </c>
      <c r="R28" s="591">
        <v>411.7</v>
      </c>
      <c r="S28" s="593">
        <f>R28/Q28-1</f>
        <v>-2.4407582938388628E-2</v>
      </c>
      <c r="T28" s="592">
        <f>L28</f>
        <v>411.7</v>
      </c>
      <c r="U28" s="593">
        <f>$R28/T28-1</f>
        <v>0</v>
      </c>
      <c r="V28" s="592">
        <f>AB28</f>
        <v>385.86340994845102</v>
      </c>
      <c r="W28" s="593">
        <f>$R28/V28-1</f>
        <v>6.6957864843936843E-2</v>
      </c>
      <c r="X28" s="594"/>
      <c r="Y28" s="595"/>
      <c r="Z28" s="595"/>
      <c r="AA28" s="595"/>
      <c r="AB28" s="599">
        <f>BB28</f>
        <v>385.86340994845102</v>
      </c>
      <c r="AD28" s="77" t="s">
        <v>1259</v>
      </c>
      <c r="AE28" s="80" t="s">
        <v>1260</v>
      </c>
      <c r="AF28" s="78" t="s">
        <v>1261</v>
      </c>
      <c r="AG28" s="598">
        <f>_xll.VAData($AD28,AG$4,$AE28,$AF28)</f>
        <v>260.8</v>
      </c>
      <c r="AH28" s="598">
        <f>_xll.VAData($AD28,AH$4,$AE28,$AF28)</f>
        <v>370.7</v>
      </c>
      <c r="AI28" s="598">
        <f>_xll.VAData($AD28,AI$4,$AE28,$AF28)</f>
        <v>438.9</v>
      </c>
      <c r="AJ28" s="598">
        <f>_xll.VAData($AD28,AJ$4,$AE28,$AF28)</f>
        <v>423.7</v>
      </c>
      <c r="AK28" s="598">
        <f>_xll.VAData($AD28,AK$4,$AE28,$AF28)</f>
        <v>442.8</v>
      </c>
      <c r="AL28" s="598">
        <f>_xll.VAData($AD28,AL$4,$AE28,$AF28)</f>
        <v>427.70200352855397</v>
      </c>
      <c r="AM28" s="598">
        <f>_xll.VAData($AD28,AM$4,$AE28,$AF28)</f>
        <v>422</v>
      </c>
      <c r="AN28" s="598">
        <f>_xll.VAData($AD28,AN$4,$AE28,$AF28)</f>
        <v>403.2</v>
      </c>
      <c r="AO28" s="598">
        <f>_xll.VAData($AD28,AO$4,$AE28,$AF28)</f>
        <v>411.7</v>
      </c>
      <c r="AP28" s="598">
        <f>_xll.VAData($AD28,AP$4,$AE28,$AF28)</f>
        <v>411</v>
      </c>
      <c r="AQ28" s="598">
        <f>_xll.VAData($AD28,AQ$4,$AE28,$AF28)</f>
        <v>408.04924807163724</v>
      </c>
      <c r="AR28" s="598">
        <f>_xll.VAData($AD28,AR$4,$AE28,$AF28)</f>
        <v>403.744546609841</v>
      </c>
      <c r="AT28" s="596">
        <v>260.8</v>
      </c>
      <c r="AU28" s="596">
        <v>370.7</v>
      </c>
      <c r="AV28" s="596">
        <v>438.9</v>
      </c>
      <c r="AW28" s="596">
        <v>423.7</v>
      </c>
      <c r="AX28" s="596">
        <v>442.8</v>
      </c>
      <c r="AY28" s="596">
        <v>427.7</v>
      </c>
      <c r="AZ28" s="596">
        <v>422</v>
      </c>
      <c r="BA28" s="596">
        <v>403.2</v>
      </c>
      <c r="BB28" s="596">
        <v>385.86340994845102</v>
      </c>
      <c r="BC28" s="596">
        <v>402.90398787204578</v>
      </c>
      <c r="BD28" s="596">
        <v>430.51721459585951</v>
      </c>
      <c r="BE28" s="596">
        <v>434.226193981775</v>
      </c>
      <c r="BG28" s="586"/>
      <c r="BH28" s="586"/>
      <c r="BI28" s="584">
        <f t="shared" si="15"/>
        <v>0</v>
      </c>
      <c r="BJ28" s="584">
        <f t="shared" si="15"/>
        <v>0</v>
      </c>
      <c r="BK28" s="584">
        <f t="shared" si="15"/>
        <v>0</v>
      </c>
      <c r="BL28" s="584">
        <f t="shared" si="15"/>
        <v>0</v>
      </c>
      <c r="BM28" s="584">
        <f t="shared" si="15"/>
        <v>0</v>
      </c>
      <c r="BN28" s="584">
        <f t="shared" si="15"/>
        <v>0</v>
      </c>
      <c r="BO28" s="584">
        <f t="shared" si="15"/>
        <v>25.836590051548967</v>
      </c>
      <c r="BP28" s="584">
        <f t="shared" si="15"/>
        <v>8.0960121279542818</v>
      </c>
      <c r="BQ28" s="584">
        <f t="shared" si="15"/>
        <v>-10.952214595859516</v>
      </c>
      <c r="BR28" s="584">
        <f t="shared" si="15"/>
        <v>-12.857193981774969</v>
      </c>
      <c r="BV28" s="615" t="s">
        <v>1281</v>
      </c>
      <c r="BW28" s="591"/>
      <c r="BX28" s="591">
        <f>FY!H11</f>
        <v>862.6</v>
      </c>
      <c r="BY28" s="591">
        <f>FY!I11</f>
        <v>870.5</v>
      </c>
      <c r="BZ28" s="591">
        <f>FY!J11</f>
        <v>825.2</v>
      </c>
      <c r="CA28" s="591">
        <f>FY!K11</f>
        <v>822.7</v>
      </c>
      <c r="CB28" s="591">
        <f>FY!L11</f>
        <v>840.93399999999997</v>
      </c>
      <c r="CC28" s="591"/>
      <c r="CD28" s="592">
        <f>BZ28</f>
        <v>825.2</v>
      </c>
      <c r="CE28" s="591">
        <f>CE6</f>
        <v>822.7</v>
      </c>
      <c r="CF28" s="593">
        <f>CE28/CD28-1</f>
        <v>-3.0295685894328184E-3</v>
      </c>
      <c r="CG28" s="592">
        <f>CA28</f>
        <v>822.7</v>
      </c>
      <c r="CH28" s="593">
        <f>$CE28/CG28-1</f>
        <v>0</v>
      </c>
      <c r="CI28" s="592">
        <f>CM28</f>
        <v>815.21502982079221</v>
      </c>
      <c r="CJ28" s="593">
        <f>$CE28/CI28-1</f>
        <v>9.181590016628105E-3</v>
      </c>
      <c r="CK28" s="594"/>
      <c r="CL28" s="595"/>
      <c r="CM28" s="599">
        <f>DC28</f>
        <v>815.21502982079221</v>
      </c>
      <c r="CO28" s="80" t="s">
        <v>1259</v>
      </c>
      <c r="CP28" s="80" t="s">
        <v>1260</v>
      </c>
      <c r="CQ28" s="78" t="s">
        <v>1261</v>
      </c>
      <c r="CR28" s="598">
        <f>_xll.VAData($AD28,CR$4,$AE28,$AF28)</f>
        <v>631.5</v>
      </c>
      <c r="CS28" s="598">
        <f>_xll.VAData($AD28,CS$4,$AE28,$AF28)</f>
        <v>862.6</v>
      </c>
      <c r="CT28" s="598">
        <f>_xll.VAData($AD28,CT$4,$AE28,$AF28)</f>
        <v>870.5</v>
      </c>
      <c r="CU28" s="598">
        <f>_xll.VAData($AD28,CU$4,$AE28,$AF28)</f>
        <v>825.2</v>
      </c>
      <c r="CV28" s="598">
        <f>_xll.VAData($AD28,CV$4,$AE28,$AF28)</f>
        <v>822.7</v>
      </c>
      <c r="CW28" s="598">
        <f>_xll.VAData($AD28,CW$4,$AE28,$AF28)</f>
        <v>824.73076534785332</v>
      </c>
      <c r="CY28" s="596">
        <v>631.5</v>
      </c>
      <c r="CZ28" s="596">
        <v>862.6</v>
      </c>
      <c r="DA28" s="596">
        <v>870.5</v>
      </c>
      <c r="DB28" s="596">
        <v>825.2</v>
      </c>
      <c r="DC28" s="596">
        <v>815.21502982079221</v>
      </c>
      <c r="DD28" s="596">
        <v>851.50262084286237</v>
      </c>
      <c r="DG28" s="584">
        <f t="shared" si="16"/>
        <v>0</v>
      </c>
      <c r="DH28" s="584">
        <f t="shared" si="16"/>
        <v>0</v>
      </c>
      <c r="DI28" s="584">
        <f t="shared" si="16"/>
        <v>0</v>
      </c>
      <c r="DJ28" s="584">
        <f t="shared" si="16"/>
        <v>7.4849701792078349</v>
      </c>
      <c r="DK28" s="584">
        <f t="shared" si="16"/>
        <v>-10.568620842862401</v>
      </c>
    </row>
    <row r="29" spans="1:115">
      <c r="C29" s="589"/>
      <c r="D29" s="89"/>
      <c r="E29" s="89"/>
      <c r="F29" s="89"/>
      <c r="G29" s="89"/>
      <c r="H29" s="89"/>
      <c r="I29" s="89"/>
      <c r="J29" s="89"/>
      <c r="K29" s="89"/>
      <c r="L29" s="89"/>
      <c r="M29" s="89"/>
      <c r="N29" s="89"/>
      <c r="O29" s="89"/>
      <c r="P29" s="89"/>
      <c r="Q29" s="579"/>
      <c r="R29" s="89"/>
      <c r="S29" s="580"/>
      <c r="T29" s="579"/>
      <c r="U29" s="580"/>
      <c r="V29" s="579"/>
      <c r="W29" s="580"/>
      <c r="X29" s="90"/>
      <c r="Y29" s="87"/>
      <c r="Z29" s="87"/>
      <c r="AA29" s="87"/>
      <c r="AB29" s="586"/>
      <c r="AT29" s="586"/>
      <c r="AU29" s="586"/>
      <c r="AV29" s="586"/>
      <c r="AW29" s="586"/>
      <c r="AX29" s="586"/>
      <c r="AY29" s="586"/>
      <c r="AZ29" s="586"/>
      <c r="BA29" s="586"/>
      <c r="BB29" s="586"/>
      <c r="BC29" s="586"/>
      <c r="BD29" s="586"/>
      <c r="BE29" s="586"/>
      <c r="BG29" s="586"/>
      <c r="BH29" s="586"/>
      <c r="BI29" s="586"/>
      <c r="BJ29" s="586"/>
      <c r="BK29" s="586"/>
      <c r="BL29" s="586"/>
      <c r="BM29" s="586"/>
      <c r="BN29" s="586"/>
      <c r="BO29" s="586"/>
      <c r="BP29" s="586"/>
      <c r="BQ29" s="586"/>
      <c r="BR29" s="586"/>
      <c r="BV29" s="614"/>
      <c r="BW29" s="89"/>
      <c r="BX29" s="89"/>
      <c r="BY29" s="89"/>
      <c r="BZ29" s="89"/>
      <c r="CA29" s="89"/>
      <c r="CB29" s="89"/>
      <c r="CC29" s="89"/>
      <c r="CD29" s="579"/>
      <c r="CE29" s="89"/>
      <c r="CF29" s="580"/>
      <c r="CG29" s="579"/>
      <c r="CH29" s="580"/>
      <c r="CI29" s="579"/>
      <c r="CJ29" s="580"/>
      <c r="CK29" s="90"/>
      <c r="CL29" s="87"/>
      <c r="CM29" s="586"/>
      <c r="CY29" s="586"/>
      <c r="CZ29" s="586"/>
      <c r="DA29" s="586"/>
      <c r="DB29" s="586"/>
      <c r="DC29" s="586"/>
      <c r="DD29" s="586"/>
      <c r="DG29" s="586"/>
      <c r="DH29" s="586"/>
      <c r="DI29" s="586"/>
      <c r="DJ29" s="586"/>
      <c r="DK29" s="586"/>
    </row>
    <row r="30" spans="1:115">
      <c r="C30" s="85" t="s">
        <v>1282</v>
      </c>
      <c r="D30" s="89"/>
      <c r="E30" s="89"/>
      <c r="F30" s="89"/>
      <c r="G30" s="89"/>
      <c r="H30" s="89"/>
      <c r="I30" s="89"/>
      <c r="J30" s="89"/>
      <c r="K30" s="89"/>
      <c r="L30" s="89"/>
      <c r="M30" s="89"/>
      <c r="N30" s="89"/>
      <c r="O30" s="89"/>
      <c r="P30" s="89"/>
      <c r="Q30" s="579"/>
      <c r="R30" s="89"/>
      <c r="S30" s="580"/>
      <c r="T30" s="579"/>
      <c r="U30" s="580"/>
      <c r="V30" s="579"/>
      <c r="W30" s="580"/>
      <c r="X30" s="90"/>
      <c r="Y30" s="87"/>
      <c r="Z30" s="87"/>
      <c r="AA30" s="87"/>
      <c r="AB30" s="586"/>
      <c r="AT30" s="586"/>
      <c r="AU30" s="586"/>
      <c r="AV30" s="586"/>
      <c r="AW30" s="586"/>
      <c r="AX30" s="586"/>
      <c r="AY30" s="586"/>
      <c r="AZ30" s="586"/>
      <c r="BA30" s="586"/>
      <c r="BB30" s="586"/>
      <c r="BC30" s="586"/>
      <c r="BD30" s="586"/>
      <c r="BE30" s="586"/>
      <c r="BG30" s="586"/>
      <c r="BH30" s="586"/>
      <c r="BI30" s="586"/>
      <c r="BJ30" s="586"/>
      <c r="BK30" s="586"/>
      <c r="BL30" s="586"/>
      <c r="BM30" s="586"/>
      <c r="BN30" s="586"/>
      <c r="BO30" s="586"/>
      <c r="BP30" s="586"/>
      <c r="BQ30" s="586"/>
      <c r="BR30" s="586"/>
      <c r="BV30" s="613" t="s">
        <v>1282</v>
      </c>
      <c r="BW30" s="89"/>
      <c r="BX30" s="89"/>
      <c r="BY30" s="89"/>
      <c r="BZ30" s="89"/>
      <c r="CA30" s="89"/>
      <c r="CB30" s="89"/>
      <c r="CC30" s="89"/>
      <c r="CD30" s="579"/>
      <c r="CE30" s="89"/>
      <c r="CF30" s="580"/>
      <c r="CG30" s="579"/>
      <c r="CH30" s="580"/>
      <c r="CI30" s="579"/>
      <c r="CJ30" s="580"/>
      <c r="CK30" s="90"/>
      <c r="CL30" s="87"/>
      <c r="CM30" s="586"/>
      <c r="CY30" s="586"/>
      <c r="CZ30" s="586"/>
      <c r="DA30" s="586"/>
      <c r="DB30" s="586"/>
      <c r="DC30" s="586"/>
      <c r="DD30" s="586"/>
      <c r="DG30" s="586"/>
      <c r="DH30" s="586"/>
      <c r="DI30" s="586"/>
      <c r="DJ30" s="586"/>
      <c r="DK30" s="586"/>
    </row>
    <row r="31" spans="1:115">
      <c r="C31" s="589" t="s">
        <v>70</v>
      </c>
      <c r="D31" s="89"/>
      <c r="E31" s="89"/>
      <c r="F31" s="89">
        <f>HY!O319</f>
        <v>130.6</v>
      </c>
      <c r="G31" s="89">
        <f>HY!P319</f>
        <v>120.9</v>
      </c>
      <c r="H31" s="89">
        <f>HY!Q319</f>
        <v>125.7</v>
      </c>
      <c r="I31" s="89">
        <f>HY!R319</f>
        <v>111.3</v>
      </c>
      <c r="J31" s="89">
        <f>HY!S319</f>
        <v>107.7</v>
      </c>
      <c r="K31" s="89">
        <f>HY!T319</f>
        <v>101.89999999999999</v>
      </c>
      <c r="L31" s="89">
        <f>HY!U319</f>
        <v>89.6</v>
      </c>
      <c r="M31" s="89">
        <f>HY!V319</f>
        <v>90.200000000000017</v>
      </c>
      <c r="N31" s="89">
        <f>HY!W319</f>
        <v>91.967199999999991</v>
      </c>
      <c r="O31" s="89">
        <f>HY!X319</f>
        <v>93.731200000000001</v>
      </c>
      <c r="P31" s="89"/>
      <c r="Q31" s="579">
        <f>J31</f>
        <v>107.7</v>
      </c>
      <c r="R31" s="89">
        <v>89.6</v>
      </c>
      <c r="S31" s="580">
        <f t="shared" ref="S31:S36" si="17">R31/Q31-1</f>
        <v>-0.16805942432683385</v>
      </c>
      <c r="T31" s="579">
        <f t="shared" ref="T31:T36" si="18">L31</f>
        <v>89.6</v>
      </c>
      <c r="U31" s="580">
        <f t="shared" ref="U31:U36" si="19">$R31/T31-1</f>
        <v>0</v>
      </c>
      <c r="V31" s="579">
        <f t="shared" ref="V31:V36" si="20">AB31</f>
        <v>80.770041544341083</v>
      </c>
      <c r="W31" s="580">
        <f t="shared" ref="W31:W36" si="21">$R31/V31-1</f>
        <v>0.10932219777070995</v>
      </c>
      <c r="X31" s="90"/>
      <c r="Y31" s="87"/>
      <c r="Z31" s="87"/>
      <c r="AA31" s="87"/>
      <c r="AB31" s="585">
        <f t="shared" ref="AB31:AB36" si="22">BB31</f>
        <v>80.770041544341083</v>
      </c>
      <c r="AD31" s="77" t="s">
        <v>1259</v>
      </c>
      <c r="AE31" s="77" t="s">
        <v>1283</v>
      </c>
      <c r="AF31" s="78" t="s">
        <v>1261</v>
      </c>
      <c r="AG31" s="86">
        <f>_xll.VAData($AD31,AG$4,$AE31,$AF31)</f>
        <v>16</v>
      </c>
      <c r="AH31" s="86">
        <f>_xll.VAData($AD31,AH$4,$AE31,$AF31)</f>
        <v>84.9</v>
      </c>
      <c r="AI31" s="86">
        <f>_xll.VAData($AD31,AI$4,$AE31,$AF31)</f>
        <v>130.6</v>
      </c>
      <c r="AJ31" s="86">
        <f>_xll.VAData($AD31,AJ$4,$AE31,$AF31)</f>
        <v>120.9</v>
      </c>
      <c r="AK31" s="86">
        <f>_xll.VAData($AD31,AK$4,$AE31,$AF31)</f>
        <v>125.7</v>
      </c>
      <c r="AL31" s="86">
        <f>_xll.VAData($AD31,AL$4,$AE31,$AF31)</f>
        <v>111.3</v>
      </c>
      <c r="AM31" s="86">
        <f>_xll.VAData($AD31,AM$4,$AE31,$AF31)</f>
        <v>107.7</v>
      </c>
      <c r="AN31" s="86">
        <f>_xll.VAData($AD31,AN$4,$AE31,$AF31)</f>
        <v>101.9</v>
      </c>
      <c r="AO31" s="86">
        <f>_xll.VAData($AD31,AO$4,$AE31,$AF31)</f>
        <v>89.6</v>
      </c>
      <c r="AP31" s="86">
        <f>_xll.VAData($AD31,AP$4,$AE31,$AF31)</f>
        <v>90.2</v>
      </c>
      <c r="AQ31" s="86">
        <f>_xll.VAData($AD31,AQ$4,$AE31,$AF31)</f>
        <v>87.553912535193462</v>
      </c>
      <c r="AR31" s="86">
        <f>_xll.VAData($AD31,AR$4,$AE31,$AF31)</f>
        <v>91.345114531913225</v>
      </c>
      <c r="AT31" s="581">
        <v>16</v>
      </c>
      <c r="AU31" s="581">
        <v>84.9</v>
      </c>
      <c r="AV31" s="581">
        <v>130.6</v>
      </c>
      <c r="AW31" s="581">
        <v>120.9</v>
      </c>
      <c r="AX31" s="581">
        <v>125.7</v>
      </c>
      <c r="AY31" s="581">
        <v>111.3</v>
      </c>
      <c r="AZ31" s="581">
        <v>107.7</v>
      </c>
      <c r="BA31" s="581">
        <v>101.9</v>
      </c>
      <c r="BB31" s="581">
        <v>80.770041544341083</v>
      </c>
      <c r="BC31" s="581">
        <v>98.663665194279119</v>
      </c>
      <c r="BD31" s="581">
        <v>102.5555232471399</v>
      </c>
      <c r="BE31" s="581">
        <v>107.1671646196348</v>
      </c>
      <c r="BG31" s="586"/>
      <c r="BH31" s="586"/>
      <c r="BI31" s="584">
        <f t="shared" ref="BI31:BR36" si="23">F31-AV31</f>
        <v>0</v>
      </c>
      <c r="BJ31" s="584">
        <f t="shared" si="23"/>
        <v>0</v>
      </c>
      <c r="BK31" s="584">
        <f t="shared" si="23"/>
        <v>0</v>
      </c>
      <c r="BL31" s="584">
        <f t="shared" si="23"/>
        <v>0</v>
      </c>
      <c r="BM31" s="584">
        <f t="shared" si="23"/>
        <v>0</v>
      </c>
      <c r="BN31" s="584">
        <f t="shared" si="23"/>
        <v>0</v>
      </c>
      <c r="BO31" s="584">
        <f t="shared" si="23"/>
        <v>8.829958455658911</v>
      </c>
      <c r="BP31" s="584">
        <f t="shared" si="23"/>
        <v>-8.4636651942791019</v>
      </c>
      <c r="BQ31" s="584">
        <f t="shared" si="23"/>
        <v>-10.588323247139911</v>
      </c>
      <c r="BR31" s="584">
        <f t="shared" si="23"/>
        <v>-13.435964619634802</v>
      </c>
      <c r="BV31" s="614" t="s">
        <v>70</v>
      </c>
      <c r="BW31" s="89"/>
      <c r="BX31" s="89">
        <f>FY!H13</f>
        <v>251.5</v>
      </c>
      <c r="BY31" s="89">
        <f>FY!I13</f>
        <v>237</v>
      </c>
      <c r="BZ31" s="89">
        <f>FY!J13</f>
        <v>209.6</v>
      </c>
      <c r="CA31" s="89">
        <f>FY!K13</f>
        <v>179.8</v>
      </c>
      <c r="CB31" s="89">
        <f>FY!L13</f>
        <v>185.69839999999999</v>
      </c>
      <c r="CC31" s="89"/>
      <c r="CD31" s="579">
        <f>BZ31</f>
        <v>209.6</v>
      </c>
      <c r="CE31" s="89">
        <v>179.8</v>
      </c>
      <c r="CF31" s="580">
        <f t="shared" ref="CF31:CF36" si="24">CE31/CD31-1</f>
        <v>-0.14217557251908386</v>
      </c>
      <c r="CG31" s="579">
        <f t="shared" ref="CG31:CG36" si="25">CA31</f>
        <v>179.8</v>
      </c>
      <c r="CH31" s="580">
        <f t="shared" ref="CH31:CH36" si="26">$CE31/CG31-1</f>
        <v>0</v>
      </c>
      <c r="CI31" s="579">
        <f t="shared" ref="CI31:CI36" si="27">CM31</f>
        <v>181.93591697108761</v>
      </c>
      <c r="CJ31" s="580">
        <f t="shared" ref="CJ31:CJ36" si="28">$CE31/CI31-1</f>
        <v>-1.1739941220221151E-2</v>
      </c>
      <c r="CK31" s="90"/>
      <c r="CL31" s="87"/>
      <c r="CM31" s="585">
        <f t="shared" ref="CM31:CM36" si="29">DC31</f>
        <v>181.93591697108761</v>
      </c>
      <c r="CO31" s="77" t="s">
        <v>1259</v>
      </c>
      <c r="CP31" s="77" t="s">
        <v>1283</v>
      </c>
      <c r="CQ31" s="78" t="s">
        <v>1261</v>
      </c>
      <c r="CR31" s="86">
        <f>_xll.VAData($AD31,CR$4,$AE31,$AF31)</f>
        <v>100.9</v>
      </c>
      <c r="CS31" s="86">
        <f>_xll.VAData($AD31,CS$4,$AE31,$AF31)</f>
        <v>251.5</v>
      </c>
      <c r="CT31" s="86">
        <f>_xll.VAData($AD31,CT$4,$AE31,$AF31)</f>
        <v>237</v>
      </c>
      <c r="CU31" s="86">
        <f>_xll.VAData($AD31,CU$4,$AE31,$AF31)</f>
        <v>209.6</v>
      </c>
      <c r="CV31" s="86">
        <f>_xll.VAData($AD31,CV$4,$AE31,$AF31)</f>
        <v>179.8</v>
      </c>
      <c r="CW31" s="86">
        <f>_xll.VAData($AD31,CW$4,$AE31,$AF31)</f>
        <v>179.28118439164371</v>
      </c>
      <c r="CY31" s="581">
        <v>100.9</v>
      </c>
      <c r="CZ31" s="581">
        <v>251.5</v>
      </c>
      <c r="DA31" s="581">
        <v>237</v>
      </c>
      <c r="DB31" s="581">
        <v>209.6</v>
      </c>
      <c r="DC31" s="581">
        <v>181.93591697108761</v>
      </c>
      <c r="DD31" s="581">
        <v>198.27076151610439</v>
      </c>
      <c r="DG31" s="584">
        <f t="shared" ref="DG31:DK36" si="30">BX31-CZ31</f>
        <v>0</v>
      </c>
      <c r="DH31" s="584">
        <f t="shared" si="30"/>
        <v>0</v>
      </c>
      <c r="DI31" s="584">
        <f t="shared" si="30"/>
        <v>0</v>
      </c>
      <c r="DJ31" s="584">
        <f t="shared" si="30"/>
        <v>-2.135916971087596</v>
      </c>
      <c r="DK31" s="584">
        <f t="shared" si="30"/>
        <v>-12.572361516104394</v>
      </c>
    </row>
    <row r="32" spans="1:115">
      <c r="C32" s="589" t="s">
        <v>1284</v>
      </c>
      <c r="D32" s="89"/>
      <c r="E32" s="89"/>
      <c r="F32" s="89">
        <f>HY!O320</f>
        <v>22.9</v>
      </c>
      <c r="G32" s="89">
        <f>HY!P320</f>
        <v>16.399999999999999</v>
      </c>
      <c r="H32" s="89">
        <f>HY!Q320</f>
        <v>16.7</v>
      </c>
      <c r="I32" s="89">
        <f>HY!R320</f>
        <v>18.3</v>
      </c>
      <c r="J32" s="89">
        <f>HY!S320</f>
        <v>17.5</v>
      </c>
      <c r="K32" s="89">
        <f>HY!T320</f>
        <v>16.200000000000003</v>
      </c>
      <c r="L32" s="89">
        <f>HY!U320</f>
        <v>15.5</v>
      </c>
      <c r="M32" s="89">
        <f>HY!V320</f>
        <v>15.899999999999999</v>
      </c>
      <c r="N32" s="89">
        <f>HY!W320</f>
        <v>17.027932</v>
      </c>
      <c r="O32" s="89">
        <f>HY!X320</f>
        <v>16.722303199999999</v>
      </c>
      <c r="P32" s="89"/>
      <c r="Q32" s="579">
        <f>J32</f>
        <v>17.5</v>
      </c>
      <c r="R32" s="89">
        <v>15.5</v>
      </c>
      <c r="S32" s="580">
        <f t="shared" si="17"/>
        <v>-0.11428571428571432</v>
      </c>
      <c r="T32" s="579">
        <f t="shared" si="18"/>
        <v>15.5</v>
      </c>
      <c r="U32" s="580">
        <f t="shared" si="19"/>
        <v>0</v>
      </c>
      <c r="V32" s="579">
        <f t="shared" si="20"/>
        <v>15.21218033303869</v>
      </c>
      <c r="W32" s="580">
        <f t="shared" si="21"/>
        <v>1.8920342821351355E-2</v>
      </c>
      <c r="X32" s="90"/>
      <c r="Y32" s="87"/>
      <c r="Z32" s="87"/>
      <c r="AA32" s="87"/>
      <c r="AB32" s="585">
        <f t="shared" si="22"/>
        <v>15.21218033303869</v>
      </c>
      <c r="AD32" s="77" t="s">
        <v>1259</v>
      </c>
      <c r="AE32" s="77" t="s">
        <v>1285</v>
      </c>
      <c r="AF32" s="78" t="s">
        <v>1261</v>
      </c>
      <c r="AG32" s="86">
        <f>_xll.VAData($AD32,AG$4,$AE32,$AF32)</f>
        <v>11</v>
      </c>
      <c r="AH32" s="86">
        <f>_xll.VAData($AD32,AH$4,$AE32,$AF32)</f>
        <v>16.5</v>
      </c>
      <c r="AI32" s="86">
        <f>_xll.VAData($AD32,AI$4,$AE32,$AF32)</f>
        <v>22.9</v>
      </c>
      <c r="AJ32" s="86">
        <f>_xll.VAData($AD32,AJ$4,$AE32,$AF32)</f>
        <v>16.3</v>
      </c>
      <c r="AK32" s="86">
        <f>_xll.VAData($AD32,AK$4,$AE32,$AF32)</f>
        <v>16.8</v>
      </c>
      <c r="AL32" s="86">
        <f>_xll.VAData($AD32,AL$4,$AE32,$AF32)</f>
        <v>18.3</v>
      </c>
      <c r="AM32" s="86">
        <f>_xll.VAData($AD32,AM$4,$AE32,$AF32)</f>
        <v>17.5</v>
      </c>
      <c r="AN32" s="86">
        <f>_xll.VAData($AD32,AN$4,$AE32,$AF32)</f>
        <v>16.2</v>
      </c>
      <c r="AO32" s="86">
        <f>_xll.VAData($AD32,AO$4,$AE32,$AF32)</f>
        <v>15.5</v>
      </c>
      <c r="AP32" s="86">
        <f>_xll.VAData($AD32,AP$4,$AE32,$AF32)</f>
        <v>15.9</v>
      </c>
      <c r="AQ32" s="86">
        <f>_xll.VAData($AD32,AQ$4,$AE32,$AF32)</f>
        <v>16.170726420521</v>
      </c>
      <c r="AR32" s="86">
        <f>_xll.VAData($AD32,AR$4,$AE32,$AF32)</f>
        <v>16.547591896909225</v>
      </c>
      <c r="AT32" s="581">
        <v>11</v>
      </c>
      <c r="AU32" s="581">
        <v>16.5</v>
      </c>
      <c r="AV32" s="581">
        <v>22.9</v>
      </c>
      <c r="AW32" s="581">
        <v>16.3</v>
      </c>
      <c r="AX32" s="581">
        <v>16.8</v>
      </c>
      <c r="AY32" s="581">
        <v>18.3</v>
      </c>
      <c r="AZ32" s="581">
        <v>17.5</v>
      </c>
      <c r="BA32" s="581">
        <v>16.2</v>
      </c>
      <c r="BB32" s="581">
        <v>15.21218033303869</v>
      </c>
      <c r="BC32" s="581">
        <v>15.164840917567091</v>
      </c>
      <c r="BD32" s="581">
        <v>15.695056296928881</v>
      </c>
      <c r="BE32" s="581">
        <v>15.64029113692747</v>
      </c>
      <c r="BG32" s="586"/>
      <c r="BH32" s="586"/>
      <c r="BI32" s="584">
        <f t="shared" si="23"/>
        <v>0</v>
      </c>
      <c r="BJ32" s="584">
        <f t="shared" si="23"/>
        <v>9.9999999999997868E-2</v>
      </c>
      <c r="BK32" s="584">
        <f t="shared" si="23"/>
        <v>-0.10000000000000142</v>
      </c>
      <c r="BL32" s="584">
        <f t="shared" si="23"/>
        <v>0</v>
      </c>
      <c r="BM32" s="584">
        <f t="shared" si="23"/>
        <v>0</v>
      </c>
      <c r="BN32" s="584">
        <f t="shared" si="23"/>
        <v>0</v>
      </c>
      <c r="BO32" s="584">
        <f t="shared" si="23"/>
        <v>0.28781966696131001</v>
      </c>
      <c r="BP32" s="584">
        <f t="shared" si="23"/>
        <v>0.73515908243290795</v>
      </c>
      <c r="BQ32" s="584">
        <f t="shared" si="23"/>
        <v>1.3328757030711191</v>
      </c>
      <c r="BR32" s="584">
        <f t="shared" si="23"/>
        <v>1.0820120630725292</v>
      </c>
      <c r="BV32" s="614" t="s">
        <v>77</v>
      </c>
      <c r="BW32" s="89"/>
      <c r="BX32" s="89">
        <f>FY!H14</f>
        <v>39.299999999999997</v>
      </c>
      <c r="BY32" s="89">
        <f>FY!I14</f>
        <v>35</v>
      </c>
      <c r="BZ32" s="89">
        <f>FY!J14</f>
        <v>33.700000000000003</v>
      </c>
      <c r="CA32" s="89">
        <f>FY!K14</f>
        <v>31.4</v>
      </c>
      <c r="CB32" s="89">
        <f>FY!L14</f>
        <v>33.750235199999999</v>
      </c>
      <c r="CC32" s="89"/>
      <c r="CD32" s="579">
        <f>BZ32</f>
        <v>33.700000000000003</v>
      </c>
      <c r="CE32" s="89">
        <v>31.4</v>
      </c>
      <c r="CF32" s="580">
        <f t="shared" si="24"/>
        <v>-6.8249258160237525E-2</v>
      </c>
      <c r="CG32" s="579">
        <f t="shared" si="25"/>
        <v>31.4</v>
      </c>
      <c r="CH32" s="580">
        <f t="shared" si="26"/>
        <v>0</v>
      </c>
      <c r="CI32" s="579">
        <f t="shared" si="27"/>
        <v>31.390959182329642</v>
      </c>
      <c r="CJ32" s="580">
        <f t="shared" si="28"/>
        <v>2.8800705380960245E-4</v>
      </c>
      <c r="CK32" s="90"/>
      <c r="CL32" s="87"/>
      <c r="CM32" s="585">
        <f t="shared" si="29"/>
        <v>31.390959182329642</v>
      </c>
      <c r="CO32" s="77" t="s">
        <v>1259</v>
      </c>
      <c r="CP32" s="77" t="s">
        <v>1285</v>
      </c>
      <c r="CQ32" s="78" t="s">
        <v>1261</v>
      </c>
      <c r="CR32" s="86">
        <f>_xll.VAData($AD32,CR$4,$AE32,$AF32)</f>
        <v>27.5</v>
      </c>
      <c r="CS32" s="86">
        <f>_xll.VAData($AD32,CS$4,$AE32,$AF32)</f>
        <v>39.299999999999997</v>
      </c>
      <c r="CT32" s="86">
        <f>_xll.VAData($AD32,CT$4,$AE32,$AF32)</f>
        <v>35.009</v>
      </c>
      <c r="CU32" s="86">
        <f>_xll.VAData($AD32,CU$4,$AE32,$AF32)</f>
        <v>33.700000000000003</v>
      </c>
      <c r="CV32" s="86">
        <f>_xll.VAData($AD32,CV$4,$AE32,$AF32)</f>
        <v>31.4</v>
      </c>
      <c r="CW32" s="86">
        <f>_xll.VAData($AD32,CW$4,$AE32,$AF32)</f>
        <v>32.832797531902564</v>
      </c>
      <c r="CY32" s="581">
        <v>27.5</v>
      </c>
      <c r="CZ32" s="581">
        <v>39.299999999999997</v>
      </c>
      <c r="DA32" s="581">
        <v>35.009</v>
      </c>
      <c r="DB32" s="581">
        <v>33.700000000000003</v>
      </c>
      <c r="DC32" s="581">
        <v>31.390959182329642</v>
      </c>
      <c r="DD32" s="581">
        <v>32.15462029842223</v>
      </c>
      <c r="DG32" s="584">
        <f t="shared" si="30"/>
        <v>0</v>
      </c>
      <c r="DH32" s="584">
        <f t="shared" si="30"/>
        <v>-9.0000000000003411E-3</v>
      </c>
      <c r="DI32" s="584">
        <f t="shared" si="30"/>
        <v>0</v>
      </c>
      <c r="DJ32" s="584">
        <f t="shared" si="30"/>
        <v>9.0408176703569154E-3</v>
      </c>
      <c r="DK32" s="584">
        <f t="shared" si="30"/>
        <v>1.5956149015777683</v>
      </c>
    </row>
    <row r="33" spans="1:116">
      <c r="C33" s="589" t="s">
        <v>78</v>
      </c>
      <c r="D33" s="89"/>
      <c r="E33" s="89"/>
      <c r="F33" s="89">
        <f>HY!O321</f>
        <v>20.7</v>
      </c>
      <c r="G33" s="89">
        <f>HY!P321</f>
        <v>15.400000000000002</v>
      </c>
      <c r="H33" s="89">
        <f>HY!Q321</f>
        <v>18.2</v>
      </c>
      <c r="I33" s="89">
        <f>HY!R321</f>
        <v>21.400000000000002</v>
      </c>
      <c r="J33" s="89">
        <f>HY!S321</f>
        <v>21.6</v>
      </c>
      <c r="K33" s="89">
        <f>HY!T321</f>
        <v>9.5</v>
      </c>
      <c r="L33" s="89">
        <f>HY!U321</f>
        <v>9.6999999999999993</v>
      </c>
      <c r="M33" s="89">
        <f>HY!V321</f>
        <v>13.100000000000001</v>
      </c>
      <c r="N33" s="89">
        <f>HY!W321</f>
        <v>14.700500000000005</v>
      </c>
      <c r="O33" s="89">
        <f>HY!X321</f>
        <v>13.596999999999994</v>
      </c>
      <c r="P33" s="89"/>
      <c r="Q33" s="638">
        <v>21.6</v>
      </c>
      <c r="R33" s="89">
        <v>9.6999999999999993</v>
      </c>
      <c r="S33" s="580">
        <f t="shared" si="17"/>
        <v>-0.55092592592592604</v>
      </c>
      <c r="T33" s="579">
        <f t="shared" si="18"/>
        <v>9.6999999999999993</v>
      </c>
      <c r="U33" s="580">
        <f t="shared" si="19"/>
        <v>0</v>
      </c>
      <c r="V33" s="579">
        <f t="shared" si="20"/>
        <v>12.974327524569899</v>
      </c>
      <c r="W33" s="580">
        <f t="shared" si="21"/>
        <v>-0.25236972924948908</v>
      </c>
      <c r="X33" s="90"/>
      <c r="Y33" s="87"/>
      <c r="Z33" s="87"/>
      <c r="AA33" s="87"/>
      <c r="AB33" s="585">
        <f t="shared" si="22"/>
        <v>12.974327524569899</v>
      </c>
      <c r="AD33" s="77" t="s">
        <v>1259</v>
      </c>
      <c r="AE33" s="77" t="s">
        <v>1286</v>
      </c>
      <c r="AF33" s="78" t="s">
        <v>1261</v>
      </c>
      <c r="AG33" s="86">
        <f>_xll.VAData($AD33,AG$4,$AE33,$AF33)</f>
        <v>11.338582677165361</v>
      </c>
      <c r="AH33" s="86">
        <f>_xll.VAData($AD33,AH$4,$AE33,$AF33)</f>
        <v>11.191630701469848</v>
      </c>
      <c r="AI33" s="86">
        <f>_xll.VAData($AD33,AI$4,$AE33,$AF33)</f>
        <v>20.7</v>
      </c>
      <c r="AJ33" s="86">
        <f>_xll.VAData($AD33,AJ$4,$AE33,$AF33)</f>
        <v>15.282071737991103</v>
      </c>
      <c r="AK33" s="86">
        <f>_xll.VAData($AD33,AK$4,$AE33,$AF33)</f>
        <v>18.2</v>
      </c>
      <c r="AL33" s="86">
        <f>_xll.VAData($AD33,AL$4,$AE33,$AF33)</f>
        <v>21.4</v>
      </c>
      <c r="AM33" s="86">
        <f>_xll.VAData($AD33,AM$4,$AE33,$AF33)</f>
        <v>21.6</v>
      </c>
      <c r="AN33" s="86">
        <f>_xll.VAData($AD33,AN$4,$AE33,$AF33)</f>
        <v>9.5</v>
      </c>
      <c r="AO33" s="86">
        <f>_xll.VAData($AD33,AO$4,$AE33,$AF33)</f>
        <v>9.6999999999999993</v>
      </c>
      <c r="AP33" s="86">
        <f>_xll.VAData($AD33,AP$4,$AE33,$AF33)</f>
        <v>13.1</v>
      </c>
      <c r="AQ33" s="86">
        <f>_xll.VAData($AD33,AQ$4,$AE33,$AF33)</f>
        <v>13.174635344332028</v>
      </c>
      <c r="AR33" s="86">
        <f>_xll.VAData($AD33,AR$4,$AE33,$AF33)</f>
        <v>8.1437418504498247</v>
      </c>
      <c r="AT33" s="581">
        <v>11.338582677165361</v>
      </c>
      <c r="AU33" s="581">
        <v>11.191630701469849</v>
      </c>
      <c r="AV33" s="581">
        <v>20.7</v>
      </c>
      <c r="AW33" s="581">
        <v>15.2820717379911</v>
      </c>
      <c r="AX33" s="581">
        <v>18.2</v>
      </c>
      <c r="AY33" s="581">
        <v>21.4</v>
      </c>
      <c r="AZ33" s="581">
        <v>15.2</v>
      </c>
      <c r="BA33" s="581">
        <v>15.9</v>
      </c>
      <c r="BB33" s="581">
        <v>12.974327524569899</v>
      </c>
      <c r="BC33" s="581">
        <v>13.12971373021306</v>
      </c>
      <c r="BD33" s="581">
        <v>9.8071827110759457</v>
      </c>
      <c r="BE33" s="581">
        <v>10.328982845332449</v>
      </c>
      <c r="BG33" s="586"/>
      <c r="BH33" s="586"/>
      <c r="BI33" s="584">
        <f t="shared" si="23"/>
        <v>0</v>
      </c>
      <c r="BJ33" s="584">
        <f t="shared" si="23"/>
        <v>0.11792826200890261</v>
      </c>
      <c r="BK33" s="584">
        <f t="shared" si="23"/>
        <v>0</v>
      </c>
      <c r="BL33" s="584">
        <f t="shared" si="23"/>
        <v>0</v>
      </c>
      <c r="BM33" s="584">
        <f t="shared" si="23"/>
        <v>6.4000000000000021</v>
      </c>
      <c r="BN33" s="584">
        <f t="shared" si="23"/>
        <v>-6.4</v>
      </c>
      <c r="BO33" s="584">
        <f t="shared" si="23"/>
        <v>-3.2743275245698999</v>
      </c>
      <c r="BP33" s="584">
        <f t="shared" si="23"/>
        <v>-2.9713730213059009E-2</v>
      </c>
      <c r="BQ33" s="584">
        <f t="shared" si="23"/>
        <v>4.8933172889240595</v>
      </c>
      <c r="BR33" s="584">
        <f t="shared" si="23"/>
        <v>3.2680171546675449</v>
      </c>
      <c r="BV33" s="614" t="s">
        <v>78</v>
      </c>
      <c r="BW33" s="89"/>
      <c r="BX33" s="89">
        <f>FY!H15</f>
        <v>36.1</v>
      </c>
      <c r="BY33" s="89">
        <f>FY!I15</f>
        <v>39.6</v>
      </c>
      <c r="BZ33" s="89">
        <f>FY!J15</f>
        <v>31.1</v>
      </c>
      <c r="CA33" s="89">
        <f>FY!K15</f>
        <v>22.8</v>
      </c>
      <c r="CB33" s="89">
        <f>FY!L15</f>
        <v>28.297499999999999</v>
      </c>
      <c r="CC33" s="89"/>
      <c r="CD33" s="579">
        <v>32.9</v>
      </c>
      <c r="CE33" s="89">
        <v>22.8</v>
      </c>
      <c r="CF33" s="580">
        <f t="shared" si="24"/>
        <v>-0.30699088145896647</v>
      </c>
      <c r="CG33" s="579">
        <f t="shared" si="25"/>
        <v>22.8</v>
      </c>
      <c r="CH33" s="580">
        <f t="shared" si="26"/>
        <v>0</v>
      </c>
      <c r="CI33" s="579">
        <f t="shared" si="27"/>
        <v>13.85572786599397</v>
      </c>
      <c r="CJ33" s="580">
        <f t="shared" si="28"/>
        <v>0.64552885424070028</v>
      </c>
      <c r="CK33" s="90"/>
      <c r="CL33" s="87"/>
      <c r="CM33" s="585">
        <f t="shared" si="29"/>
        <v>13.85572786599397</v>
      </c>
      <c r="CO33" s="77" t="s">
        <v>1259</v>
      </c>
      <c r="CP33" s="77" t="s">
        <v>1286</v>
      </c>
      <c r="CQ33" s="78" t="s">
        <v>1261</v>
      </c>
      <c r="CR33" s="86">
        <f>_xll.VAData($AD33,CR$4,$AE33,$AF33)</f>
        <v>22.663314022841238</v>
      </c>
      <c r="CS33" s="86">
        <f>_xll.VAData($AD33,CS$4,$AE33,$AF33)</f>
        <v>35.98381275292558</v>
      </c>
      <c r="CT33" s="86">
        <f>_xll.VAData($AD33,CT$4,$AE33,$AF33)</f>
        <v>39.6</v>
      </c>
      <c r="CU33" s="86">
        <f>_xll.VAData($AD33,CU$4,$AE33,$AF33)</f>
        <v>31.1</v>
      </c>
      <c r="CV33" s="86">
        <f>_xll.VAData($AD33,CV$4,$AE33,$AF33)</f>
        <v>22.8</v>
      </c>
      <c r="CW33" s="86">
        <f>_xll.VAData($AD33,CW$4,$AE33,$AF33)</f>
        <v>20.296878779306653</v>
      </c>
      <c r="CY33" s="581">
        <v>22.663314022841242</v>
      </c>
      <c r="CZ33" s="581">
        <v>35.98381275292558</v>
      </c>
      <c r="DA33" s="581">
        <v>39.6</v>
      </c>
      <c r="DB33" s="581">
        <v>31.1</v>
      </c>
      <c r="DC33" s="581">
        <v>13.85572786599397</v>
      </c>
      <c r="DD33" s="581">
        <v>10.28099703506185</v>
      </c>
      <c r="DG33" s="584">
        <f t="shared" si="30"/>
        <v>0.11618724707442141</v>
      </c>
      <c r="DH33" s="584">
        <f t="shared" si="30"/>
        <v>0</v>
      </c>
      <c r="DI33" s="584">
        <f t="shared" si="30"/>
        <v>0</v>
      </c>
      <c r="DJ33" s="584">
        <f t="shared" si="30"/>
        <v>8.9442721340060309</v>
      </c>
      <c r="DK33" s="584">
        <f t="shared" si="30"/>
        <v>18.016502964938148</v>
      </c>
    </row>
    <row r="34" spans="1:116">
      <c r="C34" s="589" t="s">
        <v>1287</v>
      </c>
      <c r="D34" s="89"/>
      <c r="E34" s="89"/>
      <c r="F34" s="89">
        <f>HY!O293</f>
        <v>5.6</v>
      </c>
      <c r="G34" s="89">
        <f>HY!P293</f>
        <v>5.0999999999999996</v>
      </c>
      <c r="H34" s="89">
        <f>HY!Q293</f>
        <v>3</v>
      </c>
      <c r="I34" s="89">
        <f>HY!R293</f>
        <v>0.60000000000000009</v>
      </c>
      <c r="J34" s="89">
        <f>HY!S293</f>
        <v>-1.1000000000000001</v>
      </c>
      <c r="K34" s="89">
        <f>HY!T293</f>
        <v>-0.7</v>
      </c>
      <c r="L34" s="89">
        <f>HY!U293</f>
        <v>-2.1</v>
      </c>
      <c r="M34" s="89">
        <f>HY!V293</f>
        <v>-4.3000000000000007</v>
      </c>
      <c r="N34" s="89">
        <f>HY!W293</f>
        <v>-6</v>
      </c>
      <c r="O34" s="89">
        <f>HY!X293</f>
        <v>-7</v>
      </c>
      <c r="P34" s="89"/>
      <c r="Q34" s="579">
        <f>J34</f>
        <v>-1.1000000000000001</v>
      </c>
      <c r="R34" s="89">
        <v>-2.1</v>
      </c>
      <c r="S34" s="580">
        <f t="shared" si="17"/>
        <v>0.90909090909090895</v>
      </c>
      <c r="T34" s="579">
        <f t="shared" si="18"/>
        <v>-2.1</v>
      </c>
      <c r="U34" s="580">
        <f t="shared" si="19"/>
        <v>0</v>
      </c>
      <c r="V34" s="579">
        <f t="shared" si="20"/>
        <v>-2.920583333333334</v>
      </c>
      <c r="W34" s="580">
        <f t="shared" si="21"/>
        <v>-0.2809655605329987</v>
      </c>
      <c r="X34" s="90"/>
      <c r="Y34" s="87"/>
      <c r="Z34" s="87"/>
      <c r="AA34" s="87"/>
      <c r="AB34" s="585">
        <f t="shared" si="22"/>
        <v>-2.920583333333334</v>
      </c>
      <c r="AD34" s="77" t="s">
        <v>1259</v>
      </c>
      <c r="AE34" s="77" t="s">
        <v>1288</v>
      </c>
      <c r="AF34" s="78" t="s">
        <v>1261</v>
      </c>
      <c r="AG34" s="86">
        <f>_xll.VAData($AD34,AG$4,$AE34,$AF34)</f>
        <v>7</v>
      </c>
      <c r="AH34" s="86">
        <f>_xll.VAData($AD34,AH$4,$AE34,$AF34)</f>
        <v>5.9</v>
      </c>
      <c r="AI34" s="86">
        <f>_xll.VAData($AD34,AI$4,$AE34,$AF34)</f>
        <v>5.6</v>
      </c>
      <c r="AJ34" s="86">
        <f>_xll.VAData($AD34,AJ$4,$AE34,$AF34)</f>
        <v>5.0999999999999996</v>
      </c>
      <c r="AK34" s="86">
        <f>_xll.VAData($AD34,AK$4,$AE34,$AF34)</f>
        <v>3</v>
      </c>
      <c r="AL34" s="86">
        <f>_xll.VAData($AD34,AL$4,$AE34,$AF34)</f>
        <v>0.6</v>
      </c>
      <c r="AM34" s="86">
        <f>_xll.VAData($AD34,AM$4,$AE34,$AF34)</f>
        <v>-1.1000000000000001</v>
      </c>
      <c r="AN34" s="86">
        <f>_xll.VAData($AD34,AN$4,$AE34,$AF34)</f>
        <v>-0.7</v>
      </c>
      <c r="AO34" s="86">
        <f>_xll.VAData($AD34,AO$4,$AE34,$AF34)</f>
        <v>-2.1</v>
      </c>
      <c r="AP34" s="86">
        <f>_xll.VAData($AD34,AP$4,$AE34,$AF34)</f>
        <v>-4.3</v>
      </c>
      <c r="AQ34" s="86">
        <f>_xll.VAData($AD34,AQ$4,$AE34,$AF34)</f>
        <v>-4.9010687921098599</v>
      </c>
      <c r="AR34" s="86">
        <f>_xll.VAData($AD34,AR$4,$AE34,$AF34)</f>
        <v>-5.5575639272867861</v>
      </c>
      <c r="AT34" s="581">
        <v>7</v>
      </c>
      <c r="AU34" s="581">
        <v>5.9</v>
      </c>
      <c r="AV34" s="581">
        <v>5.6</v>
      </c>
      <c r="AW34" s="581">
        <v>5.0999999999999996</v>
      </c>
      <c r="AX34" s="581">
        <v>3</v>
      </c>
      <c r="AY34" s="581">
        <v>0.6</v>
      </c>
      <c r="AZ34" s="581">
        <v>-1.1000000000000001</v>
      </c>
      <c r="BA34" s="581">
        <v>-0.7</v>
      </c>
      <c r="BB34" s="581">
        <v>-2.920583333333334</v>
      </c>
      <c r="BC34" s="581">
        <v>-2.0112083333333328</v>
      </c>
      <c r="BD34" s="581">
        <v>-1.0213193554759239</v>
      </c>
      <c r="BE34" s="581">
        <v>2.0840570253138981</v>
      </c>
      <c r="BG34" s="586"/>
      <c r="BH34" s="586"/>
      <c r="BI34" s="584">
        <f t="shared" si="23"/>
        <v>0</v>
      </c>
      <c r="BJ34" s="584">
        <f t="shared" si="23"/>
        <v>0</v>
      </c>
      <c r="BK34" s="584">
        <f t="shared" si="23"/>
        <v>0</v>
      </c>
      <c r="BL34" s="584">
        <f t="shared" si="23"/>
        <v>0</v>
      </c>
      <c r="BM34" s="584">
        <f t="shared" si="23"/>
        <v>0</v>
      </c>
      <c r="BN34" s="584">
        <f t="shared" si="23"/>
        <v>0</v>
      </c>
      <c r="BO34" s="584">
        <f t="shared" si="23"/>
        <v>0.82058333333333389</v>
      </c>
      <c r="BP34" s="584">
        <f t="shared" si="23"/>
        <v>-2.2887916666666679</v>
      </c>
      <c r="BQ34" s="584">
        <f t="shared" si="23"/>
        <v>-4.9786806445240757</v>
      </c>
      <c r="BR34" s="584">
        <f t="shared" si="23"/>
        <v>-9.0840570253138981</v>
      </c>
      <c r="BV34" s="614" t="s">
        <v>1279</v>
      </c>
      <c r="BW34" s="89"/>
      <c r="BX34" s="89">
        <f>FY!H16</f>
        <v>10.7</v>
      </c>
      <c r="BY34" s="89">
        <f>FY!I16</f>
        <v>3.6</v>
      </c>
      <c r="BZ34" s="89">
        <f>FY!J16</f>
        <v>-1.8</v>
      </c>
      <c r="CA34" s="89">
        <f>FY!K16</f>
        <v>-6.4</v>
      </c>
      <c r="CB34" s="89">
        <f>FY!L16</f>
        <v>-13</v>
      </c>
      <c r="CC34" s="89"/>
      <c r="CD34" s="579">
        <f>BZ34</f>
        <v>-1.8</v>
      </c>
      <c r="CE34" s="89">
        <v>-6.4</v>
      </c>
      <c r="CF34" s="580">
        <f t="shared" si="24"/>
        <v>2.5555555555555558</v>
      </c>
      <c r="CG34" s="579">
        <f t="shared" si="25"/>
        <v>-6.4</v>
      </c>
      <c r="CH34" s="580">
        <f t="shared" si="26"/>
        <v>0</v>
      </c>
      <c r="CI34" s="579">
        <f t="shared" si="27"/>
        <v>-4.66759375</v>
      </c>
      <c r="CJ34" s="580">
        <f t="shared" si="28"/>
        <v>0.37115617656313815</v>
      </c>
      <c r="CK34" s="90"/>
      <c r="CL34" s="87"/>
      <c r="CM34" s="585">
        <f t="shared" si="29"/>
        <v>-4.66759375</v>
      </c>
      <c r="CO34" s="77" t="s">
        <v>1259</v>
      </c>
      <c r="CP34" s="77" t="s">
        <v>1288</v>
      </c>
      <c r="CQ34" s="78" t="s">
        <v>1261</v>
      </c>
      <c r="CR34" s="86">
        <f>_xll.VAData($AD34,CR$4,$AE34,$AF34)</f>
        <v>12.9</v>
      </c>
      <c r="CS34" s="86">
        <f>_xll.VAData($AD34,CS$4,$AE34,$AF34)</f>
        <v>10.7</v>
      </c>
      <c r="CT34" s="86">
        <f>_xll.VAData($AD34,CT$4,$AE34,$AF34)</f>
        <v>3.6</v>
      </c>
      <c r="CU34" s="86">
        <f>_xll.VAData($AD34,CU$4,$AE34,$AF34)</f>
        <v>-1.8</v>
      </c>
      <c r="CV34" s="86">
        <f>_xll.VAData($AD34,CV$4,$AE34,$AF34)</f>
        <v>-6.4</v>
      </c>
      <c r="CW34" s="86">
        <f>_xll.VAData($AD34,CW$4,$AE34,$AF34)</f>
        <v>-9.2418805138547437</v>
      </c>
      <c r="CY34" s="581">
        <v>12.9</v>
      </c>
      <c r="CZ34" s="581">
        <v>10.7</v>
      </c>
      <c r="DA34" s="581">
        <v>3.6</v>
      </c>
      <c r="DB34" s="581">
        <v>-1.8</v>
      </c>
      <c r="DC34" s="581">
        <v>-4.66759375</v>
      </c>
      <c r="DD34" s="581">
        <v>-2.9445601063608442</v>
      </c>
      <c r="DG34" s="584">
        <f t="shared" si="30"/>
        <v>0</v>
      </c>
      <c r="DH34" s="584">
        <f t="shared" si="30"/>
        <v>0</v>
      </c>
      <c r="DI34" s="584">
        <f t="shared" si="30"/>
        <v>0</v>
      </c>
      <c r="DJ34" s="584">
        <f t="shared" si="30"/>
        <v>-1.7324062500000004</v>
      </c>
      <c r="DK34" s="584">
        <f t="shared" si="30"/>
        <v>-10.055439893639155</v>
      </c>
    </row>
    <row r="35" spans="1:116">
      <c r="C35" s="589" t="s">
        <v>147</v>
      </c>
      <c r="D35" s="89"/>
      <c r="E35" s="89"/>
      <c r="F35" s="89">
        <f>HY!O323</f>
        <v>-18.600000000000001</v>
      </c>
      <c r="G35" s="89">
        <f>HY!P323</f>
        <v>-18.600000000000001</v>
      </c>
      <c r="H35" s="89">
        <f>HY!Q323</f>
        <v>-20.5</v>
      </c>
      <c r="I35" s="89">
        <f>HY!R323</f>
        <v>-17.399999999999999</v>
      </c>
      <c r="J35" s="89">
        <f>HY!S323</f>
        <v>-26.3</v>
      </c>
      <c r="K35" s="89">
        <f>HY!T323</f>
        <v>-13.2</v>
      </c>
      <c r="L35" s="89">
        <f>HY!U323</f>
        <v>-27.2</v>
      </c>
      <c r="M35" s="89">
        <f>HY!V323</f>
        <v>-19.599999999999998</v>
      </c>
      <c r="N35" s="89">
        <f>HY!W323</f>
        <v>-28.56</v>
      </c>
      <c r="O35" s="89">
        <f>HY!X323</f>
        <v>-23</v>
      </c>
      <c r="P35" s="89"/>
      <c r="Q35" s="579">
        <f>J35</f>
        <v>-26.3</v>
      </c>
      <c r="R35" s="89">
        <v>-27.2</v>
      </c>
      <c r="S35" s="580">
        <f t="shared" si="17"/>
        <v>3.4220532319391594E-2</v>
      </c>
      <c r="T35" s="579">
        <f t="shared" si="18"/>
        <v>-27.2</v>
      </c>
      <c r="U35" s="580">
        <f t="shared" si="19"/>
        <v>0</v>
      </c>
      <c r="V35" s="579">
        <f t="shared" si="20"/>
        <v>-18.14211019727254</v>
      </c>
      <c r="W35" s="580">
        <f t="shared" si="21"/>
        <v>0.49927432389255411</v>
      </c>
      <c r="X35" s="90"/>
      <c r="Y35" s="87"/>
      <c r="Z35" s="87"/>
      <c r="AA35" s="87"/>
      <c r="AB35" s="585">
        <f t="shared" si="22"/>
        <v>-18.14211019727254</v>
      </c>
      <c r="AD35" s="77" t="s">
        <v>1259</v>
      </c>
      <c r="AE35" s="77" t="s">
        <v>1289</v>
      </c>
      <c r="AF35" s="78" t="s">
        <v>1261</v>
      </c>
      <c r="AG35" s="86">
        <f>_xll.VAData($AD35,AG$4,$AE35,$AF35)</f>
        <v>-7.6915933873114799</v>
      </c>
      <c r="AH35" s="86">
        <f>_xll.VAData($AD35,AH$4,$AE35,$AF35)</f>
        <v>-17.5834061860572</v>
      </c>
      <c r="AI35" s="86">
        <f>_xll.VAData($AD35,AI$4,$AE35,$AF35)</f>
        <v>-18.100000000000001</v>
      </c>
      <c r="AJ35" s="86">
        <f>_xll.VAData($AD35,AJ$4,$AE35,$AF35)</f>
        <v>-17.816053163375649</v>
      </c>
      <c r="AK35" s="86">
        <f>_xll.VAData($AD35,AK$4,$AE35,$AF35)</f>
        <v>-19.399999999999999</v>
      </c>
      <c r="AL35" s="86">
        <f>_xll.VAData($AD35,AL$4,$AE35,$AF35)</f>
        <v>-17.899999999999999</v>
      </c>
      <c r="AM35" s="86">
        <f>_xll.VAData($AD35,AM$4,$AE35,$AF35)</f>
        <v>-26.2</v>
      </c>
      <c r="AN35" s="86">
        <f>_xll.VAData($AD35,AN$4,$AE35,$AF35)</f>
        <v>-12.7</v>
      </c>
      <c r="AO35" s="86">
        <f>_xll.VAData($AD35,AO$4,$AE35,$AF35)</f>
        <v>-27.2</v>
      </c>
      <c r="AP35" s="86">
        <f>_xll.VAData($AD35,AP$4,$AE35,$AF35)</f>
        <v>-18.8</v>
      </c>
      <c r="AQ35" s="86">
        <f>_xll.VAData($AD35,AQ$4,$AE35,$AF35)</f>
        <v>-25.408884276076598</v>
      </c>
      <c r="AR35" s="86">
        <f>_xll.VAData($AD35,AR$4,$AE35,$AF35)</f>
        <v>-19.514736880180966</v>
      </c>
      <c r="AT35" s="581">
        <v>-7.6915933873114799</v>
      </c>
      <c r="AU35" s="581">
        <v>-17.5834061860572</v>
      </c>
      <c r="AV35" s="581">
        <v>-18.100000000000001</v>
      </c>
      <c r="AW35" s="581">
        <v>-17.816053163375649</v>
      </c>
      <c r="AX35" s="581">
        <v>-19.399999999999999</v>
      </c>
      <c r="AY35" s="581">
        <v>-17.899999999999999</v>
      </c>
      <c r="AZ35" s="581">
        <v>-26.2</v>
      </c>
      <c r="BA35" s="581">
        <v>-12.7</v>
      </c>
      <c r="BB35" s="581">
        <v>-18.14211019727254</v>
      </c>
      <c r="BC35" s="581">
        <v>-15.69726777856506</v>
      </c>
      <c r="BD35" s="581">
        <v>-16.563296168467829</v>
      </c>
      <c r="BE35" s="581">
        <v>-16.566650453621399</v>
      </c>
      <c r="BG35" s="586"/>
      <c r="BH35" s="586"/>
      <c r="BI35" s="584">
        <f t="shared" si="23"/>
        <v>-0.5</v>
      </c>
      <c r="BJ35" s="584">
        <f t="shared" si="23"/>
        <v>-0.78394683662435227</v>
      </c>
      <c r="BK35" s="584">
        <f t="shared" si="23"/>
        <v>-1.1000000000000014</v>
      </c>
      <c r="BL35" s="584">
        <f t="shared" si="23"/>
        <v>0.5</v>
      </c>
      <c r="BM35" s="584">
        <f t="shared" si="23"/>
        <v>-0.10000000000000142</v>
      </c>
      <c r="BN35" s="584">
        <f t="shared" si="23"/>
        <v>-0.5</v>
      </c>
      <c r="BO35" s="584">
        <f t="shared" si="23"/>
        <v>-9.057889802727459</v>
      </c>
      <c r="BP35" s="584">
        <f t="shared" si="23"/>
        <v>-3.9027322214349383</v>
      </c>
      <c r="BQ35" s="584">
        <f t="shared" si="23"/>
        <v>-11.996703831532169</v>
      </c>
      <c r="BR35" s="584">
        <f t="shared" si="23"/>
        <v>-6.4333495463786008</v>
      </c>
      <c r="BV35" s="614" t="s">
        <v>147</v>
      </c>
      <c r="BW35" s="89"/>
      <c r="BX35" s="89">
        <f>FY!H17</f>
        <v>-37.200000000000003</v>
      </c>
      <c r="BY35" s="89">
        <f>FY!I17</f>
        <v>-37.9</v>
      </c>
      <c r="BZ35" s="89">
        <f>FY!J17</f>
        <v>-39.5</v>
      </c>
      <c r="CA35" s="89">
        <f>FY!K17</f>
        <v>-46.8</v>
      </c>
      <c r="CB35" s="89">
        <f>FY!L17</f>
        <v>-51.56</v>
      </c>
      <c r="CC35" s="89"/>
      <c r="CD35" s="579">
        <f>BZ35</f>
        <v>-39.5</v>
      </c>
      <c r="CE35" s="89">
        <v>-46</v>
      </c>
      <c r="CF35" s="580">
        <f t="shared" si="24"/>
        <v>0.16455696202531644</v>
      </c>
      <c r="CG35" s="579">
        <f t="shared" si="25"/>
        <v>-46.8</v>
      </c>
      <c r="CH35" s="580">
        <f t="shared" si="26"/>
        <v>-1.7094017094017033E-2</v>
      </c>
      <c r="CI35" s="579">
        <f t="shared" si="27"/>
        <v>-43.061467662783357</v>
      </c>
      <c r="CJ35" s="580">
        <f t="shared" si="28"/>
        <v>6.8240412988903376E-2</v>
      </c>
      <c r="CK35" s="90"/>
      <c r="CL35" s="87"/>
      <c r="CM35" s="585">
        <f t="shared" si="29"/>
        <v>-43.061467662783357</v>
      </c>
      <c r="CO35" s="77" t="s">
        <v>1259</v>
      </c>
      <c r="CP35" s="77" t="s">
        <v>1289</v>
      </c>
      <c r="CQ35" s="78" t="s">
        <v>1261</v>
      </c>
      <c r="CR35" s="86">
        <f>_xll.VAData($AD35,CR$4,$AE35,$AF35)</f>
        <v>-25.274999573368675</v>
      </c>
      <c r="CS35" s="86">
        <f>_xll.VAData($AD35,CS$4,$AE35,$AF35)</f>
        <v>-36.025527835045452</v>
      </c>
      <c r="CT35" s="86">
        <f>_xll.VAData($AD35,CT$4,$AE35,$AF35)</f>
        <v>-37.4</v>
      </c>
      <c r="CU35" s="86">
        <f>_xll.VAData($AD35,CU$4,$AE35,$AF35)</f>
        <v>-38.9</v>
      </c>
      <c r="CV35" s="86">
        <f>_xll.VAData($AD35,CV$4,$AE35,$AF35)</f>
        <v>-46</v>
      </c>
      <c r="CW35" s="86">
        <f>_xll.VAData($AD35,CW$4,$AE35,$AF35)</f>
        <v>-43.125443773661218</v>
      </c>
      <c r="CY35" s="581">
        <v>-25.274999573368671</v>
      </c>
      <c r="CZ35" s="581">
        <v>-36.025527835045452</v>
      </c>
      <c r="DA35" s="581">
        <v>-37.4</v>
      </c>
      <c r="DB35" s="581">
        <v>-38.9</v>
      </c>
      <c r="DC35" s="581">
        <v>-43.061467662783357</v>
      </c>
      <c r="DD35" s="581">
        <v>-44.44077311840163</v>
      </c>
      <c r="DG35" s="584">
        <f t="shared" si="30"/>
        <v>-1.1744721649545511</v>
      </c>
      <c r="DH35" s="584">
        <f t="shared" si="30"/>
        <v>-0.5</v>
      </c>
      <c r="DI35" s="584">
        <f t="shared" si="30"/>
        <v>-0.60000000000000142</v>
      </c>
      <c r="DJ35" s="584">
        <f t="shared" si="30"/>
        <v>-3.7385323372166397</v>
      </c>
      <c r="DK35" s="584">
        <f t="shared" si="30"/>
        <v>-7.1192268815983724</v>
      </c>
    </row>
    <row r="36" spans="1:116" s="597" customFormat="1">
      <c r="C36" s="590" t="s">
        <v>1290</v>
      </c>
      <c r="D36" s="591"/>
      <c r="E36" s="591"/>
      <c r="F36" s="591">
        <f>HY!O325</f>
        <v>161.80000000000001</v>
      </c>
      <c r="G36" s="591">
        <f>HY!P325</f>
        <v>140</v>
      </c>
      <c r="H36" s="591">
        <f>HY!Q325</f>
        <v>144.30000000000001</v>
      </c>
      <c r="I36" s="591">
        <f>HY!R325</f>
        <v>133.5</v>
      </c>
      <c r="J36" s="591">
        <f>HY!S325</f>
        <v>119.5</v>
      </c>
      <c r="K36" s="591">
        <f>HY!T325</f>
        <v>114.19999999999999</v>
      </c>
      <c r="L36" s="591">
        <f>HY!U325</f>
        <v>85.5</v>
      </c>
      <c r="M36" s="591">
        <f>HY!V325</f>
        <v>96.1</v>
      </c>
      <c r="N36" s="591">
        <f>HY!W325</f>
        <v>89.135631999999987</v>
      </c>
      <c r="O36" s="591">
        <f>HY!X325</f>
        <v>94.050503199999994</v>
      </c>
      <c r="P36" s="591"/>
      <c r="Q36" s="639">
        <v>119.5</v>
      </c>
      <c r="R36" s="591">
        <v>85.5</v>
      </c>
      <c r="S36" s="593">
        <f t="shared" si="17"/>
        <v>-0.28451882845188281</v>
      </c>
      <c r="T36" s="592">
        <f t="shared" si="18"/>
        <v>85.5</v>
      </c>
      <c r="U36" s="593">
        <f t="shared" si="19"/>
        <v>0</v>
      </c>
      <c r="V36" s="592">
        <f t="shared" si="20"/>
        <v>88.187781745575023</v>
      </c>
      <c r="W36" s="593">
        <f t="shared" si="21"/>
        <v>-3.0477938013333539E-2</v>
      </c>
      <c r="X36" s="594"/>
      <c r="Y36" s="595"/>
      <c r="Z36" s="595"/>
      <c r="AA36" s="595"/>
      <c r="AB36" s="599">
        <f t="shared" si="22"/>
        <v>88.187781745575023</v>
      </c>
      <c r="AD36" s="77" t="s">
        <v>1259</v>
      </c>
      <c r="AE36" s="80" t="s">
        <v>1262</v>
      </c>
      <c r="AF36" s="78" t="s">
        <v>1261</v>
      </c>
      <c r="AG36" s="598">
        <f>_xll.VAData($AD36,AG$4,$AE36,$AF36)</f>
        <v>36.200000000000003</v>
      </c>
      <c r="AH36" s="598">
        <f>_xll.VAData($AD36,AH$4,$AE36,$AF36)</f>
        <v>101.7</v>
      </c>
      <c r="AI36" s="598">
        <f>_xll.VAData($AD36,AI$4,$AE36,$AF36)</f>
        <v>161.80000000000001</v>
      </c>
      <c r="AJ36" s="598">
        <f>_xll.VAData($AD36,AJ$4,$AE36,$AF36)</f>
        <v>140</v>
      </c>
      <c r="AK36" s="598">
        <f>_xll.VAData($AD36,AK$4,$AE36,$AF36)</f>
        <v>144.25346462505101</v>
      </c>
      <c r="AL36" s="598">
        <f>_xll.VAData($AD36,AL$4,$AE36,$AF36)</f>
        <v>133.5</v>
      </c>
      <c r="AM36" s="598">
        <f>_xll.VAData($AD36,AM$4,$AE36,$AF36)</f>
        <v>119.529</v>
      </c>
      <c r="AN36" s="598">
        <f>_xll.VAData($AD36,AN$4,$AE36,$AF36)</f>
        <v>114.2</v>
      </c>
      <c r="AO36" s="598">
        <f>_xll.VAData($AD36,AO$4,$AE36,$AF36)</f>
        <v>85.5</v>
      </c>
      <c r="AP36" s="598">
        <f>_xll.VAData($AD36,AP$4,$AE36,$AF36)</f>
        <v>96.1</v>
      </c>
      <c r="AQ36" s="598">
        <f>_xll.VAData($AD36,AQ$4,$AE36,$AF36)</f>
        <v>88.991616558548074</v>
      </c>
      <c r="AR36" s="598">
        <f>_xll.VAData($AD36,AR$4,$AE36,$AF36)</f>
        <v>93.164145194990581</v>
      </c>
      <c r="AT36" s="596">
        <v>36.200000000000003</v>
      </c>
      <c r="AU36" s="596">
        <v>101.7</v>
      </c>
      <c r="AV36" s="596">
        <v>161.69999999999999</v>
      </c>
      <c r="AW36" s="596">
        <v>140.1</v>
      </c>
      <c r="AX36" s="596">
        <v>144.30000000000001</v>
      </c>
      <c r="AY36" s="596">
        <v>133.5</v>
      </c>
      <c r="AZ36" s="596">
        <v>113.1</v>
      </c>
      <c r="BA36" s="596">
        <v>120.6</v>
      </c>
      <c r="BB36" s="596">
        <v>88.187781745575023</v>
      </c>
      <c r="BC36" s="596">
        <v>106.325470107896</v>
      </c>
      <c r="BD36" s="596">
        <v>108.1978513309159</v>
      </c>
      <c r="BE36" s="596">
        <v>118.38289213346221</v>
      </c>
      <c r="BG36" s="586"/>
      <c r="BH36" s="586"/>
      <c r="BI36" s="584">
        <f t="shared" si="23"/>
        <v>0.10000000000002274</v>
      </c>
      <c r="BJ36" s="584">
        <f t="shared" si="23"/>
        <v>-9.9999999999994316E-2</v>
      </c>
      <c r="BK36" s="584">
        <f t="shared" si="23"/>
        <v>0</v>
      </c>
      <c r="BL36" s="584">
        <f t="shared" si="23"/>
        <v>0</v>
      </c>
      <c r="BM36" s="584">
        <f t="shared" si="23"/>
        <v>6.4000000000000057</v>
      </c>
      <c r="BN36" s="584">
        <f t="shared" si="23"/>
        <v>-6.4000000000000057</v>
      </c>
      <c r="BO36" s="584">
        <f t="shared" si="23"/>
        <v>-2.6877817455750233</v>
      </c>
      <c r="BP36" s="584">
        <f t="shared" si="23"/>
        <v>-10.225470107896001</v>
      </c>
      <c r="BQ36" s="584">
        <f t="shared" si="23"/>
        <v>-19.062219330915909</v>
      </c>
      <c r="BR36" s="584">
        <f t="shared" si="23"/>
        <v>-24.332388933462212</v>
      </c>
      <c r="BV36" s="615" t="s">
        <v>1290</v>
      </c>
      <c r="BW36" s="591"/>
      <c r="BX36" s="591">
        <f>FY!H19</f>
        <v>301.8</v>
      </c>
      <c r="BY36" s="591">
        <f>FY!I19</f>
        <v>277.8</v>
      </c>
      <c r="BZ36" s="591">
        <f>FY!J19</f>
        <v>233.7</v>
      </c>
      <c r="CA36" s="591">
        <f>FY!K19</f>
        <v>181.6</v>
      </c>
      <c r="CB36" s="591">
        <f>FY!L19</f>
        <v>183.18613519999997</v>
      </c>
      <c r="CC36" s="591"/>
      <c r="CD36" s="592">
        <f>BZ36</f>
        <v>233.7</v>
      </c>
      <c r="CE36" s="591">
        <f>CE7</f>
        <v>181.6</v>
      </c>
      <c r="CF36" s="593">
        <f t="shared" si="24"/>
        <v>-0.22293538724860928</v>
      </c>
      <c r="CG36" s="592">
        <f t="shared" si="25"/>
        <v>181.6</v>
      </c>
      <c r="CH36" s="593">
        <f t="shared" si="26"/>
        <v>0</v>
      </c>
      <c r="CI36" s="592">
        <f t="shared" si="27"/>
        <v>182.49152486760761</v>
      </c>
      <c r="CJ36" s="593">
        <f t="shared" si="28"/>
        <v>-4.8852946363092675E-3</v>
      </c>
      <c r="CK36" s="594"/>
      <c r="CL36" s="595"/>
      <c r="CM36" s="599">
        <f t="shared" si="29"/>
        <v>182.49152486760761</v>
      </c>
      <c r="CO36" s="80" t="s">
        <v>1259</v>
      </c>
      <c r="CP36" s="80" t="s">
        <v>1262</v>
      </c>
      <c r="CQ36" s="78" t="s">
        <v>1261</v>
      </c>
      <c r="CR36" s="598">
        <f>_xll.VAData($AD36,CR$4,$AE36,$AF36)</f>
        <v>137.9</v>
      </c>
      <c r="CS36" s="598">
        <f>_xll.VAData($AD36,CS$4,$AE36,$AF36)</f>
        <v>301.8</v>
      </c>
      <c r="CT36" s="598">
        <f>_xll.VAData($AD36,CT$4,$AE36,$AF36)</f>
        <v>277.8</v>
      </c>
      <c r="CU36" s="598">
        <f>_xll.VAData($AD36,CU$4,$AE36,$AF36)</f>
        <v>233.7</v>
      </c>
      <c r="CV36" s="598">
        <f>_xll.VAData($AD36,CV$4,$AE36,$AF36)</f>
        <v>181.6</v>
      </c>
      <c r="CW36" s="598">
        <f>_xll.VAData($AD36,CW$4,$AE36,$AF36)</f>
        <v>181.26337371511656</v>
      </c>
      <c r="CY36" s="596">
        <v>137.9</v>
      </c>
      <c r="CZ36" s="596">
        <v>301.8</v>
      </c>
      <c r="DA36" s="596">
        <v>277.8</v>
      </c>
      <c r="DB36" s="596">
        <v>233.7</v>
      </c>
      <c r="DC36" s="596">
        <v>182.49152486760761</v>
      </c>
      <c r="DD36" s="596">
        <v>197.49482860900801</v>
      </c>
      <c r="DG36" s="584">
        <f t="shared" si="30"/>
        <v>0</v>
      </c>
      <c r="DH36" s="584">
        <f t="shared" si="30"/>
        <v>0</v>
      </c>
      <c r="DI36" s="584">
        <f t="shared" si="30"/>
        <v>0</v>
      </c>
      <c r="DJ36" s="584">
        <f t="shared" si="30"/>
        <v>-0.89152486760761462</v>
      </c>
      <c r="DK36" s="584">
        <f t="shared" si="30"/>
        <v>-14.308693409008043</v>
      </c>
    </row>
    <row r="37" spans="1:116">
      <c r="C37" s="589"/>
      <c r="D37" s="89"/>
      <c r="E37" s="89"/>
      <c r="F37" s="89"/>
      <c r="G37" s="89"/>
      <c r="H37" s="89"/>
      <c r="I37" s="89"/>
      <c r="J37" s="89"/>
      <c r="K37" s="89"/>
      <c r="L37" s="89"/>
      <c r="M37" s="89"/>
      <c r="N37" s="89"/>
      <c r="O37" s="89"/>
      <c r="P37" s="89"/>
      <c r="Q37" s="579"/>
      <c r="R37" s="89"/>
      <c r="S37" s="580"/>
      <c r="T37" s="579"/>
      <c r="U37" s="580"/>
      <c r="V37" s="579"/>
      <c r="W37" s="580"/>
      <c r="X37" s="90"/>
      <c r="Y37" s="87"/>
      <c r="Z37" s="87"/>
      <c r="AA37" s="87"/>
      <c r="AB37" s="586"/>
      <c r="AT37" s="586"/>
      <c r="AU37" s="586"/>
      <c r="AV37" s="586"/>
      <c r="AW37" s="586"/>
      <c r="AX37" s="586"/>
      <c r="AY37" s="586"/>
      <c r="AZ37" s="586"/>
      <c r="BA37" s="586"/>
      <c r="BB37" s="586"/>
      <c r="BC37" s="586"/>
      <c r="BD37" s="586"/>
      <c r="BE37" s="586"/>
      <c r="BG37" s="586"/>
      <c r="BH37" s="586"/>
      <c r="BI37" s="586"/>
      <c r="BJ37" s="586"/>
      <c r="BK37" s="586"/>
      <c r="BL37" s="586"/>
      <c r="BM37" s="586"/>
      <c r="BN37" s="586"/>
      <c r="BO37" s="586"/>
      <c r="BP37" s="586"/>
      <c r="BQ37" s="586"/>
      <c r="BR37" s="586"/>
      <c r="BV37" s="614"/>
      <c r="BW37" s="89"/>
      <c r="BX37" s="89"/>
      <c r="BY37" s="89"/>
      <c r="BZ37" s="89"/>
      <c r="CA37" s="89"/>
      <c r="CB37" s="89"/>
      <c r="CC37" s="89"/>
      <c r="CD37" s="579"/>
      <c r="CE37" s="89"/>
      <c r="CF37" s="580"/>
      <c r="CG37" s="579"/>
      <c r="CH37" s="580"/>
      <c r="CI37" s="579"/>
      <c r="CJ37" s="580"/>
      <c r="CK37" s="90"/>
      <c r="CL37" s="87"/>
      <c r="CM37" s="586"/>
      <c r="CY37" s="586"/>
      <c r="CZ37" s="586"/>
      <c r="DA37" s="586"/>
      <c r="DB37" s="586"/>
      <c r="DC37" s="586"/>
      <c r="DD37" s="586"/>
      <c r="DF37" s="586"/>
      <c r="DG37" s="586"/>
      <c r="DH37" s="586"/>
      <c r="DI37" s="586"/>
      <c r="DJ37" s="586"/>
      <c r="DK37" s="586"/>
    </row>
    <row r="38" spans="1:116">
      <c r="C38" s="85" t="s">
        <v>995</v>
      </c>
      <c r="D38" s="89"/>
      <c r="E38" s="89"/>
      <c r="F38" s="89"/>
      <c r="G38" s="89"/>
      <c r="H38" s="89"/>
      <c r="I38" s="89"/>
      <c r="J38" s="89"/>
      <c r="K38" s="89"/>
      <c r="L38" s="89"/>
      <c r="M38" s="89"/>
      <c r="N38" s="89"/>
      <c r="O38" s="89"/>
      <c r="P38" s="89"/>
      <c r="Q38" s="579"/>
      <c r="R38" s="89"/>
      <c r="S38" s="580"/>
      <c r="T38" s="579"/>
      <c r="U38" s="580"/>
      <c r="V38" s="579"/>
      <c r="W38" s="580"/>
      <c r="X38" s="90"/>
      <c r="Y38" s="87"/>
      <c r="Z38" s="87"/>
      <c r="AA38" s="87"/>
      <c r="AB38" s="600"/>
      <c r="AT38" s="600"/>
      <c r="AU38" s="600"/>
      <c r="AV38" s="600"/>
      <c r="AW38" s="600"/>
      <c r="AX38" s="600"/>
      <c r="AY38" s="600"/>
      <c r="AZ38" s="600"/>
      <c r="BA38" s="600"/>
      <c r="BB38" s="600"/>
      <c r="BC38" s="600"/>
      <c r="BD38" s="600"/>
      <c r="BE38" s="600"/>
      <c r="BG38" s="586"/>
      <c r="BH38" s="586"/>
      <c r="BI38" s="600"/>
      <c r="BJ38" s="600"/>
      <c r="BK38" s="600"/>
      <c r="BL38" s="600"/>
      <c r="BM38" s="600"/>
      <c r="BN38" s="600"/>
      <c r="BO38" s="600"/>
      <c r="BP38" s="600"/>
      <c r="BQ38" s="600"/>
      <c r="BR38" s="600"/>
      <c r="BV38" s="613" t="s">
        <v>995</v>
      </c>
      <c r="BW38" s="89"/>
      <c r="BX38" s="89"/>
      <c r="BY38" s="89"/>
      <c r="BZ38" s="89"/>
      <c r="CA38" s="89"/>
      <c r="CB38" s="89"/>
      <c r="CC38" s="89"/>
      <c r="CD38" s="579"/>
      <c r="CE38" s="89"/>
      <c r="CF38" s="580"/>
      <c r="CG38" s="579"/>
      <c r="CH38" s="580"/>
      <c r="CI38" s="579"/>
      <c r="CJ38" s="580"/>
      <c r="CK38" s="90"/>
      <c r="CL38" s="87"/>
      <c r="CM38" s="600"/>
      <c r="CY38" s="600"/>
      <c r="CZ38" s="600"/>
      <c r="DA38" s="600"/>
      <c r="DB38" s="600"/>
      <c r="DC38" s="600"/>
      <c r="DD38" s="600"/>
      <c r="DE38" s="600"/>
      <c r="DF38" s="600"/>
      <c r="DG38" s="600"/>
      <c r="DH38" s="600"/>
      <c r="DI38" s="600"/>
      <c r="DJ38" s="600"/>
      <c r="DK38" s="600"/>
      <c r="DL38" s="600"/>
    </row>
    <row r="39" spans="1:116">
      <c r="C39" s="589" t="s">
        <v>70</v>
      </c>
      <c r="D39" s="90"/>
      <c r="E39" s="90"/>
      <c r="F39" s="90">
        <f t="shared" ref="F39:O39" si="31">F31/F24</f>
        <v>0.50561362756484707</v>
      </c>
      <c r="G39" s="90">
        <f t="shared" si="31"/>
        <v>0.46553715825953018</v>
      </c>
      <c r="H39" s="90">
        <f t="shared" si="31"/>
        <v>0.44796863863150388</v>
      </c>
      <c r="I39" s="90">
        <f t="shared" si="31"/>
        <v>0.41826381059751977</v>
      </c>
      <c r="J39" s="90">
        <f t="shared" si="31"/>
        <v>0.41695702671312429</v>
      </c>
      <c r="K39" s="90">
        <f t="shared" si="31"/>
        <v>0.39804687500000008</v>
      </c>
      <c r="L39" s="90">
        <f t="shared" si="31"/>
        <v>0.36114469971785568</v>
      </c>
      <c r="M39" s="90">
        <f t="shared" si="31"/>
        <v>0.3600798403193613</v>
      </c>
      <c r="N39" s="90">
        <f t="shared" si="31"/>
        <v>0.35924687499999997</v>
      </c>
      <c r="O39" s="90">
        <f t="shared" si="31"/>
        <v>0.36329922480620158</v>
      </c>
      <c r="P39" s="89"/>
      <c r="Q39" s="601">
        <f t="shared" ref="Q39:R41" si="32">Q31/Q24</f>
        <v>0.41695702671312429</v>
      </c>
      <c r="R39" s="90">
        <f t="shared" si="32"/>
        <v>0.36114469971785568</v>
      </c>
      <c r="S39" s="602">
        <f>($R39-Q39)*100</f>
        <v>-5.5812326995268613</v>
      </c>
      <c r="T39" s="90">
        <f>T31/T24</f>
        <v>0.36114469971785568</v>
      </c>
      <c r="U39" s="602">
        <f>($R39-T39)*100</f>
        <v>0</v>
      </c>
      <c r="V39" s="90">
        <f>V31/V24</f>
        <v>0.33990263763973577</v>
      </c>
      <c r="W39" s="602">
        <f>($R39-V39)*100</f>
        <v>2.1242062078119908</v>
      </c>
      <c r="X39" s="90"/>
      <c r="Y39" s="87"/>
      <c r="Z39" s="87"/>
      <c r="AA39" s="87"/>
      <c r="AB39" s="90">
        <f>AB31/AB24</f>
        <v>0.33990263763973577</v>
      </c>
      <c r="AT39" s="90"/>
      <c r="AU39" s="90"/>
      <c r="AV39" s="90"/>
      <c r="AW39" s="90"/>
      <c r="AX39" s="90"/>
      <c r="AY39" s="90"/>
      <c r="AZ39" s="90"/>
      <c r="BA39" s="90"/>
      <c r="BB39" s="90"/>
      <c r="BC39" s="90"/>
      <c r="BD39" s="90"/>
      <c r="BE39" s="90"/>
      <c r="BG39" s="586"/>
      <c r="BH39" s="586"/>
      <c r="BI39" s="584">
        <f t="shared" ref="BI39:BR42" si="33">F39-AV39</f>
        <v>0.50561362756484707</v>
      </c>
      <c r="BJ39" s="584">
        <f t="shared" si="33"/>
        <v>0.46553715825953018</v>
      </c>
      <c r="BK39" s="584">
        <f t="shared" si="33"/>
        <v>0.44796863863150388</v>
      </c>
      <c r="BL39" s="584">
        <f t="shared" si="33"/>
        <v>0.41826381059751977</v>
      </c>
      <c r="BM39" s="584">
        <f t="shared" si="33"/>
        <v>0.41695702671312429</v>
      </c>
      <c r="BN39" s="584">
        <f t="shared" si="33"/>
        <v>0.39804687500000008</v>
      </c>
      <c r="BO39" s="584">
        <f t="shared" si="33"/>
        <v>0.36114469971785568</v>
      </c>
      <c r="BP39" s="584">
        <f t="shared" si="33"/>
        <v>0.3600798403193613</v>
      </c>
      <c r="BQ39" s="584">
        <f t="shared" si="33"/>
        <v>0.35924687499999997</v>
      </c>
      <c r="BR39" s="584">
        <f t="shared" si="33"/>
        <v>0.36329922480620158</v>
      </c>
      <c r="BV39" s="614" t="s">
        <v>70</v>
      </c>
      <c r="BW39" s="90"/>
      <c r="BX39" s="90">
        <f t="shared" ref="BX39:CB41" si="34">BX31/BX24</f>
        <v>0.48552123552123549</v>
      </c>
      <c r="BY39" s="90">
        <f t="shared" si="34"/>
        <v>0.43351015182001096</v>
      </c>
      <c r="BZ39" s="90">
        <f t="shared" si="34"/>
        <v>0.40754423488236441</v>
      </c>
      <c r="CA39" s="90">
        <f t="shared" si="34"/>
        <v>0.36060970718010432</v>
      </c>
      <c r="CB39" s="90">
        <f t="shared" si="34"/>
        <v>0.36128093385214005</v>
      </c>
      <c r="CC39" s="89"/>
      <c r="CD39" s="601">
        <f t="shared" ref="CD39:CE41" si="35">CD31/CD24</f>
        <v>0.40754423488236441</v>
      </c>
      <c r="CE39" s="90">
        <f t="shared" si="35"/>
        <v>0.36060970718010432</v>
      </c>
      <c r="CF39" s="602">
        <f>($CE39-CD39)*100</f>
        <v>-4.6934527702260089</v>
      </c>
      <c r="CG39" s="90">
        <f>CG31/CG24</f>
        <v>0.36060970718010432</v>
      </c>
      <c r="CH39" s="602">
        <f>($CE39-CG39)*100</f>
        <v>0</v>
      </c>
      <c r="CI39" s="90">
        <f>CI31/CI24</f>
        <v>0.36474664383980476</v>
      </c>
      <c r="CJ39" s="602">
        <f>($CE39-CI39)*100</f>
        <v>-0.41369366597004409</v>
      </c>
      <c r="CK39" s="90"/>
      <c r="CL39" s="87"/>
      <c r="CM39" s="90">
        <f>CM31/CM24</f>
        <v>0.36474664383980476</v>
      </c>
      <c r="CY39" s="90"/>
      <c r="CZ39" s="90"/>
      <c r="DA39" s="90"/>
      <c r="DB39" s="90"/>
      <c r="DC39" s="90"/>
      <c r="DD39" s="90"/>
      <c r="DE39" s="90"/>
      <c r="DF39" s="90"/>
      <c r="DG39" s="90"/>
      <c r="DH39" s="90"/>
      <c r="DI39" s="90"/>
      <c r="DJ39" s="90"/>
      <c r="DK39" s="90"/>
      <c r="DL39" s="90"/>
    </row>
    <row r="40" spans="1:116">
      <c r="C40" s="589" t="s">
        <v>1284</v>
      </c>
      <c r="D40" s="90"/>
      <c r="E40" s="90"/>
      <c r="F40" s="90">
        <f t="shared" ref="F40:O40" si="36">F32/F25</f>
        <v>0.54265402843601884</v>
      </c>
      <c r="G40" s="90">
        <f t="shared" si="36"/>
        <v>0.45938375350140048</v>
      </c>
      <c r="H40" s="90">
        <f t="shared" si="36"/>
        <v>0.4315245478036176</v>
      </c>
      <c r="I40" s="90">
        <f t="shared" si="36"/>
        <v>0.47656249999999994</v>
      </c>
      <c r="J40" s="90">
        <f t="shared" si="36"/>
        <v>0.45691906005221933</v>
      </c>
      <c r="K40" s="90">
        <f t="shared" si="36"/>
        <v>0.45125348189415043</v>
      </c>
      <c r="L40" s="90">
        <f t="shared" si="36"/>
        <v>0.41443850267379678</v>
      </c>
      <c r="M40" s="90">
        <f t="shared" si="36"/>
        <v>0.43561643835616426</v>
      </c>
      <c r="N40" s="90">
        <f t="shared" si="36"/>
        <v>0.45329247970185016</v>
      </c>
      <c r="O40" s="90">
        <f t="shared" si="36"/>
        <v>0.44869202822721294</v>
      </c>
      <c r="P40" s="89"/>
      <c r="Q40" s="601">
        <f t="shared" si="32"/>
        <v>0.45691906005221933</v>
      </c>
      <c r="R40" s="90">
        <f t="shared" si="32"/>
        <v>0.41443850267379678</v>
      </c>
      <c r="S40" s="602">
        <f>($R40-Q40)*100</f>
        <v>-4.2480557378422548</v>
      </c>
      <c r="T40" s="90">
        <f>T32/T25</f>
        <v>0.41443850267379678</v>
      </c>
      <c r="U40" s="602">
        <f>($R40-T40)*100</f>
        <v>0</v>
      </c>
      <c r="V40" s="90">
        <f>V32/V25</f>
        <v>0.43163615013507084</v>
      </c>
      <c r="W40" s="602">
        <f>($R40-V40)*100</f>
        <v>-1.7197647461274057</v>
      </c>
      <c r="X40" s="90"/>
      <c r="Y40" s="87"/>
      <c r="Z40" s="87"/>
      <c r="AA40" s="87"/>
      <c r="AB40" s="90">
        <f>AB32/AB25</f>
        <v>0.43163615013507084</v>
      </c>
      <c r="AT40" s="90"/>
      <c r="AU40" s="90"/>
      <c r="AV40" s="90"/>
      <c r="AW40" s="90"/>
      <c r="AX40" s="90"/>
      <c r="AY40" s="90"/>
      <c r="AZ40" s="90"/>
      <c r="BA40" s="90"/>
      <c r="BB40" s="90"/>
      <c r="BC40" s="90"/>
      <c r="BD40" s="90"/>
      <c r="BE40" s="90"/>
      <c r="BG40" s="586"/>
      <c r="BH40" s="586"/>
      <c r="BI40" s="584">
        <f t="shared" si="33"/>
        <v>0.54265402843601884</v>
      </c>
      <c r="BJ40" s="584">
        <f t="shared" si="33"/>
        <v>0.45938375350140048</v>
      </c>
      <c r="BK40" s="584">
        <f t="shared" si="33"/>
        <v>0.4315245478036176</v>
      </c>
      <c r="BL40" s="584">
        <f t="shared" si="33"/>
        <v>0.47656249999999994</v>
      </c>
      <c r="BM40" s="584">
        <f t="shared" si="33"/>
        <v>0.45691906005221933</v>
      </c>
      <c r="BN40" s="584">
        <f t="shared" si="33"/>
        <v>0.45125348189415043</v>
      </c>
      <c r="BO40" s="584">
        <f t="shared" si="33"/>
        <v>0.41443850267379678</v>
      </c>
      <c r="BP40" s="584">
        <f t="shared" si="33"/>
        <v>0.43561643835616426</v>
      </c>
      <c r="BQ40" s="584">
        <f t="shared" si="33"/>
        <v>0.45329247970185016</v>
      </c>
      <c r="BR40" s="584">
        <f t="shared" si="33"/>
        <v>0.44869202822721294</v>
      </c>
      <c r="BV40" s="614" t="s">
        <v>1284</v>
      </c>
      <c r="BW40" s="90"/>
      <c r="BX40" s="90">
        <f t="shared" si="34"/>
        <v>0.50449293966623865</v>
      </c>
      <c r="BY40" s="90">
        <f t="shared" si="34"/>
        <v>0.4539559014267186</v>
      </c>
      <c r="BZ40" s="90">
        <f t="shared" si="34"/>
        <v>0.45417789757412402</v>
      </c>
      <c r="CA40" s="90">
        <f t="shared" si="34"/>
        <v>0.42489851150202973</v>
      </c>
      <c r="CB40" s="90">
        <f t="shared" si="34"/>
        <v>0.45100135232648259</v>
      </c>
      <c r="CC40" s="89"/>
      <c r="CD40" s="601">
        <f t="shared" si="35"/>
        <v>0.45417789757412402</v>
      </c>
      <c r="CE40" s="90">
        <f t="shared" si="35"/>
        <v>0.42489851150202973</v>
      </c>
      <c r="CF40" s="602">
        <f>($CE40-CD40)*100</f>
        <v>-2.9279386072094296</v>
      </c>
      <c r="CG40" s="90">
        <f>CG32/CG25</f>
        <v>0.42489851150202973</v>
      </c>
      <c r="CH40" s="602">
        <f>($CE40-CG40)*100</f>
        <v>0</v>
      </c>
      <c r="CI40" s="90">
        <f>CI32/CI25</f>
        <v>0.4202264851482837</v>
      </c>
      <c r="CJ40" s="602">
        <f>($CE40-CI40)*100</f>
        <v>0.46720263537460283</v>
      </c>
      <c r="CK40" s="90"/>
      <c r="CL40" s="87"/>
      <c r="CM40" s="90">
        <f>CM32/CM25</f>
        <v>0.4202264851482837</v>
      </c>
      <c r="CY40" s="90"/>
      <c r="CZ40" s="90"/>
      <c r="DA40" s="90"/>
      <c r="DB40" s="90"/>
      <c r="DC40" s="90"/>
      <c r="DD40" s="90"/>
      <c r="DE40" s="90"/>
      <c r="DF40" s="90"/>
      <c r="DG40" s="90"/>
      <c r="DH40" s="90"/>
      <c r="DI40" s="90"/>
      <c r="DJ40" s="90"/>
      <c r="DK40" s="90"/>
      <c r="DL40" s="90"/>
    </row>
    <row r="41" spans="1:116">
      <c r="C41" s="589" t="s">
        <v>1158</v>
      </c>
      <c r="D41" s="90"/>
      <c r="E41" s="90"/>
      <c r="F41" s="90">
        <f t="shared" ref="F41:O41" si="37">F33/F26</f>
        <v>0.15935334872979218</v>
      </c>
      <c r="G41" s="90">
        <f t="shared" si="37"/>
        <v>0.12844036697247707</v>
      </c>
      <c r="H41" s="90">
        <f t="shared" si="37"/>
        <v>0.15582289897641133</v>
      </c>
      <c r="I41" s="90">
        <f t="shared" si="37"/>
        <v>0.17848097360802639</v>
      </c>
      <c r="J41" s="90">
        <f t="shared" si="37"/>
        <v>0.17532467532467533</v>
      </c>
      <c r="K41" s="90">
        <f t="shared" si="37"/>
        <v>8.7316176470588244E-2</v>
      </c>
      <c r="L41" s="90">
        <f t="shared" si="37"/>
        <v>7.7911646586345376E-2</v>
      </c>
      <c r="M41" s="90">
        <f t="shared" si="37"/>
        <v>0.1072891072891073</v>
      </c>
      <c r="N41" s="90">
        <f t="shared" si="37"/>
        <v>0.11760400000000004</v>
      </c>
      <c r="O41" s="90">
        <f t="shared" si="37"/>
        <v>0.10956486704270746</v>
      </c>
      <c r="P41" s="89"/>
      <c r="Q41" s="601">
        <f t="shared" si="32"/>
        <v>0.17532467532467533</v>
      </c>
      <c r="R41" s="90">
        <f t="shared" si="32"/>
        <v>7.7911646586345376E-2</v>
      </c>
      <c r="S41" s="602">
        <f>($R41-Q41)*100</f>
        <v>-9.7413028738329945</v>
      </c>
      <c r="T41" s="90">
        <f>T33/T26</f>
        <v>7.7911646586345376E-2</v>
      </c>
      <c r="U41" s="602">
        <f>($R41-T41)*100</f>
        <v>0</v>
      </c>
      <c r="V41" s="90">
        <f>V33/V26</f>
        <v>0.1127535098356201</v>
      </c>
      <c r="W41" s="602">
        <f>($R41-V41)*100</f>
        <v>-3.4841863249274727</v>
      </c>
      <c r="X41" s="90"/>
      <c r="Y41" s="87"/>
      <c r="Z41" s="87"/>
      <c r="AA41" s="87"/>
      <c r="AB41" s="90">
        <f>AB33/AB26</f>
        <v>0.1127535098356201</v>
      </c>
      <c r="AT41" s="90"/>
      <c r="AU41" s="90"/>
      <c r="AV41" s="90"/>
      <c r="AW41" s="90"/>
      <c r="AX41" s="90"/>
      <c r="AY41" s="90"/>
      <c r="AZ41" s="90"/>
      <c r="BA41" s="90"/>
      <c r="BB41" s="90"/>
      <c r="BC41" s="90"/>
      <c r="BD41" s="90"/>
      <c r="BE41" s="90"/>
      <c r="BG41" s="586"/>
      <c r="BH41" s="586"/>
      <c r="BI41" s="584">
        <f t="shared" si="33"/>
        <v>0.15935334872979218</v>
      </c>
      <c r="BJ41" s="584">
        <f t="shared" si="33"/>
        <v>0.12844036697247707</v>
      </c>
      <c r="BK41" s="584">
        <f t="shared" si="33"/>
        <v>0.15582289897641133</v>
      </c>
      <c r="BL41" s="584">
        <f t="shared" si="33"/>
        <v>0.17848097360802639</v>
      </c>
      <c r="BM41" s="584">
        <f t="shared" si="33"/>
        <v>0.17532467532467533</v>
      </c>
      <c r="BN41" s="584">
        <f t="shared" si="33"/>
        <v>8.7316176470588244E-2</v>
      </c>
      <c r="BO41" s="584">
        <f t="shared" si="33"/>
        <v>7.7911646586345376E-2</v>
      </c>
      <c r="BP41" s="584">
        <f t="shared" si="33"/>
        <v>0.1072891072891073</v>
      </c>
      <c r="BQ41" s="584">
        <f t="shared" si="33"/>
        <v>0.11760400000000004</v>
      </c>
      <c r="BR41" s="584">
        <f t="shared" si="33"/>
        <v>0.10956486704270746</v>
      </c>
      <c r="BV41" s="614" t="s">
        <v>78</v>
      </c>
      <c r="BW41" s="90"/>
      <c r="BX41" s="90">
        <f t="shared" si="34"/>
        <v>0.14451561248999201</v>
      </c>
      <c r="BY41" s="90">
        <f t="shared" si="34"/>
        <v>0.16730038022813687</v>
      </c>
      <c r="BZ41" s="90">
        <f t="shared" si="34"/>
        <v>0.13405172413793104</v>
      </c>
      <c r="CA41" s="90">
        <f t="shared" si="34"/>
        <v>9.2457420924574207E-2</v>
      </c>
      <c r="CB41" s="90">
        <f t="shared" si="34"/>
        <v>0.1135989562424729</v>
      </c>
      <c r="CC41" s="89"/>
      <c r="CD41" s="601">
        <f t="shared" si="35"/>
        <v>0.13423092615259077</v>
      </c>
      <c r="CE41" s="90">
        <f t="shared" si="35"/>
        <v>9.2457420924574207E-2</v>
      </c>
      <c r="CF41" s="602">
        <f>($CE41-CD41)*100</f>
        <v>-4.1773505228016568</v>
      </c>
      <c r="CG41" s="90">
        <f>CG33/CG26</f>
        <v>9.2457420924574207E-2</v>
      </c>
      <c r="CH41" s="602">
        <f>($CE41-CG41)*100</f>
        <v>0</v>
      </c>
      <c r="CI41" s="90">
        <f>CI33/CI26</f>
        <v>6.0163252385081974E-2</v>
      </c>
      <c r="CJ41" s="602">
        <f>($CE41-CI41)*100</f>
        <v>3.2294168539492234</v>
      </c>
      <c r="CK41" s="90"/>
      <c r="CL41" s="87"/>
      <c r="CM41" s="90">
        <f>CM33/CM26</f>
        <v>6.0163252385081974E-2</v>
      </c>
      <c r="CY41" s="90"/>
      <c r="CZ41" s="90"/>
      <c r="DA41" s="90"/>
      <c r="DB41" s="90"/>
      <c r="DC41" s="90"/>
      <c r="DD41" s="90"/>
      <c r="DE41" s="90"/>
      <c r="DF41" s="90"/>
      <c r="DG41" s="90"/>
      <c r="DH41" s="90"/>
      <c r="DI41" s="90"/>
      <c r="DJ41" s="90"/>
      <c r="DK41" s="90"/>
      <c r="DL41" s="90"/>
    </row>
    <row r="42" spans="1:116" s="597" customFormat="1">
      <c r="C42" s="590" t="s">
        <v>1290</v>
      </c>
      <c r="D42" s="594"/>
      <c r="E42" s="594"/>
      <c r="F42" s="594">
        <f t="shared" ref="F42:O42" si="38">F36/F28</f>
        <v>0.3686488949646845</v>
      </c>
      <c r="G42" s="594">
        <f t="shared" si="38"/>
        <v>0.33042246872787345</v>
      </c>
      <c r="H42" s="594">
        <f t="shared" si="38"/>
        <v>0.3258807588075881</v>
      </c>
      <c r="I42" s="594">
        <f t="shared" si="38"/>
        <v>0.31213467383680149</v>
      </c>
      <c r="J42" s="594">
        <f t="shared" si="38"/>
        <v>0.28317535545023698</v>
      </c>
      <c r="K42" s="594">
        <f t="shared" si="38"/>
        <v>0.28323412698412692</v>
      </c>
      <c r="L42" s="594">
        <f t="shared" si="38"/>
        <v>0.20767549186300704</v>
      </c>
      <c r="M42" s="594">
        <f t="shared" si="38"/>
        <v>0.23381995133819947</v>
      </c>
      <c r="N42" s="594">
        <f t="shared" si="38"/>
        <v>0.21244773038742504</v>
      </c>
      <c r="O42" s="594">
        <f t="shared" si="38"/>
        <v>0.22320223651953511</v>
      </c>
      <c r="P42" s="591"/>
      <c r="Q42" s="603">
        <f>Q36/Q28</f>
        <v>0.28317535545023698</v>
      </c>
      <c r="R42" s="594">
        <f>R36/R28</f>
        <v>0.20767549186300704</v>
      </c>
      <c r="S42" s="604">
        <f>($R42-Q42)*100</f>
        <v>-7.5499863587229932</v>
      </c>
      <c r="T42" s="594">
        <f>T36/T28</f>
        <v>0.20767549186300704</v>
      </c>
      <c r="U42" s="604">
        <f>($R42-T42)*100</f>
        <v>0</v>
      </c>
      <c r="V42" s="594">
        <f>V36/V28</f>
        <v>0.22854662938203021</v>
      </c>
      <c r="W42" s="604">
        <f>($R42-V42)*100</f>
        <v>-2.0871137519023168</v>
      </c>
      <c r="X42" s="594"/>
      <c r="Y42" s="595"/>
      <c r="Z42" s="595"/>
      <c r="AA42" s="595"/>
      <c r="AB42" s="594">
        <f>AB36/AB28</f>
        <v>0.22854662938203021</v>
      </c>
      <c r="AT42" s="594"/>
      <c r="AU42" s="594"/>
      <c r="AV42" s="594"/>
      <c r="AW42" s="594"/>
      <c r="AX42" s="594"/>
      <c r="AY42" s="594"/>
      <c r="AZ42" s="594"/>
      <c r="BA42" s="594"/>
      <c r="BB42" s="594"/>
      <c r="BC42" s="594"/>
      <c r="BD42" s="594"/>
      <c r="BE42" s="594"/>
      <c r="BG42" s="586"/>
      <c r="BH42" s="586"/>
      <c r="BI42" s="584">
        <f t="shared" si="33"/>
        <v>0.3686488949646845</v>
      </c>
      <c r="BJ42" s="584">
        <f t="shared" si="33"/>
        <v>0.33042246872787345</v>
      </c>
      <c r="BK42" s="584">
        <f t="shared" si="33"/>
        <v>0.3258807588075881</v>
      </c>
      <c r="BL42" s="584">
        <f t="shared" si="33"/>
        <v>0.31213467383680149</v>
      </c>
      <c r="BM42" s="584">
        <f t="shared" si="33"/>
        <v>0.28317535545023698</v>
      </c>
      <c r="BN42" s="584">
        <f t="shared" si="33"/>
        <v>0.28323412698412692</v>
      </c>
      <c r="BO42" s="584">
        <f t="shared" si="33"/>
        <v>0.20767549186300704</v>
      </c>
      <c r="BP42" s="584">
        <f t="shared" si="33"/>
        <v>0.23381995133819947</v>
      </c>
      <c r="BQ42" s="584">
        <f t="shared" si="33"/>
        <v>0.21244773038742504</v>
      </c>
      <c r="BR42" s="584">
        <f t="shared" si="33"/>
        <v>0.22320223651953511</v>
      </c>
      <c r="BV42" s="615" t="s">
        <v>1290</v>
      </c>
      <c r="BW42" s="594"/>
      <c r="BX42" s="594">
        <f>BX36/BX28</f>
        <v>0.34987247855321124</v>
      </c>
      <c r="BY42" s="594">
        <f>BY36/BY28</f>
        <v>0.31912693854106838</v>
      </c>
      <c r="BZ42" s="594">
        <f>BZ36/BZ28</f>
        <v>0.28320407174018419</v>
      </c>
      <c r="CA42" s="594">
        <f>CA36/CA28</f>
        <v>0.22073659900328185</v>
      </c>
      <c r="CB42" s="594">
        <f>CB36/CB28</f>
        <v>0.2178365189182504</v>
      </c>
      <c r="CC42" s="591"/>
      <c r="CD42" s="603">
        <f>CD36/CD28</f>
        <v>0.28320407174018419</v>
      </c>
      <c r="CE42" s="594">
        <f>CE36/CE28</f>
        <v>0.22073659900328185</v>
      </c>
      <c r="CF42" s="604">
        <f>($CE42-CD42)*100</f>
        <v>-6.2467472736902341</v>
      </c>
      <c r="CG42" s="594">
        <f>CG36/CG28</f>
        <v>0.22073659900328185</v>
      </c>
      <c r="CH42" s="604">
        <f>($CE42-CG42)*100</f>
        <v>0</v>
      </c>
      <c r="CI42" s="594">
        <f>CI36/CI28</f>
        <v>0.22385691896250307</v>
      </c>
      <c r="CJ42" s="604">
        <f>($CE42-CI42)*100</f>
        <v>-0.31203199592212127</v>
      </c>
      <c r="CK42" s="594"/>
      <c r="CL42" s="595"/>
      <c r="CM42" s="594">
        <f>CM36/CM28</f>
        <v>0.22385691896250307</v>
      </c>
      <c r="CY42" s="594"/>
      <c r="CZ42" s="594"/>
      <c r="DA42" s="594"/>
      <c r="DB42" s="594"/>
      <c r="DC42" s="594"/>
      <c r="DD42" s="594"/>
      <c r="DE42" s="594"/>
      <c r="DF42" s="594"/>
      <c r="DG42" s="594"/>
      <c r="DH42" s="594"/>
      <c r="DI42" s="594"/>
      <c r="DJ42" s="594"/>
      <c r="DK42" s="594"/>
      <c r="DL42" s="594"/>
    </row>
    <row r="43" spans="1:116">
      <c r="D43" s="89"/>
      <c r="E43" s="89"/>
      <c r="F43" s="89"/>
      <c r="G43" s="89"/>
      <c r="H43" s="89"/>
      <c r="I43" s="89"/>
      <c r="J43" s="89"/>
      <c r="K43" s="89"/>
      <c r="L43" s="89"/>
      <c r="M43" s="89"/>
      <c r="N43" s="89"/>
      <c r="O43" s="89"/>
      <c r="P43" s="89"/>
      <c r="Q43" s="89"/>
      <c r="R43" s="89"/>
      <c r="S43" s="90"/>
      <c r="T43" s="89"/>
      <c r="U43" s="90"/>
      <c r="V43" s="89"/>
      <c r="W43" s="90"/>
      <c r="X43" s="90"/>
      <c r="Y43" s="87"/>
      <c r="Z43" s="87"/>
      <c r="AA43" s="87"/>
      <c r="AB43" s="600"/>
      <c r="AD43" s="77"/>
      <c r="AE43" s="80"/>
      <c r="AF43" s="78"/>
      <c r="AT43" s="600"/>
      <c r="AU43" s="600"/>
      <c r="AV43" s="600"/>
      <c r="AW43" s="600"/>
      <c r="AX43" s="600"/>
      <c r="AY43" s="600"/>
      <c r="AZ43" s="600"/>
      <c r="BA43" s="600"/>
      <c r="BB43" s="600"/>
      <c r="BC43" s="600"/>
      <c r="BD43" s="600"/>
      <c r="BE43" s="600"/>
      <c r="BG43" s="600"/>
      <c r="BH43" s="600"/>
      <c r="BI43" s="600"/>
      <c r="BJ43" s="600"/>
      <c r="BK43" s="600"/>
      <c r="BL43" s="600"/>
      <c r="BM43" s="600"/>
      <c r="BN43" s="600"/>
      <c r="BO43" s="600"/>
      <c r="BP43" s="600"/>
      <c r="BQ43" s="600"/>
      <c r="BR43" s="600"/>
      <c r="BW43" s="89"/>
      <c r="BX43" s="89"/>
      <c r="BY43" s="89"/>
      <c r="BZ43" s="89"/>
      <c r="CA43" s="89"/>
      <c r="CB43" s="89"/>
      <c r="CC43" s="89"/>
      <c r="CD43" s="89"/>
      <c r="CE43" s="89"/>
      <c r="CF43" s="90"/>
      <c r="CG43" s="89"/>
      <c r="CH43" s="90"/>
      <c r="CI43" s="89"/>
      <c r="CJ43" s="90"/>
      <c r="CK43" s="90"/>
      <c r="CL43" s="87"/>
      <c r="CM43" s="600"/>
      <c r="CO43" s="80"/>
      <c r="CP43" s="80"/>
      <c r="CQ43" s="78"/>
      <c r="CR43" s="598"/>
      <c r="CS43" s="598"/>
      <c r="CT43" s="598"/>
      <c r="CU43" s="598"/>
      <c r="CV43" s="598"/>
      <c r="CW43" s="598"/>
      <c r="CX43" s="597"/>
      <c r="CY43" s="596"/>
      <c r="CZ43" s="596"/>
      <c r="DA43" s="596"/>
      <c r="DB43" s="596"/>
      <c r="DC43" s="596"/>
      <c r="DD43" s="596"/>
      <c r="DE43" s="597"/>
      <c r="DF43" s="597"/>
      <c r="DG43" s="584"/>
      <c r="DH43" s="584"/>
      <c r="DI43" s="584"/>
      <c r="DJ43" s="584"/>
      <c r="DK43" s="584"/>
      <c r="DL43" s="600"/>
    </row>
    <row r="44" spans="1:116" s="569" customFormat="1" ht="20.100000000000001" customHeight="1">
      <c r="C44" s="570" t="s">
        <v>1291</v>
      </c>
      <c r="D44" s="571"/>
      <c r="E44" s="571"/>
      <c r="F44" s="571"/>
      <c r="G44" s="571"/>
      <c r="H44" s="571"/>
      <c r="I44" s="571"/>
      <c r="J44" s="571"/>
      <c r="K44" s="571"/>
      <c r="L44" s="571"/>
      <c r="M44" s="571"/>
      <c r="N44" s="571"/>
      <c r="O44" s="571"/>
      <c r="P44" s="571"/>
      <c r="Q44" s="571"/>
      <c r="R44" s="571"/>
      <c r="S44" s="571"/>
      <c r="T44" s="571"/>
      <c r="U44" s="571"/>
      <c r="V44" s="571"/>
      <c r="W44" s="571"/>
      <c r="X44" s="571"/>
      <c r="Y44" s="571"/>
      <c r="Z44" s="571"/>
      <c r="AA44" s="571"/>
      <c r="AB44" s="587"/>
      <c r="AT44" s="587"/>
      <c r="AU44" s="587"/>
      <c r="AV44" s="587"/>
      <c r="AW44" s="587"/>
      <c r="AX44" s="587"/>
      <c r="AY44" s="587"/>
      <c r="AZ44" s="587"/>
      <c r="BA44" s="587"/>
      <c r="BB44" s="587"/>
      <c r="BC44" s="587"/>
      <c r="BD44" s="587"/>
      <c r="BE44" s="587"/>
      <c r="BG44" s="587"/>
      <c r="BH44" s="587"/>
      <c r="BI44" s="587"/>
      <c r="BJ44" s="587"/>
      <c r="BK44" s="587"/>
      <c r="BL44" s="587"/>
      <c r="BM44" s="587"/>
      <c r="BN44" s="587"/>
      <c r="BO44" s="587"/>
      <c r="BP44" s="587"/>
      <c r="BQ44" s="587"/>
      <c r="BR44" s="587"/>
      <c r="BV44" s="570" t="s">
        <v>1292</v>
      </c>
      <c r="BW44" s="571"/>
      <c r="BX44" s="571"/>
      <c r="BY44" s="571"/>
      <c r="BZ44" s="571"/>
      <c r="CA44" s="571"/>
      <c r="CB44" s="571"/>
      <c r="CC44" s="571"/>
      <c r="CD44" s="571"/>
      <c r="CE44" s="571"/>
      <c r="CF44" s="571"/>
      <c r="CG44" s="571"/>
      <c r="CH44" s="571"/>
      <c r="CI44" s="571"/>
      <c r="CJ44" s="571"/>
      <c r="CK44" s="571"/>
      <c r="CL44" s="571"/>
      <c r="CM44" s="587"/>
      <c r="CY44" s="587"/>
      <c r="CZ44" s="587"/>
      <c r="DA44" s="587"/>
      <c r="DB44" s="587"/>
      <c r="DC44" s="587"/>
      <c r="DD44" s="587"/>
      <c r="DF44" s="587"/>
      <c r="DG44" s="587"/>
      <c r="DH44" s="587"/>
      <c r="DI44" s="587"/>
      <c r="DJ44" s="587"/>
      <c r="DK44" s="587"/>
    </row>
    <row r="45" spans="1:116" ht="30" customHeight="1">
      <c r="A45" s="569"/>
      <c r="C45" s="82"/>
      <c r="D45" s="536" t="str">
        <f t="shared" ref="D45:O45" si="39">D$4</f>
        <v>1H22A</v>
      </c>
      <c r="E45" s="536" t="str">
        <f t="shared" si="39"/>
        <v>2H22A</v>
      </c>
      <c r="F45" s="536" t="str">
        <f t="shared" si="39"/>
        <v>1H23A</v>
      </c>
      <c r="G45" s="536" t="str">
        <f t="shared" si="39"/>
        <v>2H23A</v>
      </c>
      <c r="H45" s="536" t="str">
        <f t="shared" si="39"/>
        <v>1H24A</v>
      </c>
      <c r="I45" s="536" t="str">
        <f t="shared" si="39"/>
        <v>2H24E</v>
      </c>
      <c r="J45" s="536" t="str">
        <f t="shared" si="39"/>
        <v>1H25E</v>
      </c>
      <c r="K45" s="536" t="str">
        <f t="shared" si="39"/>
        <v>2H25E</v>
      </c>
      <c r="L45" s="536" t="str">
        <f t="shared" si="39"/>
        <v>1H26E</v>
      </c>
      <c r="M45" s="536" t="str">
        <f t="shared" si="39"/>
        <v>2H26E</v>
      </c>
      <c r="N45" s="536" t="str">
        <f t="shared" si="39"/>
        <v>1H27E</v>
      </c>
      <c r="O45" s="536" t="str">
        <f t="shared" si="39"/>
        <v>2H27E</v>
      </c>
      <c r="P45" s="572"/>
      <c r="Q45" s="573" t="str">
        <f t="shared" ref="Q45:W45" si="40">Q$4</f>
        <v>1H25A</v>
      </c>
      <c r="R45" s="82" t="str">
        <f t="shared" si="40"/>
        <v>1H26A</v>
      </c>
      <c r="S45" s="574" t="str">
        <f t="shared" si="40"/>
        <v>% change</v>
      </c>
      <c r="T45" s="575" t="str">
        <f t="shared" si="40"/>
        <v>E&amp;Pe 1H26E</v>
      </c>
      <c r="U45" s="574" t="str">
        <f t="shared" si="40"/>
        <v>% diff</v>
      </c>
      <c r="V45" s="575" t="str">
        <f t="shared" si="40"/>
        <v>VA Cons. 1H26E</v>
      </c>
      <c r="W45" s="576" t="str">
        <f t="shared" si="40"/>
        <v>% diff</v>
      </c>
      <c r="X45" s="263"/>
      <c r="AB45" s="588" t="s">
        <v>1231</v>
      </c>
      <c r="AD45" s="67"/>
      <c r="AE45" s="67"/>
      <c r="AF45" s="67"/>
      <c r="AG45" s="262" t="s">
        <v>1232</v>
      </c>
      <c r="AH45" s="262" t="s">
        <v>1233</v>
      </c>
      <c r="AI45" s="262" t="s">
        <v>1234</v>
      </c>
      <c r="AJ45" s="262" t="s">
        <v>1235</v>
      </c>
      <c r="AK45" s="262" t="s">
        <v>1236</v>
      </c>
      <c r="AL45" s="262" t="s">
        <v>1237</v>
      </c>
      <c r="AM45" s="262" t="s">
        <v>1231</v>
      </c>
      <c r="AN45" s="262" t="s">
        <v>1238</v>
      </c>
      <c r="AO45" s="262" t="s">
        <v>1239</v>
      </c>
      <c r="AP45" s="262" t="s">
        <v>1240</v>
      </c>
      <c r="AQ45" s="262" t="s">
        <v>1241</v>
      </c>
      <c r="AR45" s="262" t="s">
        <v>1242</v>
      </c>
      <c r="AT45" s="588" t="s">
        <v>1232</v>
      </c>
      <c r="AU45" s="588" t="s">
        <v>1233</v>
      </c>
      <c r="AV45" s="588" t="s">
        <v>1234</v>
      </c>
      <c r="AW45" s="588" t="s">
        <v>1235</v>
      </c>
      <c r="AX45" s="588" t="s">
        <v>1236</v>
      </c>
      <c r="AY45" s="588" t="s">
        <v>1237</v>
      </c>
      <c r="AZ45" s="588" t="s">
        <v>1231</v>
      </c>
      <c r="BA45" s="588" t="s">
        <v>1238</v>
      </c>
      <c r="BB45" s="588" t="s">
        <v>1239</v>
      </c>
      <c r="BC45" s="588" t="s">
        <v>1240</v>
      </c>
      <c r="BD45" s="588" t="s">
        <v>1241</v>
      </c>
      <c r="BE45" s="588" t="s">
        <v>1242</v>
      </c>
      <c r="BG45" s="588" t="s">
        <v>1232</v>
      </c>
      <c r="BH45" s="588" t="s">
        <v>1233</v>
      </c>
      <c r="BI45" s="588" t="s">
        <v>1234</v>
      </c>
      <c r="BJ45" s="588" t="s">
        <v>1235</v>
      </c>
      <c r="BK45" s="588" t="s">
        <v>1236</v>
      </c>
      <c r="BL45" s="588" t="s">
        <v>1237</v>
      </c>
      <c r="BM45" s="588" t="s">
        <v>1231</v>
      </c>
      <c r="BN45" s="588" t="s">
        <v>1238</v>
      </c>
      <c r="BO45" s="588" t="s">
        <v>1239</v>
      </c>
      <c r="BP45" s="588" t="s">
        <v>1240</v>
      </c>
      <c r="BQ45" s="588" t="s">
        <v>1241</v>
      </c>
      <c r="BR45" s="588" t="s">
        <v>1242</v>
      </c>
      <c r="BV45" s="612"/>
      <c r="BW45" s="536" t="str">
        <f t="shared" ref="BW45:CB45" si="41">BW$4</f>
        <v>FY22A</v>
      </c>
      <c r="BX45" s="536" t="str">
        <f t="shared" si="41"/>
        <v>FY23A</v>
      </c>
      <c r="BY45" s="536" t="str">
        <f t="shared" si="41"/>
        <v>FY24E</v>
      </c>
      <c r="BZ45" s="536" t="str">
        <f t="shared" si="41"/>
        <v>FY25E</v>
      </c>
      <c r="CA45" s="536" t="str">
        <f t="shared" si="41"/>
        <v>FY26E</v>
      </c>
      <c r="CB45" s="536" t="str">
        <f t="shared" si="41"/>
        <v>FY27E</v>
      </c>
      <c r="CC45" s="572"/>
      <c r="CD45" s="573" t="str">
        <f t="shared" ref="CD45:CJ45" si="42">CD$4</f>
        <v>FY25A</v>
      </c>
      <c r="CE45" s="82" t="str">
        <f t="shared" si="42"/>
        <v>FY26A</v>
      </c>
      <c r="CF45" s="574" t="str">
        <f t="shared" si="42"/>
        <v>% change</v>
      </c>
      <c r="CG45" s="575" t="str">
        <f t="shared" si="42"/>
        <v>E&amp;Pe FY26E</v>
      </c>
      <c r="CH45" s="574" t="str">
        <f t="shared" si="42"/>
        <v>% diff</v>
      </c>
      <c r="CI45" s="575" t="str">
        <f t="shared" si="42"/>
        <v>VA Cons. FY26E</v>
      </c>
      <c r="CJ45" s="576" t="str">
        <f t="shared" si="42"/>
        <v>% diff</v>
      </c>
      <c r="CK45" s="263"/>
      <c r="CM45" s="262" t="s">
        <v>1252</v>
      </c>
      <c r="CO45" s="67"/>
      <c r="CP45" s="67"/>
      <c r="CQ45" s="67"/>
      <c r="CR45" s="262" t="s">
        <v>1253</v>
      </c>
      <c r="CS45" s="262" t="s">
        <v>1254</v>
      </c>
      <c r="CT45" s="262" t="s">
        <v>1252</v>
      </c>
      <c r="CU45" s="262" t="s">
        <v>1255</v>
      </c>
      <c r="CV45" s="262" t="s">
        <v>1256</v>
      </c>
      <c r="CW45" s="262" t="s">
        <v>1257</v>
      </c>
      <c r="CY45" s="262" t="s">
        <v>1253</v>
      </c>
      <c r="CZ45" s="262" t="s">
        <v>1254</v>
      </c>
      <c r="DA45" s="262" t="s">
        <v>1252</v>
      </c>
      <c r="DB45" s="262" t="s">
        <v>1255</v>
      </c>
      <c r="DC45" s="262" t="s">
        <v>1256</v>
      </c>
      <c r="DD45" s="262" t="s">
        <v>1257</v>
      </c>
      <c r="DF45" s="262" t="s">
        <v>1253</v>
      </c>
      <c r="DG45" s="262" t="s">
        <v>1254</v>
      </c>
      <c r="DH45" s="262" t="s">
        <v>1252</v>
      </c>
      <c r="DI45" s="262" t="s">
        <v>1255</v>
      </c>
      <c r="DJ45" s="262" t="s">
        <v>1256</v>
      </c>
      <c r="DK45" s="262" t="s">
        <v>1257</v>
      </c>
    </row>
    <row r="46" spans="1:116">
      <c r="C46" s="85" t="s">
        <v>71</v>
      </c>
      <c r="D46" s="84"/>
      <c r="E46" s="84"/>
      <c r="F46" s="84"/>
      <c r="G46" s="84"/>
      <c r="H46" s="84"/>
      <c r="I46" s="84"/>
      <c r="J46" s="84"/>
      <c r="K46" s="84"/>
      <c r="L46" s="84"/>
      <c r="M46" s="84"/>
      <c r="N46" s="84"/>
      <c r="O46" s="84"/>
      <c r="P46" s="84"/>
      <c r="Q46" s="577"/>
      <c r="R46" s="84"/>
      <c r="S46" s="578"/>
      <c r="T46" s="577"/>
      <c r="U46" s="578"/>
      <c r="V46" s="577"/>
      <c r="W46" s="578"/>
      <c r="X46" s="84"/>
      <c r="AB46" s="583"/>
      <c r="AD46" s="67"/>
      <c r="AE46" s="67"/>
      <c r="AF46" s="67"/>
      <c r="AT46" s="583"/>
      <c r="AU46" s="583"/>
      <c r="AV46" s="583"/>
      <c r="AW46" s="583"/>
      <c r="AX46" s="583"/>
      <c r="AY46" s="583"/>
      <c r="AZ46" s="583"/>
      <c r="BA46" s="583"/>
      <c r="BB46" s="583"/>
      <c r="BC46" s="583"/>
      <c r="BD46" s="583"/>
      <c r="BE46" s="583"/>
      <c r="BG46" s="583"/>
      <c r="BH46" s="583"/>
      <c r="BI46" s="583"/>
      <c r="BJ46" s="583"/>
      <c r="BK46" s="583"/>
      <c r="BL46" s="583"/>
      <c r="BM46" s="583"/>
      <c r="BN46" s="583"/>
      <c r="BO46" s="583"/>
      <c r="BP46" s="583"/>
      <c r="BQ46" s="583"/>
      <c r="BR46" s="583"/>
      <c r="BV46" s="613" t="s">
        <v>71</v>
      </c>
      <c r="BW46" s="84"/>
      <c r="BX46" s="84"/>
      <c r="BY46" s="84"/>
      <c r="BZ46" s="84"/>
      <c r="CA46" s="84"/>
      <c r="CB46" s="84"/>
      <c r="CC46" s="84"/>
      <c r="CD46" s="577"/>
      <c r="CE46" s="84"/>
      <c r="CF46" s="578"/>
      <c r="CG46" s="577"/>
      <c r="CH46" s="578"/>
      <c r="CI46" s="577"/>
      <c r="CJ46" s="578"/>
      <c r="CK46" s="84"/>
      <c r="CM46" s="583"/>
      <c r="CO46" s="67"/>
      <c r="CP46" s="67"/>
      <c r="CQ46" s="67"/>
      <c r="CY46" s="583"/>
      <c r="CZ46" s="583"/>
      <c r="DA46" s="583"/>
      <c r="DB46" s="583"/>
      <c r="DC46" s="583"/>
      <c r="DD46" s="583"/>
      <c r="DF46" s="583"/>
      <c r="DG46" s="583"/>
      <c r="DH46" s="583"/>
      <c r="DI46" s="583"/>
      <c r="DJ46" s="583"/>
      <c r="DK46" s="583"/>
    </row>
    <row r="47" spans="1:116">
      <c r="C47" s="589" t="s">
        <v>70</v>
      </c>
      <c r="D47" s="89"/>
      <c r="E47" s="89"/>
      <c r="F47" s="89">
        <f>HY!O83</f>
        <v>135.6</v>
      </c>
      <c r="G47" s="89">
        <f>HY!P83</f>
        <v>129.70000000000002</v>
      </c>
      <c r="H47" s="89">
        <f>HY!Q83</f>
        <v>127.9</v>
      </c>
      <c r="I47" s="89">
        <f>HY!R83</f>
        <v>119.79999999999998</v>
      </c>
      <c r="J47" s="89">
        <f>HY!S83</f>
        <v>118.3</v>
      </c>
      <c r="K47" s="89">
        <f>HY!T83</f>
        <v>115.60000000000001</v>
      </c>
      <c r="L47" s="89">
        <f>HY!U83</f>
        <v>110.9</v>
      </c>
      <c r="M47" s="89">
        <f>HY!V83</f>
        <v>103.1</v>
      </c>
      <c r="N47" s="89">
        <f>HY!W83</f>
        <v>99</v>
      </c>
      <c r="O47" s="89">
        <f>HY!X83</f>
        <v>103</v>
      </c>
      <c r="P47" s="89"/>
      <c r="Q47" s="579">
        <f>J47</f>
        <v>118.3</v>
      </c>
      <c r="R47" s="89">
        <v>110.9</v>
      </c>
      <c r="S47" s="580">
        <f>R47/Q47-1</f>
        <v>-6.2552831783600937E-2</v>
      </c>
      <c r="T47" s="579">
        <f>L47</f>
        <v>110.9</v>
      </c>
      <c r="U47" s="580">
        <f>$R47/T47-1</f>
        <v>0</v>
      </c>
      <c r="V47" s="579">
        <f>AB47</f>
        <v>109.71971659766299</v>
      </c>
      <c r="W47" s="580">
        <f>$R47/V47-1</f>
        <v>1.0757258940661041E-2</v>
      </c>
      <c r="X47" s="90"/>
      <c r="Y47" s="87"/>
      <c r="Z47" s="87"/>
      <c r="AA47" s="87"/>
      <c r="AB47" s="585">
        <f>BB47</f>
        <v>109.71971659766299</v>
      </c>
      <c r="AD47" s="77" t="s">
        <v>1259</v>
      </c>
      <c r="AE47" s="77" t="s">
        <v>1293</v>
      </c>
      <c r="AF47" s="78" t="s">
        <v>1261</v>
      </c>
      <c r="AG47" s="86">
        <f>_xll.VAData($AD47,AG$4,$AE47,$AF47)</f>
        <v>60</v>
      </c>
      <c r="AH47" s="86">
        <f>_xll.VAData($AD47,AH$4,$AE47,$AF47)</f>
        <v>125.51</v>
      </c>
      <c r="AI47" s="86">
        <f>_xll.VAData($AD47,AI$4,$AE47,$AF47)</f>
        <v>135.6</v>
      </c>
      <c r="AJ47" s="86">
        <f>_xll.VAData($AD47,AJ$4,$AE47,$AF47)</f>
        <v>129.69999999999999</v>
      </c>
      <c r="AK47" s="86">
        <f>_xll.VAData($AD47,AK$4,$AE47,$AF47)</f>
        <v>127.9</v>
      </c>
      <c r="AL47" s="86">
        <f>_xll.VAData($AD47,AL$4,$AE47,$AF47)</f>
        <v>119.8</v>
      </c>
      <c r="AM47" s="86">
        <f>_xll.VAData($AD47,AM$4,$AE47,$AF47)</f>
        <v>118.3</v>
      </c>
      <c r="AN47" s="86">
        <f>_xll.VAData($AD47,AN$4,$AE47,$AF47)</f>
        <v>115.6</v>
      </c>
      <c r="AO47" s="86">
        <f>_xll.VAData($AD47,AO$4,$AE47,$AF47)</f>
        <v>110.9</v>
      </c>
      <c r="AP47" s="86">
        <f>_xll.VAData($AD47,AP$4,$AE47,$AF47)</f>
        <v>103.1</v>
      </c>
      <c r="AQ47" s="86">
        <f>_xll.VAData($AD47,AQ$4,$AE47,$AF47)</f>
        <v>97.380876614262135</v>
      </c>
      <c r="AR47" s="86">
        <f>_xll.VAData($AD47,AR$4,$AE47,$AF47)</f>
        <v>102.81270020108592</v>
      </c>
      <c r="AT47" s="581">
        <v>60</v>
      </c>
      <c r="AU47" s="581">
        <v>125.51</v>
      </c>
      <c r="AV47" s="581">
        <v>135.6</v>
      </c>
      <c r="AW47" s="581">
        <v>129.69999999999999</v>
      </c>
      <c r="AX47" s="581">
        <v>127.9</v>
      </c>
      <c r="AY47" s="581">
        <v>119.8</v>
      </c>
      <c r="AZ47" s="581">
        <v>118.3</v>
      </c>
      <c r="BA47" s="581">
        <v>115.6</v>
      </c>
      <c r="BB47" s="581">
        <v>109.71971659766299</v>
      </c>
      <c r="BC47" s="581">
        <v>109.8464511038018</v>
      </c>
      <c r="BD47" s="581">
        <v>116.3693159272938</v>
      </c>
      <c r="BE47" s="581">
        <v>115.8312981409768</v>
      </c>
      <c r="BI47" s="584">
        <f t="shared" ref="BI47:BR49" si="43">F47-AV47</f>
        <v>0</v>
      </c>
      <c r="BJ47" s="584">
        <f t="shared" si="43"/>
        <v>0</v>
      </c>
      <c r="BK47" s="584">
        <f t="shared" si="43"/>
        <v>0</v>
      </c>
      <c r="BL47" s="584">
        <f t="shared" si="43"/>
        <v>0</v>
      </c>
      <c r="BM47" s="584">
        <f t="shared" si="43"/>
        <v>0</v>
      </c>
      <c r="BN47" s="584">
        <f t="shared" si="43"/>
        <v>0</v>
      </c>
      <c r="BO47" s="584">
        <f t="shared" si="43"/>
        <v>1.180283402337011</v>
      </c>
      <c r="BP47" s="584">
        <f t="shared" si="43"/>
        <v>-6.7464511038018031</v>
      </c>
      <c r="BQ47" s="584">
        <f t="shared" si="43"/>
        <v>-17.369315927293798</v>
      </c>
      <c r="BR47" s="584">
        <f t="shared" si="43"/>
        <v>-12.831298140976799</v>
      </c>
      <c r="BV47" s="614" t="s">
        <v>70</v>
      </c>
      <c r="BW47" s="89">
        <f>FY!G208</f>
        <v>161.38499999999999</v>
      </c>
      <c r="BX47" s="89">
        <f>FY!H208</f>
        <v>265.3</v>
      </c>
      <c r="BY47" s="89">
        <f>FY!I208</f>
        <v>247.7</v>
      </c>
      <c r="BZ47" s="89">
        <f>FY!J208</f>
        <v>233.9</v>
      </c>
      <c r="CA47" s="89">
        <f>FY!K208</f>
        <v>214</v>
      </c>
      <c r="CB47" s="89">
        <f>FY!L208</f>
        <v>202</v>
      </c>
      <c r="CC47" s="89"/>
      <c r="CD47" s="579">
        <f>BZ47</f>
        <v>233.9</v>
      </c>
      <c r="CE47" s="89">
        <v>214</v>
      </c>
      <c r="CF47" s="580">
        <f>CE47/CD47-1</f>
        <v>-8.5079093629756297E-2</v>
      </c>
      <c r="CG47" s="579">
        <f>CA47</f>
        <v>214</v>
      </c>
      <c r="CH47" s="580">
        <f>$CE47/CG47-1</f>
        <v>0</v>
      </c>
      <c r="CI47" s="579">
        <f>CM47</f>
        <v>217.769154494156</v>
      </c>
      <c r="CJ47" s="580">
        <f>$CE47/CI47-1</f>
        <v>-1.7308027405952719E-2</v>
      </c>
      <c r="CK47" s="90"/>
      <c r="CL47" s="87"/>
      <c r="CM47" s="585">
        <f>DC47</f>
        <v>217.769154494156</v>
      </c>
      <c r="CO47" s="77" t="s">
        <v>1259</v>
      </c>
      <c r="CP47" s="77" t="s">
        <v>1293</v>
      </c>
      <c r="CQ47" s="78" t="s">
        <v>1261</v>
      </c>
      <c r="CR47" s="86">
        <f>_xll.VAData($AD47,CR$4,$AE47,$AF47)</f>
        <v>185.5</v>
      </c>
      <c r="CS47" s="86">
        <f>_xll.VAData($AD47,CS$4,$AE47,$AF47)</f>
        <v>265.3</v>
      </c>
      <c r="CT47" s="86">
        <f>_xll.VAData($AD47,CT$4,$AE47,$AF47)</f>
        <v>247.7</v>
      </c>
      <c r="CU47" s="86">
        <f>_xll.VAData($AD47,CU$4,$AE47,$AF47)</f>
        <v>233.9</v>
      </c>
      <c r="CV47" s="86">
        <f>_xll.VAData($AD47,CV$4,$AE47,$AF47)</f>
        <v>214</v>
      </c>
      <c r="CW47" s="86">
        <f>_xll.VAData($AD47,CW$4,$AE47,$AF47)</f>
        <v>202.13798067945666</v>
      </c>
      <c r="CY47" s="581">
        <v>185.5</v>
      </c>
      <c r="CZ47" s="581">
        <v>265.3</v>
      </c>
      <c r="DA47" s="581">
        <v>247.7</v>
      </c>
      <c r="DB47" s="581">
        <v>233.9</v>
      </c>
      <c r="DC47" s="581">
        <v>217.769154494156</v>
      </c>
      <c r="DD47" s="581">
        <v>223.93093572859249</v>
      </c>
      <c r="DF47" s="584">
        <f t="shared" ref="DF47:DK49" si="44">BW47-CY47</f>
        <v>-24.115000000000009</v>
      </c>
      <c r="DG47" s="584">
        <f t="shared" si="44"/>
        <v>0</v>
      </c>
      <c r="DH47" s="584">
        <f t="shared" si="44"/>
        <v>0</v>
      </c>
      <c r="DI47" s="584">
        <f t="shared" si="44"/>
        <v>0</v>
      </c>
      <c r="DJ47" s="584">
        <f t="shared" si="44"/>
        <v>-3.7691544941559982</v>
      </c>
      <c r="DK47" s="584">
        <f t="shared" si="44"/>
        <v>-21.930935728592488</v>
      </c>
    </row>
    <row r="48" spans="1:116">
      <c r="C48" s="589" t="s">
        <v>1284</v>
      </c>
      <c r="D48" s="89"/>
      <c r="E48" s="89"/>
      <c r="F48" s="89">
        <f>HY!O90</f>
        <v>28.2</v>
      </c>
      <c r="G48" s="89">
        <f>HY!P90</f>
        <v>25.8</v>
      </c>
      <c r="H48" s="89">
        <f>HY!Q90</f>
        <v>26.4</v>
      </c>
      <c r="I48" s="89">
        <f>HY!R90</f>
        <v>25.9</v>
      </c>
      <c r="J48" s="89">
        <f>HY!S90</f>
        <v>26</v>
      </c>
      <c r="K48" s="89">
        <f>HY!T90</f>
        <v>24.700000000000003</v>
      </c>
      <c r="L48" s="89">
        <f>HY!U90</f>
        <v>24.8</v>
      </c>
      <c r="M48" s="89">
        <f>HY!V90</f>
        <v>24.999999999999996</v>
      </c>
      <c r="N48" s="89">
        <f>HY!W90</f>
        <v>25.295999999999999</v>
      </c>
      <c r="O48" s="89">
        <f>HY!X90</f>
        <v>25.5</v>
      </c>
      <c r="P48" s="89"/>
      <c r="Q48" s="579">
        <f>J48</f>
        <v>26</v>
      </c>
      <c r="R48" s="89">
        <v>24.8</v>
      </c>
      <c r="S48" s="580">
        <f>R48/Q48-1</f>
        <v>-4.6153846153846101E-2</v>
      </c>
      <c r="T48" s="579">
        <f>L48</f>
        <v>24.8</v>
      </c>
      <c r="U48" s="580">
        <f>$R48/T48-1</f>
        <v>0</v>
      </c>
      <c r="V48" s="579">
        <f>AB48</f>
        <v>21.924059807999999</v>
      </c>
      <c r="W48" s="580">
        <f>$R48/V48-1</f>
        <v>0.13117735570811484</v>
      </c>
      <c r="X48" s="90"/>
      <c r="Y48" s="87"/>
      <c r="Z48" s="87"/>
      <c r="AA48" s="87"/>
      <c r="AB48" s="585">
        <f>BB48</f>
        <v>21.924059807999999</v>
      </c>
      <c r="AD48" s="77" t="s">
        <v>1259</v>
      </c>
      <c r="AE48" s="77" t="s">
        <v>1294</v>
      </c>
      <c r="AF48" s="78" t="s">
        <v>1261</v>
      </c>
      <c r="AG48" s="86">
        <f>_xll.VAData($AD48,AG$4,$AE48,$AF48)</f>
        <v>16.899999999999999</v>
      </c>
      <c r="AH48" s="86">
        <f>_xll.VAData($AD48,AH$4,$AE48,$AF48)</f>
        <v>23.9</v>
      </c>
      <c r="AI48" s="86">
        <f>_xll.VAData($AD48,AI$4,$AE48,$AF48)</f>
        <v>28.3</v>
      </c>
      <c r="AJ48" s="86">
        <f>_xll.VAData($AD48,AJ$4,$AE48,$AF48)</f>
        <v>25.8</v>
      </c>
      <c r="AK48" s="86">
        <f>_xll.VAData($AD48,AK$4,$AE48,$AF48)</f>
        <v>26.7</v>
      </c>
      <c r="AL48" s="86">
        <f>_xll.VAData($AD48,AL$4,$AE48,$AF48)</f>
        <v>25.9</v>
      </c>
      <c r="AM48" s="86">
        <f>_xll.VAData($AD48,AM$4,$AE48,$AF48)</f>
        <v>26</v>
      </c>
      <c r="AN48" s="86">
        <f>_xll.VAData($AD48,AN$4,$AE48,$AF48)</f>
        <v>24.7</v>
      </c>
      <c r="AO48" s="86">
        <f>_xll.VAData($AD48,AO$4,$AE48,$AF48)</f>
        <v>24.8</v>
      </c>
      <c r="AP48" s="86">
        <f>_xll.VAData($AD48,AP$4,$AE48,$AF48)</f>
        <v>25</v>
      </c>
      <c r="AQ48" s="86">
        <f>_xll.VAData($AD48,AQ$4,$AE48,$AF48)</f>
        <v>25.42</v>
      </c>
      <c r="AR48" s="86">
        <f>_xll.VAData($AD48,AR$4,$AE48,$AF48)</f>
        <v>25.75</v>
      </c>
      <c r="AT48" s="581">
        <v>16.899999999999999</v>
      </c>
      <c r="AU48" s="581">
        <v>23.9</v>
      </c>
      <c r="AV48" s="581">
        <v>28.3</v>
      </c>
      <c r="AW48" s="581">
        <v>25.8</v>
      </c>
      <c r="AX48" s="581">
        <v>26.7</v>
      </c>
      <c r="AY48" s="581">
        <v>25.9</v>
      </c>
      <c r="AZ48" s="581">
        <v>22.3714896</v>
      </c>
      <c r="BA48" s="581">
        <v>21.107624999999999</v>
      </c>
      <c r="BB48" s="581">
        <v>21.924059807999999</v>
      </c>
      <c r="BC48" s="581">
        <v>20.896548750000001</v>
      </c>
      <c r="BD48" s="581">
        <v>22.362541004160001</v>
      </c>
      <c r="BE48" s="581">
        <v>21.314479725000002</v>
      </c>
      <c r="BI48" s="584">
        <f t="shared" si="43"/>
        <v>-0.10000000000000142</v>
      </c>
      <c r="BJ48" s="584">
        <f t="shared" si="43"/>
        <v>0</v>
      </c>
      <c r="BK48" s="584">
        <f t="shared" si="43"/>
        <v>-0.30000000000000071</v>
      </c>
      <c r="BL48" s="584">
        <f t="shared" si="43"/>
        <v>0</v>
      </c>
      <c r="BM48" s="584">
        <f t="shared" si="43"/>
        <v>3.6285103999999997</v>
      </c>
      <c r="BN48" s="584">
        <f t="shared" si="43"/>
        <v>3.5923750000000041</v>
      </c>
      <c r="BO48" s="584">
        <f t="shared" si="43"/>
        <v>2.8759401920000016</v>
      </c>
      <c r="BP48" s="584">
        <f t="shared" si="43"/>
        <v>4.1034512499999956</v>
      </c>
      <c r="BQ48" s="584">
        <f t="shared" si="43"/>
        <v>2.9334589958399988</v>
      </c>
      <c r="BR48" s="584">
        <f t="shared" si="43"/>
        <v>4.1855202749999982</v>
      </c>
      <c r="BV48" s="614" t="s">
        <v>77</v>
      </c>
      <c r="BW48" s="89">
        <f>FY!G209</f>
        <v>41.760000000000005</v>
      </c>
      <c r="BX48" s="89">
        <f>FY!H209</f>
        <v>54</v>
      </c>
      <c r="BY48" s="89">
        <f>FY!I209</f>
        <v>52.3</v>
      </c>
      <c r="BZ48" s="89">
        <f>FY!J209</f>
        <v>50.7</v>
      </c>
      <c r="CA48" s="89">
        <f>FY!K209</f>
        <v>49.8</v>
      </c>
      <c r="CB48" s="89">
        <f>FY!L209</f>
        <v>50.795999999999999</v>
      </c>
      <c r="CC48" s="89"/>
      <c r="CD48" s="579">
        <f>BZ48</f>
        <v>50.7</v>
      </c>
      <c r="CE48" s="89">
        <v>49.8</v>
      </c>
      <c r="CF48" s="580">
        <f>CE48/CD48-1</f>
        <v>-1.7751479289940919E-2</v>
      </c>
      <c r="CG48" s="579">
        <f>CA48</f>
        <v>49.8</v>
      </c>
      <c r="CH48" s="580">
        <f>$CE48/CG48-1</f>
        <v>0</v>
      </c>
      <c r="CI48" s="579">
        <f>CM48</f>
        <v>45.4854725</v>
      </c>
      <c r="CJ48" s="580">
        <f>$CE48/CI48-1</f>
        <v>9.4855066087309536E-2</v>
      </c>
      <c r="CK48" s="90"/>
      <c r="CL48" s="87"/>
      <c r="CM48" s="585">
        <f>DC48</f>
        <v>45.4854725</v>
      </c>
      <c r="CO48" s="77" t="s">
        <v>1259</v>
      </c>
      <c r="CP48" s="77" t="s">
        <v>1295</v>
      </c>
      <c r="CQ48" s="78" t="s">
        <v>1261</v>
      </c>
      <c r="CR48" s="86">
        <f>_xll.VAData($AD48,CR$4,$AE48,$AF48)</f>
        <v>40.799999999999997</v>
      </c>
      <c r="CS48" s="86">
        <f>_xll.VAData($AD48,CS$4,$AE48,$AF48)</f>
        <v>54.1</v>
      </c>
      <c r="CT48" s="86">
        <f>_xll.VAData($AD48,CT$4,$AE48,$AF48)</f>
        <v>52.6</v>
      </c>
      <c r="CU48" s="86">
        <f>_xll.VAData($AD48,CU$4,$AE48,$AF48)</f>
        <v>50.7</v>
      </c>
      <c r="CV48" s="86">
        <f>_xll.VAData($AD48,CV$4,$AE48,$AF48)</f>
        <v>49.8</v>
      </c>
      <c r="CW48" s="86">
        <f>_xll.VAData($AD48,CW$4,$AE48,$AF48)</f>
        <v>51.17</v>
      </c>
      <c r="CY48" s="581">
        <v>40.799999999999997</v>
      </c>
      <c r="CZ48" s="581">
        <v>54.1</v>
      </c>
      <c r="DA48" s="581">
        <v>52.6</v>
      </c>
      <c r="DB48" s="581">
        <v>47.107624999999999</v>
      </c>
      <c r="DC48" s="581">
        <v>45.4854725</v>
      </c>
      <c r="DD48" s="581">
        <v>46.726036675000003</v>
      </c>
      <c r="DF48" s="584">
        <f t="shared" si="44"/>
        <v>0.96000000000000796</v>
      </c>
      <c r="DG48" s="584">
        <f t="shared" si="44"/>
        <v>-0.10000000000000142</v>
      </c>
      <c r="DH48" s="584">
        <f t="shared" si="44"/>
        <v>-0.30000000000000426</v>
      </c>
      <c r="DI48" s="584">
        <f t="shared" si="44"/>
        <v>3.5923750000000041</v>
      </c>
      <c r="DJ48" s="584">
        <f t="shared" si="44"/>
        <v>4.314527499999997</v>
      </c>
      <c r="DK48" s="584">
        <f t="shared" si="44"/>
        <v>4.0699633249999962</v>
      </c>
    </row>
    <row r="49" spans="3:116">
      <c r="C49" s="589" t="s">
        <v>78</v>
      </c>
      <c r="D49" s="89"/>
      <c r="E49" s="89"/>
      <c r="F49" s="89">
        <f>HY!O97</f>
        <v>51.6</v>
      </c>
      <c r="G49" s="89">
        <f>HY!P97</f>
        <v>48.199999999999996</v>
      </c>
      <c r="H49" s="89">
        <f>HY!Q97</f>
        <v>46.6</v>
      </c>
      <c r="I49" s="89">
        <f>HY!R97</f>
        <v>51.300000000000004</v>
      </c>
      <c r="J49" s="89">
        <f>HY!S97</f>
        <v>50.3</v>
      </c>
      <c r="K49" s="89">
        <f>HY!T97</f>
        <v>45.600000000000009</v>
      </c>
      <c r="L49" s="89">
        <f>HY!U97</f>
        <v>50.2</v>
      </c>
      <c r="M49" s="89">
        <f>HY!V97</f>
        <v>52.8</v>
      </c>
      <c r="N49" s="89">
        <f>HY!W97</f>
        <v>52</v>
      </c>
      <c r="O49" s="89">
        <f>HY!X97</f>
        <v>52</v>
      </c>
      <c r="P49" s="89"/>
      <c r="Q49" s="579">
        <f>J49</f>
        <v>50.3</v>
      </c>
      <c r="R49" s="89">
        <v>50.2</v>
      </c>
      <c r="S49" s="580">
        <f>R49/Q49-1</f>
        <v>-1.9880715705764551E-3</v>
      </c>
      <c r="T49" s="579">
        <f>L49</f>
        <v>50.2</v>
      </c>
      <c r="U49" s="580">
        <f>$R49/T49-1</f>
        <v>0</v>
      </c>
      <c r="V49" s="579">
        <f>AB49</f>
        <v>48.539380116367127</v>
      </c>
      <c r="W49" s="580">
        <f>$R49/V49-1</f>
        <v>3.4211806571318837E-2</v>
      </c>
      <c r="X49" s="90"/>
      <c r="Y49" s="87"/>
      <c r="Z49" s="87"/>
      <c r="AA49" s="87"/>
      <c r="AB49" s="585">
        <f>BB49</f>
        <v>48.539380116367127</v>
      </c>
      <c r="AD49" s="77" t="s">
        <v>1259</v>
      </c>
      <c r="AE49" s="77" t="s">
        <v>1296</v>
      </c>
      <c r="AF49" s="78" t="s">
        <v>1261</v>
      </c>
      <c r="AG49" s="86">
        <f>_xll.VAData($AD49,AG$4,$AE49,$AF49)</f>
        <v>36.539435764368136</v>
      </c>
      <c r="AH49" s="86">
        <f>_xll.VAData($AD49,AH$4,$AE49,$AF49)</f>
        <v>44.663311537696877</v>
      </c>
      <c r="AI49" s="86">
        <f>_xll.VAData($AD49,AI$4,$AE49,$AF49)</f>
        <v>51.539565169407403</v>
      </c>
      <c r="AJ49" s="86">
        <f>_xll.VAData($AD49,AJ$4,$AE49,$AF49)</f>
        <v>48.117041452180999</v>
      </c>
      <c r="AK49" s="86">
        <f>_xll.VAData($AD49,AK$4,$AE49,$AF49)</f>
        <v>46.6</v>
      </c>
      <c r="AL49" s="86">
        <f>_xll.VAData($AD49,AL$4,$AE49,$AF49)</f>
        <v>51.3</v>
      </c>
      <c r="AM49" s="86">
        <f>_xll.VAData($AD49,AM$4,$AE49,$AF49)</f>
        <v>50.3</v>
      </c>
      <c r="AN49" s="86">
        <f>_xll.VAData($AD49,AN$4,$AE49,$AF49)</f>
        <v>45.6</v>
      </c>
      <c r="AO49" s="86">
        <f>_xll.VAData($AD49,AO$4,$AE49,$AF49)</f>
        <v>50.2</v>
      </c>
      <c r="AP49" s="86">
        <f>_xll.VAData($AD49,AP$4,$AE49,$AF49)</f>
        <v>52.8</v>
      </c>
      <c r="AQ49" s="86">
        <f>_xll.VAData($AD49,AQ$4,$AE49,$AF49)</f>
        <v>53.443815007540174</v>
      </c>
      <c r="AR49" s="86">
        <f>_xll.VAData($AD49,AR$4,$AE49,$AF49)</f>
        <v>51.593933763684902</v>
      </c>
      <c r="AT49" s="581">
        <v>36.539435764368143</v>
      </c>
      <c r="AU49" s="581">
        <v>44.663311537696877</v>
      </c>
      <c r="AV49" s="581">
        <v>51.539565169407403</v>
      </c>
      <c r="AW49" s="581">
        <v>48.117041452180999</v>
      </c>
      <c r="AX49" s="581">
        <v>46.6</v>
      </c>
      <c r="AY49" s="581">
        <v>51.3</v>
      </c>
      <c r="AZ49" s="581">
        <v>50.3</v>
      </c>
      <c r="BA49" s="581">
        <v>45.6</v>
      </c>
      <c r="BB49" s="581">
        <v>48.539380116367127</v>
      </c>
      <c r="BC49" s="581">
        <v>47.099024288957047</v>
      </c>
      <c r="BD49" s="581">
        <v>47.019448773012392</v>
      </c>
      <c r="BE49" s="581">
        <v>45.363987787293112</v>
      </c>
      <c r="BI49" s="584">
        <f t="shared" si="43"/>
        <v>6.0434830592598132E-2</v>
      </c>
      <c r="BJ49" s="584">
        <f t="shared" si="43"/>
        <v>8.2958547818996919E-2</v>
      </c>
      <c r="BK49" s="584">
        <f t="shared" si="43"/>
        <v>0</v>
      </c>
      <c r="BL49" s="584">
        <f t="shared" si="43"/>
        <v>0</v>
      </c>
      <c r="BM49" s="584">
        <f t="shared" si="43"/>
        <v>0</v>
      </c>
      <c r="BN49" s="584">
        <f t="shared" si="43"/>
        <v>0</v>
      </c>
      <c r="BO49" s="584">
        <f t="shared" si="43"/>
        <v>1.6606198836328758</v>
      </c>
      <c r="BP49" s="584">
        <f t="shared" si="43"/>
        <v>5.7009757110429504</v>
      </c>
      <c r="BQ49" s="584">
        <f t="shared" si="43"/>
        <v>4.9805512269876075</v>
      </c>
      <c r="BR49" s="584">
        <f t="shared" si="43"/>
        <v>6.6360122127068877</v>
      </c>
      <c r="BV49" s="614" t="s">
        <v>78</v>
      </c>
      <c r="BW49" s="89">
        <f>FY!G210</f>
        <v>71.10191445267732</v>
      </c>
      <c r="BX49" s="89">
        <f>FY!H210</f>
        <v>99.8</v>
      </c>
      <c r="BY49" s="89">
        <f>FY!I210</f>
        <v>97.9</v>
      </c>
      <c r="BZ49" s="89">
        <f>FY!J210</f>
        <v>95.9</v>
      </c>
      <c r="CA49" s="89">
        <f>FY!K210</f>
        <v>103</v>
      </c>
      <c r="CB49" s="89">
        <f>FY!L210</f>
        <v>104</v>
      </c>
      <c r="CC49" s="89"/>
      <c r="CD49" s="579">
        <f>BZ49</f>
        <v>95.9</v>
      </c>
      <c r="CE49" s="89">
        <v>103</v>
      </c>
      <c r="CF49" s="580">
        <f>CE49/CD49-1</f>
        <v>7.4035453597497414E-2</v>
      </c>
      <c r="CG49" s="579">
        <f>CA49</f>
        <v>103</v>
      </c>
      <c r="CH49" s="580">
        <f>$CE49/CG49-1</f>
        <v>0</v>
      </c>
      <c r="CI49" s="579">
        <f>CM49</f>
        <v>96.563492449723356</v>
      </c>
      <c r="CJ49" s="580">
        <f>$CE49/CI49-1</f>
        <v>6.6655703796420385E-2</v>
      </c>
      <c r="CK49" s="90"/>
      <c r="CL49" s="87"/>
      <c r="CM49" s="585">
        <f>DC49</f>
        <v>96.563492449723356</v>
      </c>
      <c r="CO49" s="77" t="s">
        <v>1259</v>
      </c>
      <c r="CP49" s="77" t="s">
        <v>1296</v>
      </c>
      <c r="CQ49" s="78" t="s">
        <v>1261</v>
      </c>
      <c r="CR49" s="86">
        <f>_xll.VAData($AD49,CR$4,$AE49,$AF49)</f>
        <v>82.804010746868713</v>
      </c>
      <c r="CS49" s="86">
        <f>_xll.VAData($AD49,CS$4,$AE49,$AF49)</f>
        <v>109.09350834527102</v>
      </c>
      <c r="CT49" s="86">
        <f>_xll.VAData($AD49,CT$4,$AE49,$AF49)</f>
        <v>97.9</v>
      </c>
      <c r="CU49" s="86">
        <f>_xll.VAData($AD49,CU$4,$AE49,$AF49)</f>
        <v>95.902544643344967</v>
      </c>
      <c r="CV49" s="86">
        <f>_xll.VAData($AD49,CV$4,$AE49,$AF49)</f>
        <v>103</v>
      </c>
      <c r="CW49" s="86">
        <f>_xll.VAData($AD49,CW$4,$AE49,$AF49)</f>
        <v>104.78192685055042</v>
      </c>
      <c r="CY49" s="581">
        <v>82.804010746868713</v>
      </c>
      <c r="CZ49" s="581">
        <v>109.093508345271</v>
      </c>
      <c r="DA49" s="581">
        <v>97.9</v>
      </c>
      <c r="DB49" s="581">
        <v>95.9</v>
      </c>
      <c r="DC49" s="581">
        <v>96.563492449723356</v>
      </c>
      <c r="DD49" s="581">
        <v>92.522347571209849</v>
      </c>
      <c r="DF49" s="584">
        <f t="shared" si="44"/>
        <v>-11.702096294191392</v>
      </c>
      <c r="DG49" s="584">
        <f t="shared" si="44"/>
        <v>-9.2935083452710074</v>
      </c>
      <c r="DH49" s="584">
        <f t="shared" si="44"/>
        <v>0</v>
      </c>
      <c r="DI49" s="584">
        <f t="shared" si="44"/>
        <v>0</v>
      </c>
      <c r="DJ49" s="584">
        <f t="shared" si="44"/>
        <v>6.4365075502766445</v>
      </c>
      <c r="DK49" s="584">
        <f t="shared" si="44"/>
        <v>11.477652428790151</v>
      </c>
    </row>
    <row r="50" spans="3:116">
      <c r="C50" s="589"/>
      <c r="D50" s="89"/>
      <c r="E50" s="89"/>
      <c r="F50" s="89"/>
      <c r="G50" s="89"/>
      <c r="H50" s="89"/>
      <c r="I50" s="89"/>
      <c r="J50" s="89"/>
      <c r="K50" s="89"/>
      <c r="L50" s="89"/>
      <c r="M50" s="89"/>
      <c r="N50" s="89"/>
      <c r="O50" s="89"/>
      <c r="P50" s="89"/>
      <c r="Q50" s="579"/>
      <c r="R50" s="89"/>
      <c r="S50" s="580"/>
      <c r="T50" s="579"/>
      <c r="U50" s="580"/>
      <c r="V50" s="579"/>
      <c r="W50" s="580"/>
      <c r="X50" s="90"/>
      <c r="Y50" s="87"/>
      <c r="Z50" s="87"/>
      <c r="AA50" s="87"/>
      <c r="AB50" s="586"/>
      <c r="AT50" s="586"/>
      <c r="AU50" s="586"/>
      <c r="AV50" s="586"/>
      <c r="AW50" s="586"/>
      <c r="AX50" s="586"/>
      <c r="AY50" s="586"/>
      <c r="AZ50" s="586"/>
      <c r="BA50" s="586"/>
      <c r="BB50" s="586"/>
      <c r="BC50" s="586"/>
      <c r="BD50" s="586"/>
      <c r="BE50" s="586"/>
      <c r="BI50" s="586"/>
      <c r="BJ50" s="586"/>
      <c r="BK50" s="586"/>
      <c r="BL50" s="586"/>
      <c r="BM50" s="586"/>
      <c r="BN50" s="586"/>
      <c r="BO50" s="586"/>
      <c r="BP50" s="586"/>
      <c r="BQ50" s="586"/>
      <c r="BR50" s="586"/>
      <c r="BV50" s="614"/>
      <c r="BW50" s="89"/>
      <c r="BX50" s="89"/>
      <c r="BY50" s="89"/>
      <c r="BZ50" s="89"/>
      <c r="CA50" s="89"/>
      <c r="CB50" s="89"/>
      <c r="CC50" s="89"/>
      <c r="CD50" s="579"/>
      <c r="CE50" s="89"/>
      <c r="CF50" s="580"/>
      <c r="CG50" s="579"/>
      <c r="CH50" s="580"/>
      <c r="CI50" s="579"/>
      <c r="CJ50" s="580"/>
      <c r="CK50" s="90"/>
      <c r="CL50" s="87"/>
      <c r="CM50" s="586"/>
      <c r="CY50" s="586"/>
      <c r="CZ50" s="586"/>
      <c r="DA50" s="586"/>
      <c r="DB50" s="586"/>
      <c r="DC50" s="586"/>
      <c r="DD50" s="586"/>
      <c r="DF50" s="586"/>
      <c r="DG50" s="586"/>
      <c r="DH50" s="586"/>
      <c r="DI50" s="586"/>
      <c r="DJ50" s="586"/>
      <c r="DK50" s="586"/>
    </row>
    <row r="51" spans="3:116">
      <c r="C51" s="85" t="s">
        <v>1211</v>
      </c>
      <c r="D51" s="89"/>
      <c r="E51" s="89"/>
      <c r="F51" s="89"/>
      <c r="G51" s="89"/>
      <c r="H51" s="89"/>
      <c r="I51" s="89"/>
      <c r="J51" s="89"/>
      <c r="K51" s="89"/>
      <c r="L51" s="89"/>
      <c r="M51" s="89"/>
      <c r="N51" s="89"/>
      <c r="O51" s="89"/>
      <c r="P51" s="89"/>
      <c r="Q51" s="579"/>
      <c r="R51" s="89"/>
      <c r="S51" s="580"/>
      <c r="T51" s="579"/>
      <c r="U51" s="580"/>
      <c r="V51" s="579"/>
      <c r="W51" s="580"/>
      <c r="X51" s="90"/>
      <c r="Y51" s="87"/>
      <c r="Z51" s="87"/>
      <c r="AA51" s="87"/>
      <c r="AB51" s="586"/>
      <c r="AT51" s="586"/>
      <c r="AU51" s="586"/>
      <c r="AV51" s="586"/>
      <c r="AW51" s="586"/>
      <c r="AX51" s="586"/>
      <c r="AY51" s="586"/>
      <c r="AZ51" s="586"/>
      <c r="BA51" s="586"/>
      <c r="BB51" s="586"/>
      <c r="BC51" s="586"/>
      <c r="BD51" s="586"/>
      <c r="BE51" s="586"/>
      <c r="BI51" s="586"/>
      <c r="BJ51" s="586"/>
      <c r="BK51" s="586"/>
      <c r="BL51" s="586"/>
      <c r="BM51" s="586"/>
      <c r="BN51" s="586"/>
      <c r="BO51" s="586"/>
      <c r="BP51" s="586"/>
      <c r="BQ51" s="586"/>
      <c r="BR51" s="586"/>
      <c r="BV51" s="613" t="s">
        <v>1211</v>
      </c>
      <c r="BW51" s="89"/>
      <c r="BX51" s="89"/>
      <c r="BY51" s="89"/>
      <c r="BZ51" s="89"/>
      <c r="CA51" s="89"/>
      <c r="CB51" s="89"/>
      <c r="CC51" s="89"/>
      <c r="CD51" s="579"/>
      <c r="CE51" s="89"/>
      <c r="CF51" s="580"/>
      <c r="CG51" s="579"/>
      <c r="CH51" s="580"/>
      <c r="CI51" s="579"/>
      <c r="CJ51" s="580"/>
      <c r="CK51" s="90"/>
      <c r="CL51" s="87"/>
      <c r="CM51" s="586"/>
      <c r="CY51" s="586"/>
      <c r="CZ51" s="586"/>
      <c r="DA51" s="586"/>
      <c r="DB51" s="586"/>
      <c r="DC51" s="586"/>
      <c r="DD51" s="586"/>
      <c r="DF51" s="586"/>
      <c r="DG51" s="586"/>
      <c r="DH51" s="586"/>
      <c r="DI51" s="586"/>
      <c r="DJ51" s="586"/>
      <c r="DK51" s="586"/>
    </row>
    <row r="52" spans="3:116">
      <c r="C52" s="589" t="s">
        <v>70</v>
      </c>
      <c r="D52" s="89"/>
      <c r="E52" s="89"/>
      <c r="F52" s="89">
        <f>HY!O84</f>
        <v>57.7</v>
      </c>
      <c r="G52" s="89">
        <f>HY!P84</f>
        <v>63.899999999999991</v>
      </c>
      <c r="H52" s="89">
        <f>HY!Q84</f>
        <v>66.400000000000006</v>
      </c>
      <c r="I52" s="89">
        <f>HY!R84</f>
        <v>61.199999999999989</v>
      </c>
      <c r="J52" s="89">
        <f>HY!S84</f>
        <v>57.1</v>
      </c>
      <c r="K52" s="89">
        <f>HY!T84</f>
        <v>57.6</v>
      </c>
      <c r="L52" s="89">
        <f>HY!U84</f>
        <v>54.5</v>
      </c>
      <c r="M52" s="89">
        <f>HY!V84</f>
        <v>49.900000000000006</v>
      </c>
      <c r="N52" s="89">
        <f>HY!W84</f>
        <v>47</v>
      </c>
      <c r="O52" s="89">
        <f>HY!X84</f>
        <v>48</v>
      </c>
      <c r="P52" s="89"/>
      <c r="Q52" s="579">
        <f>J52</f>
        <v>57.1</v>
      </c>
      <c r="R52" s="89">
        <v>54.5</v>
      </c>
      <c r="S52" s="580">
        <f>R52/Q52-1</f>
        <v>-4.5534150612959734E-2</v>
      </c>
      <c r="T52" s="579">
        <f>L52</f>
        <v>54.5</v>
      </c>
      <c r="U52" s="580">
        <f>$R52/T52-1</f>
        <v>0</v>
      </c>
      <c r="V52" s="579">
        <f>AB52</f>
        <v>54.817097479524783</v>
      </c>
      <c r="W52" s="580">
        <f>$R52/V52-1</f>
        <v>-5.784645559594348E-3</v>
      </c>
      <c r="X52" s="90"/>
      <c r="Y52" s="87"/>
      <c r="Z52" s="87"/>
      <c r="AA52" s="87"/>
      <c r="AB52" s="585">
        <f>BB52</f>
        <v>54.817097479524783</v>
      </c>
      <c r="AD52" s="77" t="s">
        <v>1259</v>
      </c>
      <c r="AE52" s="77" t="s">
        <v>1297</v>
      </c>
      <c r="AF52" s="78" t="s">
        <v>1261</v>
      </c>
      <c r="AG52" s="86">
        <f>_xll.VAData($AD52,AG$4,$AE52,$AF52)</f>
        <v>21.969945652173926</v>
      </c>
      <c r="AH52" s="86">
        <f>_xll.VAData($AD52,AH$4,$AE52,$AF52)</f>
        <v>48.146902173913048</v>
      </c>
      <c r="AI52" s="86">
        <f>_xll.VAData($AD52,AI$4,$AE52,$AF52)</f>
        <v>57.7</v>
      </c>
      <c r="AJ52" s="86">
        <f>_xll.VAData($AD52,AJ$4,$AE52,$AF52)</f>
        <v>63.9</v>
      </c>
      <c r="AK52" s="86">
        <f>_xll.VAData($AD52,AK$4,$AE52,$AF52)</f>
        <v>66.400000000000006</v>
      </c>
      <c r="AL52" s="86">
        <f>_xll.VAData($AD52,AL$4,$AE52,$AF52)</f>
        <v>61.2</v>
      </c>
      <c r="AM52" s="86">
        <f>_xll.VAData($AD52,AM$4,$AE52,$AF52)</f>
        <v>57.1</v>
      </c>
      <c r="AN52" s="86">
        <f>_xll.VAData($AD52,AN$4,$AE52,$AF52)</f>
        <v>57.6</v>
      </c>
      <c r="AO52" s="86">
        <f>_xll.VAData($AD52,AO$4,$AE52,$AF52)</f>
        <v>54.5</v>
      </c>
      <c r="AP52" s="86">
        <f>_xll.VAData($AD52,AP$4,$AE52,$AF52)</f>
        <v>49.9</v>
      </c>
      <c r="AQ52" s="86">
        <f>_xll.VAData($AD52,AQ$4,$AE52,$AF52)</f>
        <v>48.395249383737124</v>
      </c>
      <c r="AR52" s="86">
        <f>_xll.VAData($AD52,AR$4,$AE52,$AF52)</f>
        <v>49.702614972010124</v>
      </c>
      <c r="AT52" s="581">
        <v>21.96994565217393</v>
      </c>
      <c r="AU52" s="581">
        <v>48.146902173913048</v>
      </c>
      <c r="AV52" s="581">
        <v>57.7</v>
      </c>
      <c r="AW52" s="581">
        <v>63.9</v>
      </c>
      <c r="AX52" s="581">
        <v>66.400000000000006</v>
      </c>
      <c r="AY52" s="581">
        <v>61.2</v>
      </c>
      <c r="AZ52" s="581">
        <v>57.1</v>
      </c>
      <c r="BA52" s="581">
        <v>57.6</v>
      </c>
      <c r="BB52" s="581">
        <v>54.817097479524783</v>
      </c>
      <c r="BC52" s="581">
        <v>55.042802323311747</v>
      </c>
      <c r="BD52" s="581">
        <v>58.096084599022767</v>
      </c>
      <c r="BE52" s="581">
        <v>57.970687514764201</v>
      </c>
      <c r="BI52" s="584">
        <f t="shared" ref="BI52:BR54" si="45">F52-AV52</f>
        <v>0</v>
      </c>
      <c r="BJ52" s="584">
        <f t="shared" si="45"/>
        <v>0</v>
      </c>
      <c r="BK52" s="584">
        <f t="shared" si="45"/>
        <v>0</v>
      </c>
      <c r="BL52" s="584">
        <f t="shared" si="45"/>
        <v>0</v>
      </c>
      <c r="BM52" s="584">
        <f t="shared" si="45"/>
        <v>0</v>
      </c>
      <c r="BN52" s="584">
        <f t="shared" si="45"/>
        <v>0</v>
      </c>
      <c r="BO52" s="584">
        <f t="shared" si="45"/>
        <v>-0.31709747952478295</v>
      </c>
      <c r="BP52" s="584">
        <f t="shared" si="45"/>
        <v>-5.1428023233117415</v>
      </c>
      <c r="BQ52" s="584">
        <f t="shared" si="45"/>
        <v>-11.096084599022767</v>
      </c>
      <c r="BR52" s="584">
        <f t="shared" si="45"/>
        <v>-9.9706875147642009</v>
      </c>
      <c r="BV52" s="614" t="s">
        <v>70</v>
      </c>
      <c r="BW52" s="89">
        <f>FY!G213</f>
        <v>65.25</v>
      </c>
      <c r="BX52" s="89">
        <f>FY!H213</f>
        <v>121.6</v>
      </c>
      <c r="BY52" s="89">
        <f>FY!I213</f>
        <v>127.6</v>
      </c>
      <c r="BZ52" s="89">
        <f>FY!J213</f>
        <v>114.7</v>
      </c>
      <c r="CA52" s="89">
        <f>FY!K213</f>
        <v>104.4</v>
      </c>
      <c r="CB52" s="89">
        <f>FY!L213</f>
        <v>95</v>
      </c>
      <c r="CC52" s="89"/>
      <c r="CD52" s="579">
        <f>BZ52</f>
        <v>114.7</v>
      </c>
      <c r="CE52" s="89">
        <v>104.4</v>
      </c>
      <c r="CF52" s="580">
        <f>CE52/CD52-1</f>
        <v>-8.9799476896251118E-2</v>
      </c>
      <c r="CG52" s="579">
        <f>CA52</f>
        <v>104.4</v>
      </c>
      <c r="CH52" s="580">
        <f>$CE52/CG52-1</f>
        <v>0</v>
      </c>
      <c r="CI52" s="579">
        <f>CM52</f>
        <v>108.4937246086956</v>
      </c>
      <c r="CJ52" s="580">
        <f>$CE52/CI52-1</f>
        <v>-3.7732363078698206E-2</v>
      </c>
      <c r="CK52" s="90"/>
      <c r="CL52" s="87"/>
      <c r="CM52" s="585">
        <f>DC52</f>
        <v>108.4937246086956</v>
      </c>
      <c r="CO52" s="77" t="s">
        <v>1259</v>
      </c>
      <c r="CP52" s="77" t="s">
        <v>1297</v>
      </c>
      <c r="CQ52" s="78" t="s">
        <v>1261</v>
      </c>
      <c r="CR52" s="86">
        <f>_xll.VAData($AD52,CR$4,$AE52,$AF52)</f>
        <v>70.116847826086953</v>
      </c>
      <c r="CS52" s="86">
        <f>_xll.VAData($AD52,CS$4,$AE52,$AF52)</f>
        <v>121.6</v>
      </c>
      <c r="CT52" s="86">
        <f>_xll.VAData($AD52,CT$4,$AE52,$AF52)</f>
        <v>127.6</v>
      </c>
      <c r="CU52" s="86">
        <f>_xll.VAData($AD52,CU$4,$AE52,$AF52)</f>
        <v>114.7</v>
      </c>
      <c r="CV52" s="86">
        <f>_xll.VAData($AD52,CV$4,$AE52,$AF52)</f>
        <v>104.4</v>
      </c>
      <c r="CW52" s="86">
        <f>_xll.VAData($AD52,CW$4,$AE52,$AF52)</f>
        <v>98.931691484597806</v>
      </c>
      <c r="CY52" s="581">
        <v>70.116847826086953</v>
      </c>
      <c r="CZ52" s="581">
        <v>121.6</v>
      </c>
      <c r="DA52" s="581">
        <v>127.6</v>
      </c>
      <c r="DB52" s="581">
        <v>114.7</v>
      </c>
      <c r="DC52" s="581">
        <v>108.4937246086956</v>
      </c>
      <c r="DD52" s="581">
        <v>111.2205823903344</v>
      </c>
      <c r="DF52" s="584">
        <f t="shared" ref="DF52:DK54" si="46">BW52-CY52</f>
        <v>-4.8668478260869534</v>
      </c>
      <c r="DG52" s="584">
        <f t="shared" si="46"/>
        <v>0</v>
      </c>
      <c r="DH52" s="584">
        <f t="shared" si="46"/>
        <v>0</v>
      </c>
      <c r="DI52" s="584">
        <f t="shared" si="46"/>
        <v>0</v>
      </c>
      <c r="DJ52" s="584">
        <f t="shared" si="46"/>
        <v>-4.0937246086955952</v>
      </c>
      <c r="DK52" s="584">
        <f t="shared" si="46"/>
        <v>-16.2205823903344</v>
      </c>
    </row>
    <row r="53" spans="3:116">
      <c r="C53" s="589" t="s">
        <v>1284</v>
      </c>
      <c r="D53" s="89"/>
      <c r="E53" s="89"/>
      <c r="F53" s="89">
        <f>HY!O91</f>
        <v>6.6</v>
      </c>
      <c r="G53" s="89">
        <f>HY!P91</f>
        <v>5.9</v>
      </c>
      <c r="H53" s="89">
        <f>HY!Q91</f>
        <v>6.5</v>
      </c>
      <c r="I53" s="89">
        <f>HY!R91</f>
        <v>6.8000000000000007</v>
      </c>
      <c r="J53" s="89">
        <f>HY!S91</f>
        <v>6.5</v>
      </c>
      <c r="K53" s="89">
        <f>HY!T91</f>
        <v>7</v>
      </c>
      <c r="L53" s="89">
        <f>HY!U91</f>
        <v>7</v>
      </c>
      <c r="M53" s="89">
        <f>HY!V91</f>
        <v>6.9</v>
      </c>
      <c r="N53" s="89">
        <f>HY!W91</f>
        <v>6.9690000000000003</v>
      </c>
      <c r="O53" s="89">
        <f>HY!X91</f>
        <v>6.9690000000000003</v>
      </c>
      <c r="P53" s="89"/>
      <c r="Q53" s="579">
        <f>J53</f>
        <v>6.5</v>
      </c>
      <c r="R53" s="89">
        <v>7</v>
      </c>
      <c r="S53" s="580">
        <f>R53/Q53-1</f>
        <v>7.6923076923076872E-2</v>
      </c>
      <c r="T53" s="579">
        <f>L53</f>
        <v>7</v>
      </c>
      <c r="U53" s="580">
        <f>$R53/T53-1</f>
        <v>0</v>
      </c>
      <c r="V53" s="579">
        <f>AB53</f>
        <v>6.5512432925599997</v>
      </c>
      <c r="W53" s="580">
        <f>$R53/V53-1</f>
        <v>6.8499472145941542E-2</v>
      </c>
      <c r="X53" s="90"/>
      <c r="Y53" s="87"/>
      <c r="Z53" s="87"/>
      <c r="AA53" s="87"/>
      <c r="AB53" s="585">
        <f>BB53</f>
        <v>6.5512432925599997</v>
      </c>
      <c r="AD53" s="77" t="s">
        <v>1259</v>
      </c>
      <c r="AE53" s="77" t="s">
        <v>1298</v>
      </c>
      <c r="AF53" s="78" t="s">
        <v>1261</v>
      </c>
      <c r="AG53" s="86">
        <f>_xll.VAData($AD53,AG$4,$AE53,$AF53)</f>
        <v>3.7400652173913049</v>
      </c>
      <c r="AH53" s="86">
        <f>_xll.VAData($AD53,AH$4,$AE53,$AF53)</f>
        <v>4.9577608695652202</v>
      </c>
      <c r="AI53" s="86">
        <f>_xll.VAData($AD53,AI$4,$AE53,$AF53)</f>
        <v>6.6</v>
      </c>
      <c r="AJ53" s="86">
        <f>_xll.VAData($AD53,AJ$4,$AE53,$AF53)</f>
        <v>5.95</v>
      </c>
      <c r="AK53" s="86">
        <f>_xll.VAData($AD53,AK$4,$AE53,$AF53)</f>
        <v>6.5</v>
      </c>
      <c r="AL53" s="86">
        <f>_xll.VAData($AD53,AL$4,$AE53,$AF53)</f>
        <v>6.8</v>
      </c>
      <c r="AM53" s="86">
        <f>_xll.VAData($AD53,AM$4,$AE53,$AF53)</f>
        <v>7</v>
      </c>
      <c r="AN53" s="86">
        <f>_xll.VAData($AD53,AN$4,$AE53,$AF53)</f>
        <v>6.5</v>
      </c>
      <c r="AO53" s="86">
        <f>_xll.VAData($AD53,AO$4,$AE53,$AF53)</f>
        <v>7</v>
      </c>
      <c r="AP53" s="86">
        <f>_xll.VAData($AD53,AP$4,$AE53,$AF53)</f>
        <v>6.9</v>
      </c>
      <c r="AQ53" s="86">
        <f>_xll.VAData($AD53,AQ$4,$AE53,$AF53)</f>
        <v>7.0727438856305733</v>
      </c>
      <c r="AR53" s="86">
        <f>_xll.VAData($AD53,AR$4,$AE53,$AF53)</f>
        <v>7.0391396254616865</v>
      </c>
      <c r="AT53" s="581">
        <v>3.7400652173913049</v>
      </c>
      <c r="AU53" s="581">
        <v>4.9577608695652202</v>
      </c>
      <c r="AV53" s="581">
        <v>6.6</v>
      </c>
      <c r="AW53" s="581">
        <v>5.95</v>
      </c>
      <c r="AX53" s="581">
        <v>6.5</v>
      </c>
      <c r="AY53" s="581">
        <v>6.8</v>
      </c>
      <c r="AZ53" s="581">
        <v>7</v>
      </c>
      <c r="BA53" s="581">
        <v>6.5</v>
      </c>
      <c r="BB53" s="581">
        <v>6.5512432925599997</v>
      </c>
      <c r="BC53" s="581">
        <v>6.4332963910508703</v>
      </c>
      <c r="BD53" s="581">
        <v>6.6792944899300632</v>
      </c>
      <c r="BE53" s="581">
        <v>6.5625436828762131</v>
      </c>
      <c r="BI53" s="584">
        <f t="shared" si="45"/>
        <v>0</v>
      </c>
      <c r="BJ53" s="584">
        <f t="shared" si="45"/>
        <v>-4.9999999999999822E-2</v>
      </c>
      <c r="BK53" s="584">
        <f t="shared" si="45"/>
        <v>0</v>
      </c>
      <c r="BL53" s="584">
        <f t="shared" si="45"/>
        <v>0</v>
      </c>
      <c r="BM53" s="584">
        <f t="shared" si="45"/>
        <v>-0.5</v>
      </c>
      <c r="BN53" s="584">
        <f t="shared" si="45"/>
        <v>0.5</v>
      </c>
      <c r="BO53" s="584">
        <f t="shared" si="45"/>
        <v>0.44875670744000029</v>
      </c>
      <c r="BP53" s="584">
        <f t="shared" si="45"/>
        <v>0.4667036089491301</v>
      </c>
      <c r="BQ53" s="584">
        <f t="shared" si="45"/>
        <v>0.28970551006993706</v>
      </c>
      <c r="BR53" s="584">
        <f t="shared" si="45"/>
        <v>0.40645631712378716</v>
      </c>
      <c r="BV53" s="614" t="s">
        <v>77</v>
      </c>
      <c r="BW53" s="89">
        <f>FY!G214</f>
        <v>8.6999999999999993</v>
      </c>
      <c r="BX53" s="89">
        <f>FY!H214</f>
        <v>12.5</v>
      </c>
      <c r="BY53" s="89">
        <f>FY!I214</f>
        <v>13.3</v>
      </c>
      <c r="BZ53" s="89">
        <f>FY!J214</f>
        <v>13.5</v>
      </c>
      <c r="CA53" s="89">
        <f>FY!K214</f>
        <v>13.9</v>
      </c>
      <c r="CB53" s="89">
        <f>FY!L214</f>
        <v>13.938000000000001</v>
      </c>
      <c r="CC53" s="89"/>
      <c r="CD53" s="579">
        <f>BZ53</f>
        <v>13.5</v>
      </c>
      <c r="CE53" s="89">
        <v>13.9</v>
      </c>
      <c r="CF53" s="580">
        <f>CE53/CD53-1</f>
        <v>2.9629629629629672E-2</v>
      </c>
      <c r="CG53" s="579">
        <f>CA53</f>
        <v>13.9</v>
      </c>
      <c r="CH53" s="580">
        <f>$CE53/CG53-1</f>
        <v>0</v>
      </c>
      <c r="CI53" s="579">
        <f>CM53</f>
        <v>13.62291739130435</v>
      </c>
      <c r="CJ53" s="580">
        <f>$CE53/CI53-1</f>
        <v>2.0339447178364001E-2</v>
      </c>
      <c r="CK53" s="90"/>
      <c r="CL53" s="87"/>
      <c r="CM53" s="585">
        <f>DC53</f>
        <v>13.62291739130435</v>
      </c>
      <c r="CO53" s="77" t="s">
        <v>1259</v>
      </c>
      <c r="CP53" s="77" t="s">
        <v>1298</v>
      </c>
      <c r="CQ53" s="78" t="s">
        <v>1261</v>
      </c>
      <c r="CR53" s="86">
        <f>_xll.VAData($AD53,CR$4,$AE53,$AF53)</f>
        <v>8.6978260869565212</v>
      </c>
      <c r="CS53" s="86">
        <f>_xll.VAData($AD53,CS$4,$AE53,$AF53)</f>
        <v>12.55</v>
      </c>
      <c r="CT53" s="86">
        <f>_xll.VAData($AD53,CT$4,$AE53,$AF53)</f>
        <v>13.3</v>
      </c>
      <c r="CU53" s="86">
        <f>_xll.VAData($AD53,CU$4,$AE53,$AF53)</f>
        <v>13.5</v>
      </c>
      <c r="CV53" s="86">
        <f>_xll.VAData($AD53,CV$4,$AE53,$AF53)</f>
        <v>13.9</v>
      </c>
      <c r="CW53" s="86">
        <f>_xll.VAData($AD53,CW$4,$AE53,$AF53)</f>
        <v>14.1539126333192</v>
      </c>
      <c r="CY53" s="581">
        <v>8.6978260869565212</v>
      </c>
      <c r="CZ53" s="581">
        <v>12.55</v>
      </c>
      <c r="DA53" s="581">
        <v>13.3</v>
      </c>
      <c r="DB53" s="581">
        <v>13.5</v>
      </c>
      <c r="DC53" s="581">
        <v>13.62291739130435</v>
      </c>
      <c r="DD53" s="581">
        <v>13.878088371868801</v>
      </c>
      <c r="DF53" s="584">
        <f t="shared" si="46"/>
        <v>2.1739130434781373E-3</v>
      </c>
      <c r="DG53" s="584">
        <f t="shared" si="46"/>
        <v>-5.0000000000000711E-2</v>
      </c>
      <c r="DH53" s="584">
        <f t="shared" si="46"/>
        <v>0</v>
      </c>
      <c r="DI53" s="584">
        <f t="shared" si="46"/>
        <v>0</v>
      </c>
      <c r="DJ53" s="584">
        <f t="shared" si="46"/>
        <v>0.27708260869565038</v>
      </c>
      <c r="DK53" s="584">
        <f t="shared" si="46"/>
        <v>5.991162813119999E-2</v>
      </c>
    </row>
    <row r="54" spans="3:116">
      <c r="C54" s="589" t="s">
        <v>78</v>
      </c>
      <c r="D54" s="89"/>
      <c r="E54" s="89"/>
      <c r="F54" s="89">
        <f>HY!O98</f>
        <v>39.9</v>
      </c>
      <c r="G54" s="89">
        <f>HY!P98</f>
        <v>30.300000000000004</v>
      </c>
      <c r="H54" s="89">
        <f>HY!Q98</f>
        <v>29.1</v>
      </c>
      <c r="I54" s="89">
        <f>HY!R98</f>
        <v>29</v>
      </c>
      <c r="J54" s="89">
        <f>HY!S98</f>
        <v>30.3</v>
      </c>
      <c r="K54" s="89">
        <f>HY!T98</f>
        <v>27.2</v>
      </c>
      <c r="L54" s="89">
        <f>HY!U98</f>
        <v>31.4</v>
      </c>
      <c r="M54" s="89">
        <f>HY!V98</f>
        <v>30.1</v>
      </c>
      <c r="N54" s="89">
        <f>HY!W98</f>
        <v>29</v>
      </c>
      <c r="O54" s="89">
        <f>HY!X98</f>
        <v>30.1</v>
      </c>
      <c r="P54" s="89"/>
      <c r="Q54" s="579">
        <f>J54</f>
        <v>30.3</v>
      </c>
      <c r="R54" s="89">
        <v>31.4</v>
      </c>
      <c r="S54" s="580">
        <f>R54/Q54-1</f>
        <v>3.6303630363036188E-2</v>
      </c>
      <c r="T54" s="579">
        <f>L54</f>
        <v>31.4</v>
      </c>
      <c r="U54" s="580">
        <f>$R54/T54-1</f>
        <v>0</v>
      </c>
      <c r="V54" s="579">
        <f>AB54</f>
        <v>30.782922549555479</v>
      </c>
      <c r="W54" s="580">
        <f>$R54/V54-1</f>
        <v>2.0046096969874361E-2</v>
      </c>
      <c r="X54" s="90"/>
      <c r="Y54" s="87"/>
      <c r="Z54" s="87"/>
      <c r="AA54" s="87"/>
      <c r="AB54" s="585">
        <f>BB54</f>
        <v>30.782922549555479</v>
      </c>
      <c r="AD54" s="77" t="s">
        <v>1259</v>
      </c>
      <c r="AE54" s="77" t="s">
        <v>1299</v>
      </c>
      <c r="AF54" s="78" t="s">
        <v>1261</v>
      </c>
      <c r="AG54" s="86">
        <f>_xll.VAData($AD54,AG$4,$AE54,$AF54)</f>
        <v>36.285272904885581</v>
      </c>
      <c r="AH54" s="86">
        <f>_xll.VAData($AD54,AH$4,$AE54,$AF54)</f>
        <v>29.613538067978965</v>
      </c>
      <c r="AI54" s="86">
        <f>_xll.VAData($AD54,AI$4,$AE54,$AF54)</f>
        <v>39.951440238384301</v>
      </c>
      <c r="AJ54" s="86">
        <f>_xll.VAData($AD54,AJ$4,$AE54,$AF54)</f>
        <v>30.2357084800867</v>
      </c>
      <c r="AK54" s="86">
        <f>_xll.VAData($AD54,AK$4,$AE54,$AF54)</f>
        <v>29.1</v>
      </c>
      <c r="AL54" s="86">
        <f>_xll.VAData($AD54,AL$4,$AE54,$AF54)</f>
        <v>29</v>
      </c>
      <c r="AM54" s="86">
        <f>_xll.VAData($AD54,AM$4,$AE54,$AF54)</f>
        <v>30.3</v>
      </c>
      <c r="AN54" s="86">
        <f>_xll.VAData($AD54,AN$4,$AE54,$AF54)</f>
        <v>27.2</v>
      </c>
      <c r="AO54" s="86">
        <f>_xll.VAData($AD54,AO$4,$AE54,$AF54)</f>
        <v>31.4</v>
      </c>
      <c r="AP54" s="86">
        <f>_xll.VAData($AD54,AP$4,$AE54,$AF54)</f>
        <v>30.1</v>
      </c>
      <c r="AQ54" s="86">
        <f>_xll.VAData($AD54,AQ$4,$AE54,$AF54)</f>
        <v>32.118898233806235</v>
      </c>
      <c r="AR54" s="86">
        <f>_xll.VAData($AD54,AR$4,$AE54,$AF54)</f>
        <v>28.272655889367577</v>
      </c>
      <c r="AT54" s="581">
        <v>36.285272904885581</v>
      </c>
      <c r="AU54" s="581">
        <v>29.613538067978961</v>
      </c>
      <c r="AV54" s="581">
        <v>39.951440238384301</v>
      </c>
      <c r="AW54" s="581">
        <v>30.2357084800867</v>
      </c>
      <c r="AX54" s="581">
        <v>29.1</v>
      </c>
      <c r="AY54" s="581">
        <v>29</v>
      </c>
      <c r="AZ54" s="581">
        <v>30.3</v>
      </c>
      <c r="BA54" s="581">
        <v>27.2</v>
      </c>
      <c r="BB54" s="581">
        <v>30.782922549555479</v>
      </c>
      <c r="BC54" s="581">
        <v>29.189557309178898</v>
      </c>
      <c r="BD54" s="581">
        <v>29.872755535493109</v>
      </c>
      <c r="BE54" s="581">
        <v>28.34599981390344</v>
      </c>
      <c r="BI54" s="584">
        <f t="shared" si="45"/>
        <v>-5.1440238384302006E-2</v>
      </c>
      <c r="BJ54" s="584">
        <f t="shared" si="45"/>
        <v>6.4291519913304285E-2</v>
      </c>
      <c r="BK54" s="584">
        <f t="shared" si="45"/>
        <v>0</v>
      </c>
      <c r="BL54" s="584">
        <f t="shared" si="45"/>
        <v>0</v>
      </c>
      <c r="BM54" s="584">
        <f t="shared" si="45"/>
        <v>0</v>
      </c>
      <c r="BN54" s="584">
        <f t="shared" si="45"/>
        <v>0</v>
      </c>
      <c r="BO54" s="584">
        <f t="shared" si="45"/>
        <v>0.61707745044451912</v>
      </c>
      <c r="BP54" s="584">
        <f t="shared" si="45"/>
        <v>0.91044269082110318</v>
      </c>
      <c r="BQ54" s="584">
        <f t="shared" si="45"/>
        <v>-0.87275553549310914</v>
      </c>
      <c r="BR54" s="584">
        <f t="shared" si="45"/>
        <v>1.7540001860965617</v>
      </c>
      <c r="BV54" s="614" t="s">
        <v>78</v>
      </c>
      <c r="BW54" s="89">
        <f>FY!G215</f>
        <v>61.557686847888121</v>
      </c>
      <c r="BX54" s="89">
        <f>FY!H215</f>
        <v>70.2</v>
      </c>
      <c r="BY54" s="89">
        <f>FY!I215</f>
        <v>58.1</v>
      </c>
      <c r="BZ54" s="89">
        <f>FY!J215</f>
        <v>57.5</v>
      </c>
      <c r="CA54" s="89">
        <f>FY!K215</f>
        <v>61.5</v>
      </c>
      <c r="CB54" s="89">
        <f>FY!L215</f>
        <v>59.1</v>
      </c>
      <c r="CC54" s="89"/>
      <c r="CD54" s="579">
        <f>BZ54</f>
        <v>57.5</v>
      </c>
      <c r="CE54" s="89">
        <v>61.5</v>
      </c>
      <c r="CF54" s="580">
        <f>CE54/CD54-1</f>
        <v>6.956521739130439E-2</v>
      </c>
      <c r="CG54" s="579">
        <f>CA54</f>
        <v>61.5</v>
      </c>
      <c r="CH54" s="580">
        <f>$CE54/CG54-1</f>
        <v>0</v>
      </c>
      <c r="CI54" s="579">
        <f>CM54</f>
        <v>62.069116541464723</v>
      </c>
      <c r="CJ54" s="580">
        <f>$CE54/CI54-1</f>
        <v>-9.1690775248030043E-3</v>
      </c>
      <c r="CK54" s="90"/>
      <c r="CL54" s="87"/>
      <c r="CM54" s="585">
        <f>DC54</f>
        <v>62.069116541464723</v>
      </c>
      <c r="CO54" s="77" t="s">
        <v>1259</v>
      </c>
      <c r="CP54" s="77" t="s">
        <v>1299</v>
      </c>
      <c r="CQ54" s="78" t="s">
        <v>1261</v>
      </c>
      <c r="CR54" s="86">
        <f>_xll.VAData($AD54,CR$4,$AE54,$AF54)</f>
        <v>65.813575996009575</v>
      </c>
      <c r="CS54" s="86">
        <f>_xll.VAData($AD54,CS$4,$AE54,$AF54)</f>
        <v>76.311180464403506</v>
      </c>
      <c r="CT54" s="86">
        <f>_xll.VAData($AD54,CT$4,$AE54,$AF54)</f>
        <v>58.1</v>
      </c>
      <c r="CU54" s="86">
        <f>_xll.VAData($AD54,CU$4,$AE54,$AF54)</f>
        <v>57.5</v>
      </c>
      <c r="CV54" s="86">
        <f>_xll.VAData($AD54,CV$4,$AE54,$AF54)</f>
        <v>61.5</v>
      </c>
      <c r="CW54" s="86">
        <f>_xll.VAData($AD54,CW$4,$AE54,$AF54)</f>
        <v>61.035193970855524</v>
      </c>
      <c r="CY54" s="581">
        <v>65.813575996009575</v>
      </c>
      <c r="CZ54" s="581">
        <v>76.311180464403506</v>
      </c>
      <c r="DA54" s="581">
        <v>58.1</v>
      </c>
      <c r="DB54" s="581">
        <v>57.5</v>
      </c>
      <c r="DC54" s="581">
        <v>62.069116541464723</v>
      </c>
      <c r="DD54" s="581">
        <v>60.140794602257358</v>
      </c>
      <c r="DF54" s="584">
        <f t="shared" si="46"/>
        <v>-4.2558891481214545</v>
      </c>
      <c r="DG54" s="584">
        <f t="shared" si="46"/>
        <v>-6.1111804644035033</v>
      </c>
      <c r="DH54" s="584">
        <f t="shared" si="46"/>
        <v>0</v>
      </c>
      <c r="DI54" s="584">
        <f t="shared" si="46"/>
        <v>0</v>
      </c>
      <c r="DJ54" s="584">
        <f t="shared" si="46"/>
        <v>-0.56911654146472301</v>
      </c>
      <c r="DK54" s="584">
        <f t="shared" si="46"/>
        <v>-1.0407946022573569</v>
      </c>
    </row>
    <row r="55" spans="3:116">
      <c r="C55" s="589"/>
      <c r="D55" s="89"/>
      <c r="E55" s="89"/>
      <c r="F55" s="89"/>
      <c r="G55" s="89"/>
      <c r="H55" s="89"/>
      <c r="I55" s="89"/>
      <c r="J55" s="89"/>
      <c r="K55" s="89"/>
      <c r="L55" s="89"/>
      <c r="M55" s="89"/>
      <c r="N55" s="89"/>
      <c r="O55" s="89"/>
      <c r="P55" s="89"/>
      <c r="Q55" s="579"/>
      <c r="R55" s="89"/>
      <c r="S55" s="580"/>
      <c r="T55" s="579"/>
      <c r="U55" s="580"/>
      <c r="V55" s="579"/>
      <c r="W55" s="580"/>
      <c r="X55" s="90"/>
      <c r="Y55" s="87"/>
      <c r="Z55" s="87"/>
      <c r="AA55" s="87"/>
      <c r="AB55" s="586"/>
      <c r="AT55" s="586"/>
      <c r="AU55" s="586"/>
      <c r="AV55" s="586"/>
      <c r="AW55" s="586"/>
      <c r="AX55" s="586"/>
      <c r="AY55" s="586"/>
      <c r="AZ55" s="586"/>
      <c r="BA55" s="586"/>
      <c r="BB55" s="586"/>
      <c r="BC55" s="586"/>
      <c r="BD55" s="586"/>
      <c r="BE55" s="586"/>
      <c r="BI55" s="586"/>
      <c r="BJ55" s="586"/>
      <c r="BK55" s="586"/>
      <c r="BL55" s="586"/>
      <c r="BM55" s="586"/>
      <c r="BN55" s="586"/>
      <c r="BO55" s="586"/>
      <c r="BP55" s="586"/>
      <c r="BQ55" s="586"/>
      <c r="BR55" s="586"/>
      <c r="BV55" s="614"/>
      <c r="BW55" s="89"/>
      <c r="BX55" s="89"/>
      <c r="BY55" s="89"/>
      <c r="BZ55" s="89"/>
      <c r="CA55" s="89"/>
      <c r="CB55" s="89"/>
      <c r="CC55" s="89"/>
      <c r="CD55" s="579"/>
      <c r="CE55" s="89"/>
      <c r="CF55" s="580"/>
      <c r="CG55" s="579"/>
      <c r="CH55" s="580"/>
      <c r="CI55" s="579"/>
      <c r="CJ55" s="580"/>
      <c r="CK55" s="90"/>
      <c r="CL55" s="87"/>
      <c r="CM55" s="586"/>
      <c r="CY55" s="586"/>
      <c r="CZ55" s="586"/>
      <c r="DA55" s="586"/>
      <c r="DB55" s="586"/>
      <c r="DC55" s="586"/>
      <c r="DD55" s="586"/>
      <c r="DF55" s="586"/>
      <c r="DG55" s="586"/>
      <c r="DH55" s="586"/>
      <c r="DI55" s="586"/>
      <c r="DJ55" s="586"/>
      <c r="DK55" s="586"/>
    </row>
    <row r="56" spans="3:116">
      <c r="C56" s="85" t="s">
        <v>75</v>
      </c>
      <c r="D56" s="89"/>
      <c r="E56" s="89"/>
      <c r="F56" s="89"/>
      <c r="G56" s="89"/>
      <c r="H56" s="89"/>
      <c r="I56" s="89"/>
      <c r="J56" s="89"/>
      <c r="K56" s="89"/>
      <c r="L56" s="89"/>
      <c r="M56" s="89"/>
      <c r="N56" s="89"/>
      <c r="O56" s="89"/>
      <c r="P56" s="89"/>
      <c r="Q56" s="579"/>
      <c r="R56" s="89"/>
      <c r="S56" s="580"/>
      <c r="T56" s="579"/>
      <c r="U56" s="580"/>
      <c r="V56" s="579"/>
      <c r="W56" s="580"/>
      <c r="X56" s="90"/>
      <c r="Y56" s="87"/>
      <c r="Z56" s="87"/>
      <c r="AA56" s="87"/>
      <c r="AB56" s="586"/>
      <c r="AT56" s="586"/>
      <c r="AU56" s="586"/>
      <c r="AV56" s="586"/>
      <c r="AW56" s="586"/>
      <c r="AX56" s="586"/>
      <c r="AY56" s="586"/>
      <c r="AZ56" s="586"/>
      <c r="BA56" s="586"/>
      <c r="BB56" s="586"/>
      <c r="BC56" s="586"/>
      <c r="BD56" s="586"/>
      <c r="BE56" s="586"/>
      <c r="BI56" s="586"/>
      <c r="BJ56" s="586"/>
      <c r="BK56" s="586"/>
      <c r="BL56" s="586"/>
      <c r="BM56" s="586"/>
      <c r="BN56" s="586"/>
      <c r="BO56" s="586"/>
      <c r="BP56" s="586"/>
      <c r="BQ56" s="586"/>
      <c r="BR56" s="586"/>
      <c r="BV56" s="613" t="s">
        <v>75</v>
      </c>
      <c r="BW56" s="89"/>
      <c r="BX56" s="89"/>
      <c r="BY56" s="89"/>
      <c r="BZ56" s="89"/>
      <c r="CA56" s="89"/>
      <c r="CB56" s="89"/>
      <c r="CC56" s="89"/>
      <c r="CD56" s="579"/>
      <c r="CE56" s="89"/>
      <c r="CF56" s="580"/>
      <c r="CG56" s="579"/>
      <c r="CH56" s="580"/>
      <c r="CI56" s="579"/>
      <c r="CJ56" s="580"/>
      <c r="CK56" s="90"/>
      <c r="CL56" s="87"/>
      <c r="CM56" s="586"/>
      <c r="CY56" s="586"/>
      <c r="CZ56" s="586"/>
      <c r="DA56" s="586"/>
      <c r="DB56" s="586"/>
      <c r="DC56" s="586"/>
      <c r="DD56" s="586"/>
      <c r="DF56" s="586"/>
      <c r="DG56" s="586"/>
      <c r="DH56" s="586"/>
      <c r="DI56" s="586"/>
      <c r="DJ56" s="586"/>
      <c r="DK56" s="586"/>
    </row>
    <row r="57" spans="3:116">
      <c r="C57" s="589" t="s">
        <v>70</v>
      </c>
      <c r="D57" s="89"/>
      <c r="E57" s="89"/>
      <c r="F57" s="89">
        <f>HY!O86</f>
        <v>58.6</v>
      </c>
      <c r="G57" s="89">
        <f>HY!P86</f>
        <v>65.300000000000011</v>
      </c>
      <c r="H57" s="89">
        <f>HY!Q86</f>
        <v>73.7</v>
      </c>
      <c r="I57" s="89">
        <f>HY!R86</f>
        <v>78.100000000000009</v>
      </c>
      <c r="J57" s="89">
        <f>HY!S86</f>
        <v>77</v>
      </c>
      <c r="K57" s="89">
        <f>HY!T86</f>
        <v>79.400000000000006</v>
      </c>
      <c r="L57" s="89">
        <f>HY!U86</f>
        <v>83.5</v>
      </c>
      <c r="M57" s="89">
        <f>HY!V86</f>
        <v>97.9</v>
      </c>
      <c r="N57" s="89">
        <f>HY!W86</f>
        <v>107</v>
      </c>
      <c r="O57" s="89">
        <f>HY!X86</f>
        <v>104</v>
      </c>
      <c r="P57" s="89"/>
      <c r="Q57" s="579">
        <f>J57</f>
        <v>77</v>
      </c>
      <c r="R57" s="89">
        <v>83.5</v>
      </c>
      <c r="S57" s="580">
        <f>R57/Q57-1</f>
        <v>8.4415584415584499E-2</v>
      </c>
      <c r="T57" s="579">
        <f>L57</f>
        <v>83.5</v>
      </c>
      <c r="U57" s="580">
        <f>$R57/T57-1</f>
        <v>0</v>
      </c>
      <c r="V57" s="579">
        <f>AB57</f>
        <v>79.817188665926196</v>
      </c>
      <c r="W57" s="580">
        <f>$R57/V57-1</f>
        <v>4.6140579436945162E-2</v>
      </c>
      <c r="X57" s="90"/>
      <c r="Y57" s="87"/>
      <c r="Z57" s="87"/>
      <c r="AA57" s="87"/>
      <c r="AB57" s="585">
        <f>BB57</f>
        <v>79.817188665926196</v>
      </c>
      <c r="AD57" s="77" t="s">
        <v>1259</v>
      </c>
      <c r="AE57" s="77" t="s">
        <v>1300</v>
      </c>
      <c r="AF57" s="78" t="s">
        <v>1261</v>
      </c>
      <c r="AG57" s="86">
        <f>_xll.VAData($AD57,AG$4,$AE57,$AF57)</f>
        <v>35</v>
      </c>
      <c r="AH57" s="86">
        <f>_xll.VAData($AD57,AH$4,$AE57,$AF57)</f>
        <v>35.1</v>
      </c>
      <c r="AI57" s="86">
        <f>_xll.VAData($AD57,AI$4,$AE57,$AF57)</f>
        <v>58.6</v>
      </c>
      <c r="AJ57" s="86">
        <f>_xll.VAData($AD57,AJ$4,$AE57,$AF57)</f>
        <v>65.3</v>
      </c>
      <c r="AK57" s="86">
        <f>_xll.VAData($AD57,AK$4,$AE57,$AF57)</f>
        <v>73.7</v>
      </c>
      <c r="AL57" s="86">
        <f>_xll.VAData($AD57,AL$4,$AE57,$AF57)</f>
        <v>78.099999999999994</v>
      </c>
      <c r="AM57" s="86">
        <f>_xll.VAData($AD57,AM$4,$AE57,$AF57)</f>
        <v>77</v>
      </c>
      <c r="AN57" s="86">
        <f>_xll.VAData($AD57,AN$4,$AE57,$AF57)</f>
        <v>79.400000000000006</v>
      </c>
      <c r="AO57" s="86">
        <f>_xll.VAData($AD57,AO$4,$AE57,$AF57)</f>
        <v>83.5</v>
      </c>
      <c r="AP57" s="86">
        <f>_xll.VAData($AD57,AP$4,$AE57,$AF57)</f>
        <v>97.9</v>
      </c>
      <c r="AQ57" s="86">
        <f>_xll.VAData($AD57,AQ$4,$AE57,$AF57)</f>
        <v>102.6614235200568</v>
      </c>
      <c r="AR57" s="86">
        <f>_xll.VAData($AD57,AR$4,$AE57,$AF57)</f>
        <v>93.328841058263379</v>
      </c>
      <c r="AT57" s="581">
        <v>35</v>
      </c>
      <c r="AU57" s="581">
        <v>35.1</v>
      </c>
      <c r="AV57" s="581">
        <v>58.6</v>
      </c>
      <c r="AW57" s="581">
        <v>65.3</v>
      </c>
      <c r="AX57" s="581">
        <v>73.7</v>
      </c>
      <c r="AY57" s="581">
        <v>78.099999999999994</v>
      </c>
      <c r="AZ57" s="581">
        <v>77</v>
      </c>
      <c r="BA57" s="581">
        <v>79.400000000000006</v>
      </c>
      <c r="BB57" s="581">
        <v>79.817188665926196</v>
      </c>
      <c r="BC57" s="581">
        <v>93.103335544093738</v>
      </c>
      <c r="BD57" s="581">
        <v>94.986243212713802</v>
      </c>
      <c r="BE57" s="581">
        <v>101.2453245034159</v>
      </c>
      <c r="BI57" s="584">
        <f t="shared" ref="BI57:BR59" si="47">F57-AV57</f>
        <v>0</v>
      </c>
      <c r="BJ57" s="584">
        <f t="shared" si="47"/>
        <v>0</v>
      </c>
      <c r="BK57" s="584">
        <f t="shared" si="47"/>
        <v>0</v>
      </c>
      <c r="BL57" s="584">
        <f t="shared" si="47"/>
        <v>0</v>
      </c>
      <c r="BM57" s="584">
        <f t="shared" si="47"/>
        <v>0</v>
      </c>
      <c r="BN57" s="584">
        <f t="shared" si="47"/>
        <v>0</v>
      </c>
      <c r="BO57" s="584">
        <f t="shared" si="47"/>
        <v>3.6828113340738042</v>
      </c>
      <c r="BP57" s="584">
        <f t="shared" si="47"/>
        <v>4.7966644559062672</v>
      </c>
      <c r="BQ57" s="584">
        <f t="shared" si="47"/>
        <v>12.013756787286198</v>
      </c>
      <c r="BR57" s="584">
        <f t="shared" si="47"/>
        <v>2.7546754965840989</v>
      </c>
      <c r="BV57" s="614" t="s">
        <v>70</v>
      </c>
      <c r="BW57" s="89">
        <f>FY!G218</f>
        <v>70.099999999999994</v>
      </c>
      <c r="BX57" s="89">
        <f>FY!H218</f>
        <v>123.9</v>
      </c>
      <c r="BY57" s="89">
        <f>FY!I218</f>
        <v>151.80000000000001</v>
      </c>
      <c r="BZ57" s="89">
        <f>FY!J218</f>
        <v>156.4</v>
      </c>
      <c r="CA57" s="89">
        <f>FY!K218</f>
        <v>181.4</v>
      </c>
      <c r="CB57" s="89">
        <f>FY!L218</f>
        <v>211</v>
      </c>
      <c r="CC57" s="89"/>
      <c r="CD57" s="579">
        <f>BZ57</f>
        <v>156.4</v>
      </c>
      <c r="CE57" s="89">
        <v>181.4</v>
      </c>
      <c r="CF57" s="580">
        <f>CE57/CD57-1</f>
        <v>0.15984654731457804</v>
      </c>
      <c r="CG57" s="579">
        <f>CA57</f>
        <v>181.4</v>
      </c>
      <c r="CH57" s="580">
        <f>$CE57/CG57-1</f>
        <v>0</v>
      </c>
      <c r="CI57" s="579">
        <f>CM57</f>
        <v>177.67525787450231</v>
      </c>
      <c r="CJ57" s="580">
        <f>$CE57/CI57-1</f>
        <v>2.0963763722963602E-2</v>
      </c>
      <c r="CK57" s="90"/>
      <c r="CL57" s="87"/>
      <c r="CM57" s="585">
        <f>DC57</f>
        <v>177.67525787450231</v>
      </c>
      <c r="CO57" s="77" t="s">
        <v>1259</v>
      </c>
      <c r="CP57" s="77" t="s">
        <v>1300</v>
      </c>
      <c r="CQ57" s="78" t="s">
        <v>1261</v>
      </c>
      <c r="CR57" s="86">
        <f>_xll.VAData($AD57,CR$4,$AE57,$AF57)</f>
        <v>70.099999999999994</v>
      </c>
      <c r="CS57" s="86">
        <f>_xll.VAData($AD57,CS$4,$AE57,$AF57)</f>
        <v>123.9</v>
      </c>
      <c r="CT57" s="86">
        <f>_xll.VAData($AD57,CT$4,$AE57,$AF57)</f>
        <v>151.80000000000001</v>
      </c>
      <c r="CU57" s="86">
        <f>_xll.VAData($AD57,CU$4,$AE57,$AF57)</f>
        <v>156.4</v>
      </c>
      <c r="CV57" s="86">
        <f>_xll.VAData($AD57,CV$4,$AE57,$AF57)</f>
        <v>181.4</v>
      </c>
      <c r="CW57" s="86">
        <f>_xll.VAData($AD57,CW$4,$AE57,$AF57)</f>
        <v>201.50758019959542</v>
      </c>
      <c r="CY57" s="581">
        <v>70.099999999999994</v>
      </c>
      <c r="CZ57" s="581">
        <v>123.9</v>
      </c>
      <c r="DA57" s="581">
        <v>151.80000000000001</v>
      </c>
      <c r="DB57" s="581">
        <v>156.4</v>
      </c>
      <c r="DC57" s="581">
        <v>177.67525787450231</v>
      </c>
      <c r="DD57" s="581">
        <v>199.6598021487367</v>
      </c>
      <c r="DF57" s="584">
        <f t="shared" ref="DF57:DK59" si="48">BW57-CY57</f>
        <v>0</v>
      </c>
      <c r="DG57" s="584">
        <f t="shared" si="48"/>
        <v>0</v>
      </c>
      <c r="DH57" s="584">
        <f t="shared" si="48"/>
        <v>0</v>
      </c>
      <c r="DI57" s="584">
        <f t="shared" si="48"/>
        <v>0</v>
      </c>
      <c r="DJ57" s="584">
        <f t="shared" si="48"/>
        <v>3.7247421254976985</v>
      </c>
      <c r="DK57" s="584">
        <f t="shared" si="48"/>
        <v>11.340197851263298</v>
      </c>
    </row>
    <row r="58" spans="3:116">
      <c r="C58" s="589" t="s">
        <v>1284</v>
      </c>
      <c r="D58" s="89"/>
      <c r="E58" s="89"/>
      <c r="F58" s="89">
        <f>HY!O93</f>
        <v>5.7</v>
      </c>
      <c r="G58" s="89">
        <f>HY!P93</f>
        <v>4.9999999999999991</v>
      </c>
      <c r="H58" s="89">
        <f>HY!Q93</f>
        <v>5.4</v>
      </c>
      <c r="I58" s="89">
        <f>HY!R93</f>
        <v>5</v>
      </c>
      <c r="J58" s="89">
        <f>HY!S93</f>
        <v>5.4</v>
      </c>
      <c r="K58" s="89">
        <f>HY!T93</f>
        <v>4.6999999999999993</v>
      </c>
      <c r="L58" s="89">
        <f>HY!U93</f>
        <v>5.4</v>
      </c>
      <c r="M58" s="89">
        <f>HY!V93</f>
        <v>4.5999999999999996</v>
      </c>
      <c r="N58" s="89">
        <f>HY!W93</f>
        <v>5</v>
      </c>
      <c r="O58" s="89">
        <f>HY!X93</f>
        <v>4.5</v>
      </c>
      <c r="P58" s="89"/>
      <c r="Q58" s="579">
        <f>J58</f>
        <v>5.4</v>
      </c>
      <c r="R58" s="89">
        <v>5.4</v>
      </c>
      <c r="S58" s="580">
        <f>R58/Q58-1</f>
        <v>0</v>
      </c>
      <c r="T58" s="579">
        <f>L58</f>
        <v>5.4</v>
      </c>
      <c r="U58" s="580">
        <f>$R58/T58-1</f>
        <v>0</v>
      </c>
      <c r="V58" s="579">
        <f>AB58</f>
        <v>4.9944115413425436</v>
      </c>
      <c r="W58" s="580">
        <f>$R58/V58-1</f>
        <v>8.1208457753249252E-2</v>
      </c>
      <c r="X58" s="90"/>
      <c r="Y58" s="87"/>
      <c r="Z58" s="87"/>
      <c r="AA58" s="87"/>
      <c r="AB58" s="585">
        <f>BB58</f>
        <v>4.9944115413425436</v>
      </c>
      <c r="AD58" s="77" t="s">
        <v>1259</v>
      </c>
      <c r="AE58" s="77" t="s">
        <v>1301</v>
      </c>
      <c r="AF58" s="78" t="s">
        <v>1261</v>
      </c>
      <c r="AG58" s="86">
        <f>_xll.VAData($AD58,AG$4,$AE58,$AF58)</f>
        <v>4.7</v>
      </c>
      <c r="AH58" s="86">
        <f>_xll.VAData($AD58,AH$4,$AE58,$AF58)</f>
        <v>3.8</v>
      </c>
      <c r="AI58" s="86">
        <f>_xll.VAData($AD58,AI$4,$AE58,$AF58)</f>
        <v>5.7</v>
      </c>
      <c r="AJ58" s="86">
        <f>_xll.VAData($AD58,AJ$4,$AE58,$AF58)</f>
        <v>4.95</v>
      </c>
      <c r="AK58" s="86">
        <f>_xll.VAData($AD58,AK$4,$AE58,$AF58)</f>
        <v>5.5</v>
      </c>
      <c r="AL58" s="86">
        <f>_xll.VAData($AD58,AL$4,$AE58,$AF58)</f>
        <v>4.9000000000000004</v>
      </c>
      <c r="AM58" s="86">
        <f>_xll.VAData($AD58,AM$4,$AE58,$AF58)</f>
        <v>5.4</v>
      </c>
      <c r="AN58" s="86">
        <f>_xll.VAData($AD58,AN$4,$AE58,$AF58)</f>
        <v>4.7</v>
      </c>
      <c r="AO58" s="86">
        <f>_xll.VAData($AD58,AO$4,$AE58,$AF58)</f>
        <v>5.4</v>
      </c>
      <c r="AP58" s="86">
        <f>_xll.VAData($AD58,AP$4,$AE58,$AF58)</f>
        <v>4.5999999999999996</v>
      </c>
      <c r="AQ58" s="86">
        <f>_xll.VAData($AD58,AQ$4,$AE58,$AF58)</f>
        <v>5.2493319131527203</v>
      </c>
      <c r="AR58" s="86">
        <f>_xll.VAData($AD58,AR$4,$AE58,$AF58)</f>
        <v>4.746440403537223</v>
      </c>
      <c r="AT58" s="581">
        <v>4.7</v>
      </c>
      <c r="AU58" s="581">
        <v>3.8</v>
      </c>
      <c r="AV58" s="581">
        <v>5.7</v>
      </c>
      <c r="AW58" s="581">
        <v>4.95</v>
      </c>
      <c r="AX58" s="581">
        <v>5.5</v>
      </c>
      <c r="AY58" s="581">
        <v>4.9000000000000004</v>
      </c>
      <c r="AZ58" s="581">
        <v>5.4</v>
      </c>
      <c r="BA58" s="581">
        <v>4.7</v>
      </c>
      <c r="BB58" s="581">
        <v>4.9944115413425436</v>
      </c>
      <c r="BC58" s="581">
        <v>4.7598974957142</v>
      </c>
      <c r="BD58" s="581">
        <v>5.1508546857874604</v>
      </c>
      <c r="BE58" s="581">
        <v>4.9124454282326244</v>
      </c>
      <c r="BI58" s="584">
        <f t="shared" si="47"/>
        <v>0</v>
      </c>
      <c r="BJ58" s="584">
        <f t="shared" si="47"/>
        <v>4.9999999999998934E-2</v>
      </c>
      <c r="BK58" s="584">
        <f t="shared" si="47"/>
        <v>-9.9999999999999645E-2</v>
      </c>
      <c r="BL58" s="584">
        <f t="shared" si="47"/>
        <v>9.9999999999999645E-2</v>
      </c>
      <c r="BM58" s="584">
        <f t="shared" si="47"/>
        <v>0</v>
      </c>
      <c r="BN58" s="584">
        <f t="shared" si="47"/>
        <v>0</v>
      </c>
      <c r="BO58" s="584">
        <f t="shared" si="47"/>
        <v>0.40558845865745674</v>
      </c>
      <c r="BP58" s="584">
        <f t="shared" si="47"/>
        <v>-0.15989749571420031</v>
      </c>
      <c r="BQ58" s="584">
        <f t="shared" si="47"/>
        <v>-0.15085468578746042</v>
      </c>
      <c r="BR58" s="584">
        <f t="shared" si="47"/>
        <v>-0.41244542823262442</v>
      </c>
      <c r="BV58" s="614" t="s">
        <v>77</v>
      </c>
      <c r="BW58" s="89">
        <f>FY!G219</f>
        <v>8.5</v>
      </c>
      <c r="BX58" s="89">
        <f>FY!H219</f>
        <v>10.7</v>
      </c>
      <c r="BY58" s="89">
        <f>FY!I219</f>
        <v>10.4</v>
      </c>
      <c r="BZ58" s="89">
        <f>FY!J219</f>
        <v>10.1</v>
      </c>
      <c r="CA58" s="89">
        <f>FY!K219</f>
        <v>10</v>
      </c>
      <c r="CB58" s="89">
        <f>FY!L219</f>
        <v>9.5</v>
      </c>
      <c r="CC58" s="89"/>
      <c r="CD58" s="579">
        <f>BZ58</f>
        <v>10.1</v>
      </c>
      <c r="CE58" s="89">
        <v>10</v>
      </c>
      <c r="CF58" s="580">
        <f>CE58/CD58-1</f>
        <v>-9.9009900990099098E-3</v>
      </c>
      <c r="CG58" s="579">
        <f>CA58</f>
        <v>10</v>
      </c>
      <c r="CH58" s="580">
        <f>$CE58/CG58-1</f>
        <v>0</v>
      </c>
      <c r="CI58" s="579">
        <f>CM58</f>
        <v>10.480840000000001</v>
      </c>
      <c r="CJ58" s="580">
        <f>$CE58/CI58-1</f>
        <v>-4.5878002144866259E-2</v>
      </c>
      <c r="CK58" s="90"/>
      <c r="CL58" s="87"/>
      <c r="CM58" s="585">
        <f>DC58</f>
        <v>10.480840000000001</v>
      </c>
      <c r="CO58" s="77" t="s">
        <v>1259</v>
      </c>
      <c r="CP58" s="77" t="s">
        <v>1301</v>
      </c>
      <c r="CQ58" s="78" t="s">
        <v>1261</v>
      </c>
      <c r="CR58" s="86">
        <f>_xll.VAData($AD58,CR$4,$AE58,$AF58)</f>
        <v>8.5</v>
      </c>
      <c r="CS58" s="86">
        <f>_xll.VAData($AD58,CS$4,$AE58,$AF58)</f>
        <v>10.65</v>
      </c>
      <c r="CT58" s="86">
        <f>_xll.VAData($AD58,CT$4,$AE58,$AF58)</f>
        <v>10.4</v>
      </c>
      <c r="CU58" s="86">
        <f>_xll.VAData($AD58,CU$4,$AE58,$AF58)</f>
        <v>10.1</v>
      </c>
      <c r="CV58" s="86">
        <f>_xll.VAData($AD58,CV$4,$AE58,$AF58)</f>
        <v>10</v>
      </c>
      <c r="CW58" s="86">
        <f>_xll.VAData($AD58,CW$4,$AE58,$AF58)</f>
        <v>10.021329237517451</v>
      </c>
      <c r="CY58" s="581">
        <v>8.5</v>
      </c>
      <c r="CZ58" s="581">
        <v>10.65</v>
      </c>
      <c r="DA58" s="581">
        <v>10.4</v>
      </c>
      <c r="DB58" s="581">
        <v>10.1</v>
      </c>
      <c r="DC58" s="581">
        <v>10.480840000000001</v>
      </c>
      <c r="DD58" s="581">
        <v>10.797958154955349</v>
      </c>
      <c r="DF58" s="584">
        <f t="shared" si="48"/>
        <v>0</v>
      </c>
      <c r="DG58" s="584">
        <f t="shared" si="48"/>
        <v>4.9999999999998934E-2</v>
      </c>
      <c r="DH58" s="584">
        <f t="shared" si="48"/>
        <v>0</v>
      </c>
      <c r="DI58" s="584">
        <f t="shared" si="48"/>
        <v>0</v>
      </c>
      <c r="DJ58" s="584">
        <f t="shared" si="48"/>
        <v>-0.4808400000000006</v>
      </c>
      <c r="DK58" s="584">
        <f t="shared" si="48"/>
        <v>-1.2979581549553494</v>
      </c>
    </row>
    <row r="59" spans="3:116">
      <c r="C59" s="589" t="s">
        <v>78</v>
      </c>
      <c r="D59" s="89"/>
      <c r="E59" s="89"/>
      <c r="F59" s="89">
        <f>HY!O100</f>
        <v>34.799999999999997</v>
      </c>
      <c r="G59" s="89">
        <f>HY!P100</f>
        <v>36.5</v>
      </c>
      <c r="H59" s="89">
        <f>HY!Q100</f>
        <v>35.799264546831068</v>
      </c>
      <c r="I59" s="89">
        <f>HY!R100</f>
        <v>33.200735453168932</v>
      </c>
      <c r="J59" s="89">
        <f>HY!S100</f>
        <v>38.9</v>
      </c>
      <c r="K59" s="89">
        <f>HY!T100</f>
        <v>33.800000000000004</v>
      </c>
      <c r="L59" s="89">
        <f>HY!U100</f>
        <v>41.1</v>
      </c>
      <c r="M59" s="89">
        <f>HY!V100</f>
        <v>39.300000000000004</v>
      </c>
      <c r="N59" s="89">
        <f>HY!W100</f>
        <v>42.3</v>
      </c>
      <c r="O59" s="89">
        <f>HY!X100</f>
        <v>40.299999999999997</v>
      </c>
      <c r="P59" s="89"/>
      <c r="Q59" s="579">
        <f>J59</f>
        <v>38.9</v>
      </c>
      <c r="R59" s="89">
        <v>41.1</v>
      </c>
      <c r="S59" s="580">
        <f>R59/Q59-1</f>
        <v>5.6555269922879292E-2</v>
      </c>
      <c r="T59" s="579">
        <f>L59</f>
        <v>41.1</v>
      </c>
      <c r="U59" s="580">
        <f>$R59/T59-1</f>
        <v>0</v>
      </c>
      <c r="V59" s="579">
        <f>AB59</f>
        <v>39.802140211106448</v>
      </c>
      <c r="W59" s="580">
        <f>$R59/V59-1</f>
        <v>3.2607788978427754E-2</v>
      </c>
      <c r="X59" s="90"/>
      <c r="Y59" s="87"/>
      <c r="Z59" s="87"/>
      <c r="AA59" s="87"/>
      <c r="AB59" s="585">
        <f>BB59</f>
        <v>39.802140211106448</v>
      </c>
      <c r="AD59" s="77" t="s">
        <v>1259</v>
      </c>
      <c r="AE59" s="77" t="s">
        <v>1302</v>
      </c>
      <c r="AF59" s="78" t="s">
        <v>1261</v>
      </c>
      <c r="AG59" s="86">
        <f>_xll.VAData($AD59,AG$4,$AE59,$AF59)</f>
        <v>23.686901672831667</v>
      </c>
      <c r="AH59" s="86">
        <f>_xll.VAData($AD59,AH$4,$AE59,$AF59)</f>
        <v>24.774871573262057</v>
      </c>
      <c r="AI59" s="86">
        <f>_xll.VAData($AD59,AI$4,$AE59,$AF59)</f>
        <v>34.874737887650397</v>
      </c>
      <c r="AJ59" s="86">
        <f>_xll.VAData($AD59,AJ$4,$AE59,$AF59)</f>
        <v>36.581604290901822</v>
      </c>
      <c r="AK59" s="86">
        <f>_xll.VAData($AD59,AK$4,$AE59,$AF59)</f>
        <v>35.799264546831026</v>
      </c>
      <c r="AL59" s="86">
        <f>_xll.VAData($AD59,AL$4,$AE59,$AF59)</f>
        <v>33.195768576303166</v>
      </c>
      <c r="AM59" s="86">
        <f>_xll.VAData($AD59,AM$4,$AE59,$AF59)</f>
        <v>38.9</v>
      </c>
      <c r="AN59" s="86">
        <f>_xll.VAData($AD59,AN$4,$AE59,$AF59)</f>
        <v>33.799999999999997</v>
      </c>
      <c r="AO59" s="86">
        <f>_xll.VAData($AD59,AO$4,$AE59,$AF59)</f>
        <v>41.1</v>
      </c>
      <c r="AP59" s="86">
        <f>_xll.VAData($AD59,AP$4,$AE59,$AF59)</f>
        <v>39.299999999999997</v>
      </c>
      <c r="AQ59" s="86">
        <f>_xll.VAData($AD59,AQ$4,$AE59,$AF59)</f>
        <v>43.675226056022368</v>
      </c>
      <c r="AR59" s="86">
        <f>_xll.VAData($AD59,AR$4,$AE59,$AF59)</f>
        <v>42.839310782955764</v>
      </c>
      <c r="AT59" s="581">
        <v>23.68690167283167</v>
      </c>
      <c r="AU59" s="581">
        <v>24.774871573262061</v>
      </c>
      <c r="AV59" s="581">
        <v>34.874737887650397</v>
      </c>
      <c r="AW59" s="581">
        <v>36.581604290901822</v>
      </c>
      <c r="AX59" s="581">
        <v>35.799264546831033</v>
      </c>
      <c r="AY59" s="581">
        <v>33.195768576303173</v>
      </c>
      <c r="AZ59" s="581">
        <v>38.9</v>
      </c>
      <c r="BA59" s="581">
        <v>33.799999999999997</v>
      </c>
      <c r="BB59" s="581">
        <v>39.802140211106448</v>
      </c>
      <c r="BC59" s="581">
        <v>37.088962490885152</v>
      </c>
      <c r="BD59" s="581">
        <v>40.642688845432467</v>
      </c>
      <c r="BE59" s="581">
        <v>38.130959355915763</v>
      </c>
      <c r="BI59" s="584">
        <f t="shared" si="47"/>
        <v>-7.4737887650400125E-2</v>
      </c>
      <c r="BJ59" s="584">
        <f t="shared" si="47"/>
        <v>-8.1604290901822196E-2</v>
      </c>
      <c r="BK59" s="584">
        <f t="shared" si="47"/>
        <v>0</v>
      </c>
      <c r="BL59" s="584">
        <f t="shared" si="47"/>
        <v>4.9668768657582518E-3</v>
      </c>
      <c r="BM59" s="584">
        <f t="shared" si="47"/>
        <v>0</v>
      </c>
      <c r="BN59" s="584">
        <f t="shared" si="47"/>
        <v>0</v>
      </c>
      <c r="BO59" s="584">
        <f t="shared" si="47"/>
        <v>1.2978597888935539</v>
      </c>
      <c r="BP59" s="584">
        <f t="shared" si="47"/>
        <v>2.2110375091148526</v>
      </c>
      <c r="BQ59" s="584">
        <f t="shared" si="47"/>
        <v>1.6573111545675303</v>
      </c>
      <c r="BR59" s="584">
        <f t="shared" si="47"/>
        <v>2.1690406440842338</v>
      </c>
      <c r="BV59" s="614" t="s">
        <v>78</v>
      </c>
      <c r="BW59" s="89">
        <f>FY!G220</f>
        <v>47.132092551543252</v>
      </c>
      <c r="BX59" s="89">
        <f>FY!H220</f>
        <v>71.3</v>
      </c>
      <c r="BY59" s="89">
        <f>FY!I220</f>
        <v>69</v>
      </c>
      <c r="BZ59" s="89">
        <f>FY!J220</f>
        <v>72.7</v>
      </c>
      <c r="CA59" s="89">
        <f>FY!K220</f>
        <v>80.400000000000006</v>
      </c>
      <c r="CB59" s="89">
        <f>FY!L220</f>
        <v>82.6</v>
      </c>
      <c r="CC59" s="89"/>
      <c r="CD59" s="579">
        <f>BZ59</f>
        <v>72.7</v>
      </c>
      <c r="CE59" s="89">
        <v>80.400000000000006</v>
      </c>
      <c r="CF59" s="580">
        <f>CE59/CD59-1</f>
        <v>0.10591471801925723</v>
      </c>
      <c r="CG59" s="579">
        <f>CA59</f>
        <v>80.400000000000006</v>
      </c>
      <c r="CH59" s="580">
        <f>$CE59/CG59-1</f>
        <v>0</v>
      </c>
      <c r="CI59" s="579">
        <f>CM59</f>
        <v>80.667935981567311</v>
      </c>
      <c r="CJ59" s="580">
        <f>$CE59/CI59-1</f>
        <v>-3.3214681683256808E-3</v>
      </c>
      <c r="CK59" s="90"/>
      <c r="CL59" s="87"/>
      <c r="CM59" s="585">
        <f>DC59</f>
        <v>80.667935981567311</v>
      </c>
      <c r="CO59" s="77" t="s">
        <v>1259</v>
      </c>
      <c r="CP59" s="77" t="s">
        <v>1302</v>
      </c>
      <c r="CQ59" s="78" t="s">
        <v>1261</v>
      </c>
      <c r="CR59" s="86">
        <f>_xll.VAData($AD59,CR$4,$AE59,$AF59)</f>
        <v>49.417079844926995</v>
      </c>
      <c r="CS59" s="86">
        <f>_xll.VAData($AD59,CS$4,$AE59,$AF59)</f>
        <v>71.3</v>
      </c>
      <c r="CT59" s="86">
        <f>_xll.VAData($AD59,CT$4,$AE59,$AF59)</f>
        <v>69</v>
      </c>
      <c r="CU59" s="86">
        <f>_xll.VAData($AD59,CU$4,$AE59,$AF59)</f>
        <v>72.7</v>
      </c>
      <c r="CV59" s="86">
        <f>_xll.VAData($AD59,CV$4,$AE59,$AF59)</f>
        <v>80.400000000000006</v>
      </c>
      <c r="CW59" s="86">
        <f>_xll.VAData($AD59,CW$4,$AE59,$AF59)</f>
        <v>86.122712684087219</v>
      </c>
      <c r="CY59" s="581">
        <v>49.417079844927002</v>
      </c>
      <c r="CZ59" s="581">
        <v>71.3</v>
      </c>
      <c r="DA59" s="581">
        <v>69</v>
      </c>
      <c r="DB59" s="581">
        <v>72.7</v>
      </c>
      <c r="DC59" s="581">
        <v>80.667935981567311</v>
      </c>
      <c r="DD59" s="581">
        <v>81.735529377647822</v>
      </c>
      <c r="DF59" s="584">
        <f t="shared" si="48"/>
        <v>-2.2849872933837503</v>
      </c>
      <c r="DG59" s="584">
        <f t="shared" si="48"/>
        <v>0</v>
      </c>
      <c r="DH59" s="584">
        <f t="shared" si="48"/>
        <v>0</v>
      </c>
      <c r="DI59" s="584">
        <f t="shared" si="48"/>
        <v>0</v>
      </c>
      <c r="DJ59" s="584">
        <f t="shared" si="48"/>
        <v>-0.26793598156730525</v>
      </c>
      <c r="DK59" s="584">
        <f t="shared" si="48"/>
        <v>0.86447062235217231</v>
      </c>
    </row>
    <row r="60" spans="3:116">
      <c r="Q60" s="606"/>
      <c r="S60" s="607"/>
      <c r="T60" s="606"/>
      <c r="U60" s="607"/>
      <c r="V60" s="606"/>
      <c r="W60" s="607"/>
      <c r="BV60" s="617"/>
      <c r="CD60" s="606"/>
      <c r="CF60" s="607"/>
      <c r="CG60" s="606"/>
      <c r="CH60" s="607"/>
      <c r="CI60" s="606"/>
      <c r="CJ60" s="607"/>
    </row>
    <row r="64" spans="3:116">
      <c r="D64" s="89"/>
      <c r="E64" s="89"/>
      <c r="F64" s="89"/>
      <c r="G64" s="89"/>
      <c r="H64" s="89"/>
      <c r="I64" s="89"/>
      <c r="J64" s="89"/>
      <c r="K64" s="89"/>
      <c r="L64" s="89"/>
      <c r="M64" s="89"/>
      <c r="N64" s="89"/>
      <c r="O64" s="89"/>
      <c r="P64" s="89"/>
      <c r="Q64" s="89"/>
      <c r="R64" s="89"/>
      <c r="S64" s="90"/>
      <c r="T64" s="89"/>
      <c r="U64" s="90"/>
      <c r="V64" s="89"/>
      <c r="W64" s="90"/>
      <c r="X64" s="90"/>
      <c r="Y64" s="87"/>
      <c r="Z64" s="87"/>
      <c r="AA64" s="87"/>
      <c r="AB64" s="600"/>
      <c r="AD64" s="77" t="s">
        <v>1259</v>
      </c>
      <c r="AE64" s="80" t="s">
        <v>26</v>
      </c>
      <c r="AF64" s="78" t="s">
        <v>1261</v>
      </c>
      <c r="AT64" s="600"/>
      <c r="AU64" s="600"/>
      <c r="AV64" s="600"/>
      <c r="AW64" s="600"/>
      <c r="AX64" s="600"/>
      <c r="AY64" s="600"/>
      <c r="AZ64" s="600"/>
      <c r="BA64" s="600"/>
      <c r="BB64" s="600"/>
      <c r="BC64" s="600"/>
      <c r="BD64" s="600"/>
      <c r="BE64" s="600"/>
      <c r="BG64" s="600"/>
      <c r="BH64" s="600"/>
      <c r="BI64" s="600"/>
      <c r="BJ64" s="600"/>
      <c r="BK64" s="600"/>
      <c r="BL64" s="600"/>
      <c r="BM64" s="600"/>
      <c r="BN64" s="600"/>
      <c r="BO64" s="600"/>
      <c r="BP64" s="600"/>
      <c r="BQ64" s="600"/>
      <c r="BR64" s="600"/>
      <c r="BW64" s="89"/>
      <c r="BX64" s="89"/>
      <c r="BY64" s="89"/>
      <c r="BZ64" s="89"/>
      <c r="CA64" s="89"/>
      <c r="CB64" s="89"/>
      <c r="CC64" s="89"/>
      <c r="CD64" s="89"/>
      <c r="CE64" s="89"/>
      <c r="CF64" s="90"/>
      <c r="CG64" s="89"/>
      <c r="CH64" s="90"/>
      <c r="CI64" s="89"/>
      <c r="CJ64" s="90"/>
      <c r="CK64" s="90"/>
      <c r="CL64" s="87"/>
      <c r="CM64" s="600"/>
      <c r="CO64" s="80" t="s">
        <v>1259</v>
      </c>
      <c r="CP64" s="80" t="s">
        <v>26</v>
      </c>
      <c r="CQ64" s="78" t="s">
        <v>1261</v>
      </c>
      <c r="CR64" s="598">
        <f>_xll.VAData($AD64,CR$4,$AE64,$AF64)</f>
        <v>96.9</v>
      </c>
      <c r="CS64" s="598">
        <f>_xll.VAData($AD64,CS$4,$AE64,$AF64)</f>
        <v>165.899</v>
      </c>
      <c r="CT64" s="598">
        <f>_xll.VAData($AD64,CT$4,$AE64,$AF64)</f>
        <v>138.15700000000001</v>
      </c>
      <c r="CU64" s="598">
        <f>_xll.VAData($AD64,CU$4,$AE64,$AF64)</f>
        <v>216.095</v>
      </c>
      <c r="CV64" s="598">
        <f>_xll.VAData($AD64,CV$4,$AE64,$AF64)</f>
        <v>120.474</v>
      </c>
      <c r="CW64" s="598">
        <f>_xll.VAData($AD64,CW$4,$AE64,$AF64)</f>
        <v>158.87317327936134</v>
      </c>
      <c r="CX64" s="597"/>
      <c r="CY64" s="596">
        <v>96.9</v>
      </c>
      <c r="CZ64" s="596">
        <v>165.899</v>
      </c>
      <c r="DA64" s="596">
        <v>138.15700000000001</v>
      </c>
      <c r="DB64" s="596">
        <v>216.095</v>
      </c>
      <c r="DC64" s="596">
        <v>149.96293208820069</v>
      </c>
      <c r="DD64" s="596">
        <v>174.81695192828431</v>
      </c>
      <c r="DE64" s="597"/>
      <c r="DF64" s="597"/>
      <c r="DG64" s="584">
        <f>BX64-CZ64</f>
        <v>-165.899</v>
      </c>
      <c r="DH64" s="584">
        <f>BY64-DA64</f>
        <v>-138.15700000000001</v>
      </c>
      <c r="DI64" s="584">
        <f>BZ64-DB64</f>
        <v>-216.095</v>
      </c>
      <c r="DJ64" s="584">
        <f>CA64-DC64</f>
        <v>-149.96293208820069</v>
      </c>
      <c r="DK64" s="584">
        <f>CB64-DD64</f>
        <v>-174.81695192828431</v>
      </c>
      <c r="DL64" s="600"/>
    </row>
    <row r="455" spans="13:13">
      <c r="M455" s="583">
        <f>HY!M83</f>
        <v>52.2</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6" tint="0.79998168889431442"/>
    <pageSetUpPr fitToPage="1"/>
  </sheetPr>
  <dimension ref="C2:U20"/>
  <sheetViews>
    <sheetView showGridLines="0" zoomScale="115" zoomScaleNormal="115" workbookViewId="0">
      <selection activeCell="L23" sqref="L23"/>
    </sheetView>
  </sheetViews>
  <sheetFormatPr defaultRowHeight="15" outlineLevelCol="1"/>
  <cols>
    <col min="1" max="1" width="2.7109375" customWidth="1"/>
    <col min="2" max="2" width="1.7109375" customWidth="1"/>
    <col min="3" max="3" width="12.7109375" customWidth="1"/>
    <col min="4" max="4" width="9.7109375" customWidth="1"/>
    <col min="5" max="5" width="9.140625" hidden="1" customWidth="1" outlineLevel="1"/>
    <col min="6" max="7" width="8.7109375" hidden="1" customWidth="1" outlineLevel="1" collapsed="1"/>
    <col min="8" max="8" width="8.7109375" customWidth="1" collapsed="1"/>
    <col min="9" max="15" width="8.7109375" customWidth="1"/>
    <col min="16" max="16" width="1.7109375" customWidth="1"/>
    <col min="17" max="17" width="11.140625" bestFit="1" customWidth="1"/>
    <col min="18" max="18" width="2.7109375" customWidth="1"/>
  </cols>
  <sheetData>
    <row r="2" spans="3:21" ht="13.5" customHeight="1">
      <c r="C2" s="619"/>
      <c r="D2" s="83"/>
      <c r="E2" s="620" t="s">
        <v>1303</v>
      </c>
      <c r="F2" s="620" t="s">
        <v>1249</v>
      </c>
      <c r="G2" s="620" t="s">
        <v>1247</v>
      </c>
      <c r="H2" s="620" t="s">
        <v>1248</v>
      </c>
      <c r="I2" s="620" t="s">
        <v>1304</v>
      </c>
      <c r="J2" s="620" t="s">
        <v>1658</v>
      </c>
      <c r="K2" s="620" t="s">
        <v>1659</v>
      </c>
      <c r="L2" s="620" t="s">
        <v>1660</v>
      </c>
      <c r="M2" s="620" t="s">
        <v>1661</v>
      </c>
      <c r="N2" s="620" t="s">
        <v>1662</v>
      </c>
      <c r="O2" s="620" t="s">
        <v>1663</v>
      </c>
      <c r="U2" s="35"/>
    </row>
    <row r="3" spans="3:21" ht="13.5" customHeight="1">
      <c r="C3" s="655" t="s">
        <v>273</v>
      </c>
      <c r="D3" s="656" t="s">
        <v>1305</v>
      </c>
      <c r="E3" s="657">
        <f>FY!I25</f>
        <v>870.5</v>
      </c>
      <c r="F3" s="657">
        <f>FY!J25</f>
        <v>825.2</v>
      </c>
      <c r="G3" s="657">
        <f>FY!K25</f>
        <v>822.7</v>
      </c>
      <c r="H3" s="657">
        <f>FY!L25</f>
        <v>840.93399999999997</v>
      </c>
      <c r="I3" s="657">
        <f>FY!M25</f>
        <v>859.61222999999995</v>
      </c>
      <c r="J3" s="657">
        <f>FY!N25</f>
        <v>899.31188750000001</v>
      </c>
      <c r="K3" s="657">
        <f>FY!O25</f>
        <v>935.82404444699989</v>
      </c>
      <c r="L3" s="657">
        <f>FY!P25</f>
        <v>973.90198434563001</v>
      </c>
      <c r="M3" s="657">
        <f>FY!Q25</f>
        <v>1013.4024088764711</v>
      </c>
      <c r="N3" s="657">
        <f>FY!R25</f>
        <v>1055.1144007168261</v>
      </c>
      <c r="O3" s="657">
        <f>FY!S25</f>
        <v>1092.3405089260359</v>
      </c>
      <c r="P3" s="658"/>
      <c r="U3" s="35"/>
    </row>
    <row r="4" spans="3:21" ht="13.5" customHeight="1">
      <c r="C4" s="655"/>
      <c r="D4" s="659" t="s">
        <v>1306</v>
      </c>
      <c r="E4" s="660">
        <v>870.5</v>
      </c>
      <c r="F4" s="660">
        <v>825.2</v>
      </c>
      <c r="G4" s="660">
        <v>822.79615000000013</v>
      </c>
      <c r="H4" s="660">
        <v>840.93399999999997</v>
      </c>
      <c r="I4" s="660">
        <v>859.61222999999995</v>
      </c>
      <c r="J4" s="660">
        <v>899.31188750000001</v>
      </c>
      <c r="K4" s="660">
        <v>935.82404444699989</v>
      </c>
      <c r="L4" s="660">
        <v>973.90198434563001</v>
      </c>
      <c r="M4" s="660">
        <v>1013.4024088764711</v>
      </c>
      <c r="N4" s="660">
        <v>1055.1144007168261</v>
      </c>
      <c r="O4" s="660">
        <v>1092.3405089260359</v>
      </c>
      <c r="P4" s="661"/>
      <c r="U4" s="35"/>
    </row>
    <row r="5" spans="3:21" ht="13.5" customHeight="1">
      <c r="C5" s="662"/>
      <c r="D5" s="663" t="s">
        <v>1227</v>
      </c>
      <c r="E5" s="664">
        <f t="shared" ref="E5:K5" si="0">E3/E4-1</f>
        <v>0</v>
      </c>
      <c r="F5" s="664">
        <f t="shared" si="0"/>
        <v>0</v>
      </c>
      <c r="G5" s="664">
        <f t="shared" si="0"/>
        <v>-1.1685762020163803E-4</v>
      </c>
      <c r="H5" s="664">
        <f t="shared" si="0"/>
        <v>0</v>
      </c>
      <c r="I5" s="664">
        <f t="shared" si="0"/>
        <v>0</v>
      </c>
      <c r="J5" s="664">
        <f t="shared" si="0"/>
        <v>0</v>
      </c>
      <c r="K5" s="664">
        <f t="shared" si="0"/>
        <v>0</v>
      </c>
      <c r="L5" s="664">
        <f t="shared" ref="L5:M5" si="1">L3/L4-1</f>
        <v>0</v>
      </c>
      <c r="M5" s="664">
        <f t="shared" si="1"/>
        <v>0</v>
      </c>
      <c r="N5" s="664">
        <f t="shared" ref="N5:O5" si="2">N3/N4-1</f>
        <v>0</v>
      </c>
      <c r="O5" s="664">
        <f t="shared" si="2"/>
        <v>0</v>
      </c>
      <c r="P5" s="661"/>
      <c r="U5" s="35"/>
    </row>
    <row r="6" spans="3:21" ht="13.5" customHeight="1">
      <c r="C6" s="655" t="s">
        <v>26</v>
      </c>
      <c r="D6" s="656" t="s">
        <v>1305</v>
      </c>
      <c r="E6" s="657">
        <f>FY!I29</f>
        <v>277.8</v>
      </c>
      <c r="F6" s="657">
        <f>FY!J29</f>
        <v>233.7</v>
      </c>
      <c r="G6" s="657">
        <f>FY!K29</f>
        <v>181.6</v>
      </c>
      <c r="H6" s="657">
        <f>FY!L29</f>
        <v>183.18613519999997</v>
      </c>
      <c r="I6" s="657">
        <f>FY!M29</f>
        <v>204.83214634399997</v>
      </c>
      <c r="J6" s="657">
        <f>FY!N29</f>
        <v>229.34449655400005</v>
      </c>
      <c r="K6" s="657">
        <f>FY!O29</f>
        <v>238.69843621886156</v>
      </c>
      <c r="L6" s="657">
        <f>FY!P29</f>
        <v>248.54432493026681</v>
      </c>
      <c r="M6" s="657">
        <f>FY!Q29</f>
        <v>258.8242178848343</v>
      </c>
      <c r="N6" s="657">
        <f>FY!R29</f>
        <v>269.85336353011263</v>
      </c>
      <c r="O6" s="657">
        <f>FY!S29</f>
        <v>276.09809342538347</v>
      </c>
      <c r="P6" s="665"/>
      <c r="U6" s="35"/>
    </row>
    <row r="7" spans="3:21" ht="13.5" customHeight="1">
      <c r="C7" s="655"/>
      <c r="D7" s="659" t="s">
        <v>1306</v>
      </c>
      <c r="E7" s="660">
        <v>277.8</v>
      </c>
      <c r="F7" s="660">
        <v>233.7</v>
      </c>
      <c r="G7" s="660">
        <v>181.85079188</v>
      </c>
      <c r="H7" s="660">
        <v>183.18613519999997</v>
      </c>
      <c r="I7" s="660">
        <v>204.83214634399997</v>
      </c>
      <c r="J7" s="660">
        <v>229.34449655400005</v>
      </c>
      <c r="K7" s="660">
        <v>238.69843621886156</v>
      </c>
      <c r="L7" s="660">
        <v>248.54432493026681</v>
      </c>
      <c r="M7" s="660">
        <v>258.8242178848343</v>
      </c>
      <c r="N7" s="660">
        <v>269.85336353011263</v>
      </c>
      <c r="O7" s="660">
        <v>276.09809342538347</v>
      </c>
      <c r="P7" s="661"/>
      <c r="Q7" s="661"/>
      <c r="U7" s="35"/>
    </row>
    <row r="8" spans="3:21" ht="13.5" customHeight="1">
      <c r="C8" s="662"/>
      <c r="D8" s="663" t="s">
        <v>1227</v>
      </c>
      <c r="E8" s="664">
        <f t="shared" ref="E8:K8" si="3">E6/E7-1</f>
        <v>0</v>
      </c>
      <c r="F8" s="664">
        <f t="shared" si="3"/>
        <v>0</v>
      </c>
      <c r="G8" s="664">
        <f t="shared" si="3"/>
        <v>-1.3791079896177116E-3</v>
      </c>
      <c r="H8" s="664">
        <f t="shared" si="3"/>
        <v>0</v>
      </c>
      <c r="I8" s="664">
        <f t="shared" si="3"/>
        <v>0</v>
      </c>
      <c r="J8" s="664">
        <f t="shared" si="3"/>
        <v>0</v>
      </c>
      <c r="K8" s="664">
        <f t="shared" si="3"/>
        <v>0</v>
      </c>
      <c r="L8" s="664">
        <f t="shared" ref="L8:M8" si="4">L6/L7-1</f>
        <v>0</v>
      </c>
      <c r="M8" s="664">
        <f t="shared" si="4"/>
        <v>0</v>
      </c>
      <c r="N8" s="664">
        <f t="shared" ref="N8:O8" si="5">N6/N7-1</f>
        <v>0</v>
      </c>
      <c r="O8" s="664">
        <f t="shared" si="5"/>
        <v>0</v>
      </c>
      <c r="P8" s="661"/>
      <c r="U8" s="35"/>
    </row>
    <row r="9" spans="3:21" ht="13.5" customHeight="1">
      <c r="C9" s="655" t="s">
        <v>283</v>
      </c>
      <c r="D9" s="656" t="s">
        <v>1305</v>
      </c>
      <c r="E9" s="657">
        <f>FY!I41</f>
        <v>123.2</v>
      </c>
      <c r="F9" s="657">
        <f>FY!J41</f>
        <v>71.5</v>
      </c>
      <c r="G9" s="657">
        <f>FY!K41</f>
        <v>38</v>
      </c>
      <c r="H9" s="657">
        <f>FY!L41</f>
        <v>30.450322851937333</v>
      </c>
      <c r="I9" s="657">
        <f>FY!M41</f>
        <v>54.764411076039899</v>
      </c>
      <c r="J9" s="657">
        <f>FY!N41</f>
        <v>74.577355545863213</v>
      </c>
      <c r="K9" s="657">
        <f>FY!O41</f>
        <v>84.030967406973247</v>
      </c>
      <c r="L9" s="657">
        <f>FY!P41</f>
        <v>93.4833774684611</v>
      </c>
      <c r="M9" s="657">
        <f>FY!Q41</f>
        <v>101.95492041466355</v>
      </c>
      <c r="N9" s="657">
        <f>FY!R41</f>
        <v>110.76081242582953</v>
      </c>
      <c r="O9" s="657">
        <f>FY!S41</f>
        <v>115.97781126303668</v>
      </c>
      <c r="P9" s="665"/>
      <c r="U9" s="35"/>
    </row>
    <row r="10" spans="3:21" ht="13.5" customHeight="1">
      <c r="C10" s="655"/>
      <c r="D10" s="659" t="s">
        <v>1306</v>
      </c>
      <c r="E10" s="660">
        <v>123.2</v>
      </c>
      <c r="F10" s="660">
        <v>71.5</v>
      </c>
      <c r="G10" s="660">
        <v>22.749323666008053</v>
      </c>
      <c r="H10" s="660">
        <v>30.450322851937333</v>
      </c>
      <c r="I10" s="660">
        <v>54.764411076039899</v>
      </c>
      <c r="J10" s="660">
        <v>74.577355545863213</v>
      </c>
      <c r="K10" s="660">
        <v>84.030967406973247</v>
      </c>
      <c r="L10" s="660">
        <v>93.4833774684611</v>
      </c>
      <c r="M10" s="660">
        <v>101.95492041466355</v>
      </c>
      <c r="N10" s="660">
        <v>110.76081242582953</v>
      </c>
      <c r="O10" s="660">
        <v>115.97781126303668</v>
      </c>
      <c r="P10" s="661"/>
      <c r="U10" s="35"/>
    </row>
    <row r="11" spans="3:21" ht="13.5" customHeight="1">
      <c r="C11" s="662"/>
      <c r="D11" s="663" t="s">
        <v>1227</v>
      </c>
      <c r="E11" s="664">
        <f t="shared" ref="E11:K11" si="6">E9/E10-1</f>
        <v>0</v>
      </c>
      <c r="F11" s="664">
        <f t="shared" si="6"/>
        <v>0</v>
      </c>
      <c r="G11" s="664">
        <f t="shared" si="6"/>
        <v>0.67037932898108288</v>
      </c>
      <c r="H11" s="664">
        <f t="shared" si="6"/>
        <v>0</v>
      </c>
      <c r="I11" s="664">
        <f t="shared" si="6"/>
        <v>0</v>
      </c>
      <c r="J11" s="664">
        <f t="shared" si="6"/>
        <v>0</v>
      </c>
      <c r="K11" s="664">
        <f t="shared" si="6"/>
        <v>0</v>
      </c>
      <c r="L11" s="664">
        <f t="shared" ref="L11:M11" si="7">L9/L10-1</f>
        <v>0</v>
      </c>
      <c r="M11" s="664">
        <f t="shared" si="7"/>
        <v>0</v>
      </c>
      <c r="N11" s="664">
        <f t="shared" ref="N11:O11" si="8">N9/N10-1</f>
        <v>0</v>
      </c>
      <c r="O11" s="664">
        <f t="shared" si="8"/>
        <v>0</v>
      </c>
      <c r="P11" s="661"/>
      <c r="U11" s="35"/>
    </row>
    <row r="12" spans="3:21" ht="13.5" customHeight="1">
      <c r="C12" s="655" t="s">
        <v>8</v>
      </c>
      <c r="D12" s="656" t="s">
        <v>1305</v>
      </c>
      <c r="E12" s="666"/>
      <c r="F12" s="666"/>
      <c r="G12" s="667"/>
      <c r="H12" s="666">
        <f ca="1">HY!D654</f>
        <v>0.65016617148967304</v>
      </c>
      <c r="I12" s="667"/>
      <c r="J12" s="667"/>
      <c r="K12" s="667"/>
      <c r="L12" s="667"/>
      <c r="M12" s="667"/>
      <c r="N12" s="667"/>
      <c r="O12" s="667"/>
      <c r="P12" s="665"/>
      <c r="U12" s="35"/>
    </row>
    <row r="13" spans="3:21" ht="13.5" customHeight="1">
      <c r="C13" s="655"/>
      <c r="D13" s="659" t="s">
        <v>1306</v>
      </c>
      <c r="E13" s="668"/>
      <c r="F13" s="668"/>
      <c r="G13" s="669"/>
      <c r="H13" s="668">
        <v>0.64471467574602481</v>
      </c>
      <c r="I13" s="669"/>
      <c r="J13" s="669"/>
      <c r="K13" s="669"/>
      <c r="L13" s="669"/>
      <c r="M13" s="669"/>
      <c r="N13" s="669"/>
      <c r="O13" s="669"/>
      <c r="P13" s="661"/>
      <c r="U13" s="35"/>
    </row>
    <row r="14" spans="3:21" ht="13.5" customHeight="1">
      <c r="C14" s="662"/>
      <c r="D14" s="663" t="s">
        <v>1227</v>
      </c>
      <c r="E14" s="664"/>
      <c r="F14" s="664"/>
      <c r="G14" s="670"/>
      <c r="H14" s="664">
        <f ca="1">H12/H13-1</f>
        <v>8.4556718634334338E-3</v>
      </c>
      <c r="I14" s="670"/>
      <c r="J14" s="670"/>
      <c r="K14" s="670"/>
      <c r="L14" s="670"/>
      <c r="M14" s="670"/>
      <c r="N14" s="670"/>
      <c r="O14" s="670"/>
      <c r="P14" s="661"/>
      <c r="U14" s="35"/>
    </row>
    <row r="15" spans="3:21">
      <c r="P15" s="661"/>
      <c r="U15" s="35"/>
    </row>
    <row r="16" spans="3:21">
      <c r="P16" s="665"/>
      <c r="U16" s="35"/>
    </row>
    <row r="17" spans="21:21">
      <c r="U17" s="35"/>
    </row>
    <row r="18" spans="21:21">
      <c r="U18" s="35"/>
    </row>
    <row r="19" spans="21:21">
      <c r="U19" s="35"/>
    </row>
    <row r="20" spans="21:21">
      <c r="U20" s="35"/>
    </row>
  </sheetData>
  <pageMargins left="0.7" right="0.7" top="0.75" bottom="0.75" header="0.3" footer="0.3"/>
  <pageSetup paperSize="9" scale="9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theme="1"/>
  </sheetPr>
  <dimension ref="E3:G133"/>
  <sheetViews>
    <sheetView topLeftCell="A96" workbookViewId="0">
      <selection activeCell="C43" sqref="C43"/>
    </sheetView>
  </sheetViews>
  <sheetFormatPr defaultRowHeight="15"/>
  <sheetData>
    <row r="3" spans="5:7">
      <c r="E3" t="e">
        <v>#NAME?</v>
      </c>
      <c r="F3" t="s">
        <v>333</v>
      </c>
      <c r="G3" t="s">
        <v>1307</v>
      </c>
    </row>
    <row r="4" spans="5:7">
      <c r="E4" t="s">
        <v>1308</v>
      </c>
      <c r="F4" s="35">
        <v>44837</v>
      </c>
      <c r="G4">
        <v>0.65139999999999998</v>
      </c>
    </row>
    <row r="5" spans="5:7">
      <c r="F5" s="35">
        <v>44838</v>
      </c>
      <c r="G5">
        <v>0.64939999999999998</v>
      </c>
    </row>
    <row r="6" spans="5:7">
      <c r="F6" s="35">
        <v>44839</v>
      </c>
      <c r="G6">
        <v>0.64890000000000003</v>
      </c>
    </row>
    <row r="7" spans="5:7">
      <c r="F7" s="35">
        <v>44840</v>
      </c>
      <c r="G7">
        <v>0.64032</v>
      </c>
    </row>
    <row r="8" spans="5:7">
      <c r="F8" s="35">
        <v>44841</v>
      </c>
      <c r="G8">
        <v>0.63807000000000003</v>
      </c>
    </row>
    <row r="9" spans="5:7">
      <c r="F9" s="35">
        <v>44844</v>
      </c>
      <c r="G9">
        <v>0.62621499999999997</v>
      </c>
    </row>
    <row r="10" spans="5:7">
      <c r="F10" s="35">
        <v>44845</v>
      </c>
      <c r="G10">
        <v>0.627</v>
      </c>
    </row>
    <row r="11" spans="5:7">
      <c r="F11" s="35">
        <v>44846</v>
      </c>
      <c r="G11">
        <v>0.62771500000000002</v>
      </c>
    </row>
    <row r="12" spans="5:7">
      <c r="F12" s="35">
        <v>44847</v>
      </c>
      <c r="G12">
        <v>0.62986500000000001</v>
      </c>
    </row>
    <row r="13" spans="5:7">
      <c r="F13" s="35">
        <v>44848</v>
      </c>
      <c r="G13">
        <v>0.61983999999999995</v>
      </c>
    </row>
    <row r="14" spans="5:7">
      <c r="F14" s="35">
        <v>44851</v>
      </c>
      <c r="G14">
        <v>0.62919999999999998</v>
      </c>
    </row>
    <row r="15" spans="5:7">
      <c r="F15" s="35">
        <v>44852</v>
      </c>
      <c r="G15">
        <v>0.63092000000000004</v>
      </c>
    </row>
    <row r="16" spans="5:7">
      <c r="F16" s="35">
        <v>44853</v>
      </c>
      <c r="G16">
        <v>0.62644</v>
      </c>
    </row>
    <row r="17" spans="6:7">
      <c r="F17" s="35">
        <v>44854</v>
      </c>
      <c r="G17">
        <v>0.62775000000000003</v>
      </c>
    </row>
    <row r="18" spans="6:7">
      <c r="F18" s="35">
        <v>44855</v>
      </c>
      <c r="G18">
        <v>0.63538499999999998</v>
      </c>
    </row>
    <row r="19" spans="6:7">
      <c r="F19" s="35">
        <v>44858</v>
      </c>
      <c r="G19">
        <v>0.631135</v>
      </c>
    </row>
    <row r="20" spans="6:7">
      <c r="F20" s="35">
        <v>44859</v>
      </c>
      <c r="G20">
        <v>0.63929999999999998</v>
      </c>
    </row>
    <row r="21" spans="6:7">
      <c r="F21" s="35">
        <v>44860</v>
      </c>
      <c r="G21">
        <v>0.65051499999999995</v>
      </c>
    </row>
    <row r="22" spans="6:7">
      <c r="F22" s="35">
        <v>44861</v>
      </c>
      <c r="G22">
        <v>0.645285</v>
      </c>
    </row>
    <row r="23" spans="6:7">
      <c r="F23" s="35">
        <v>44862</v>
      </c>
      <c r="G23">
        <v>0.64152500000000001</v>
      </c>
    </row>
    <row r="24" spans="6:7">
      <c r="F24" s="35">
        <v>44865</v>
      </c>
      <c r="G24">
        <v>0.63991500000000001</v>
      </c>
    </row>
    <row r="25" spans="6:7">
      <c r="F25" s="35">
        <v>44866</v>
      </c>
      <c r="G25">
        <v>0.63948499999999997</v>
      </c>
    </row>
    <row r="26" spans="6:7">
      <c r="F26" s="35">
        <v>44867</v>
      </c>
      <c r="G26">
        <v>0.63506499999999999</v>
      </c>
    </row>
    <row r="27" spans="6:7">
      <c r="F27" s="35">
        <v>44868</v>
      </c>
      <c r="G27">
        <v>0.62880999999999998</v>
      </c>
    </row>
    <row r="28" spans="6:7">
      <c r="F28" s="35">
        <v>44869</v>
      </c>
      <c r="G28">
        <v>0.64415500000000003</v>
      </c>
    </row>
    <row r="29" spans="6:7">
      <c r="F29" s="35">
        <v>44872</v>
      </c>
      <c r="G29">
        <v>0.64796500000000001</v>
      </c>
    </row>
    <row r="30" spans="6:7">
      <c r="F30" s="35">
        <v>44873</v>
      </c>
      <c r="G30">
        <v>0.65047999999999995</v>
      </c>
    </row>
    <row r="31" spans="6:7">
      <c r="F31" s="35">
        <v>44874</v>
      </c>
      <c r="G31">
        <v>0.64319999999999999</v>
      </c>
    </row>
    <row r="32" spans="6:7">
      <c r="F32" s="35">
        <v>44875</v>
      </c>
      <c r="G32">
        <v>0.66183000000000003</v>
      </c>
    </row>
    <row r="33" spans="6:7">
      <c r="F33" s="35">
        <v>44876</v>
      </c>
      <c r="G33">
        <v>0.67032999999999998</v>
      </c>
    </row>
    <row r="34" spans="6:7">
      <c r="F34" s="35">
        <v>44879</v>
      </c>
      <c r="G34">
        <v>0.67020000000000002</v>
      </c>
    </row>
    <row r="35" spans="6:7">
      <c r="F35" s="35">
        <v>44880</v>
      </c>
      <c r="G35">
        <v>0.67522000000000004</v>
      </c>
    </row>
    <row r="36" spans="6:7">
      <c r="F36" s="35">
        <v>44881</v>
      </c>
      <c r="G36">
        <v>0.67430000000000001</v>
      </c>
    </row>
    <row r="37" spans="6:7">
      <c r="F37" s="35">
        <v>44882</v>
      </c>
      <c r="G37">
        <v>0.66654500000000005</v>
      </c>
    </row>
    <row r="38" spans="6:7">
      <c r="F38" s="35">
        <v>44883</v>
      </c>
      <c r="G38">
        <v>0.66739499999999996</v>
      </c>
    </row>
    <row r="39" spans="6:7">
      <c r="F39" s="35">
        <v>44886</v>
      </c>
      <c r="G39">
        <v>0.660385</v>
      </c>
    </row>
    <row r="40" spans="6:7">
      <c r="F40" s="35">
        <v>44887</v>
      </c>
      <c r="G40">
        <v>0.66487499999999999</v>
      </c>
    </row>
    <row r="41" spans="6:7">
      <c r="F41" s="35">
        <v>44888</v>
      </c>
      <c r="G41">
        <v>0.67318999999999996</v>
      </c>
    </row>
    <row r="42" spans="6:7">
      <c r="F42" s="35">
        <v>44889</v>
      </c>
      <c r="G42">
        <v>0.67649999999999999</v>
      </c>
    </row>
    <row r="43" spans="6:7">
      <c r="F43" s="35">
        <v>44890</v>
      </c>
      <c r="G43">
        <v>0.67476999999999998</v>
      </c>
    </row>
    <row r="44" spans="6:7">
      <c r="F44" s="35">
        <v>44893</v>
      </c>
      <c r="G44">
        <v>0.66496500000000003</v>
      </c>
    </row>
    <row r="45" spans="6:7">
      <c r="F45" s="35">
        <v>44894</v>
      </c>
      <c r="G45">
        <v>0.67062999999999995</v>
      </c>
    </row>
    <row r="46" spans="6:7">
      <c r="F46" s="35">
        <v>44895</v>
      </c>
      <c r="G46">
        <v>0.67876000000000003</v>
      </c>
    </row>
    <row r="47" spans="6:7">
      <c r="F47" s="35">
        <v>44896</v>
      </c>
      <c r="G47">
        <v>0.68113999999999997</v>
      </c>
    </row>
    <row r="48" spans="6:7">
      <c r="F48" s="35">
        <v>44897</v>
      </c>
      <c r="G48">
        <v>0.67962500000000003</v>
      </c>
    </row>
    <row r="49" spans="6:7">
      <c r="F49" s="35">
        <v>44900</v>
      </c>
      <c r="G49">
        <v>0.66990000000000005</v>
      </c>
    </row>
    <row r="50" spans="6:7">
      <c r="F50" s="35">
        <v>44901</v>
      </c>
      <c r="G50">
        <v>0.66890000000000005</v>
      </c>
    </row>
    <row r="51" spans="6:7">
      <c r="F51" s="35">
        <v>44902</v>
      </c>
      <c r="G51">
        <v>0.67238500000000001</v>
      </c>
    </row>
    <row r="52" spans="6:7">
      <c r="F52" s="35">
        <v>44903</v>
      </c>
      <c r="G52">
        <v>0.676705</v>
      </c>
    </row>
    <row r="53" spans="6:7">
      <c r="F53" s="35">
        <v>44904</v>
      </c>
      <c r="G53">
        <v>0.67935999999999996</v>
      </c>
    </row>
    <row r="54" spans="6:7">
      <c r="F54" s="35">
        <v>44907</v>
      </c>
      <c r="G54">
        <v>0.67411500000000002</v>
      </c>
    </row>
    <row r="55" spans="6:7">
      <c r="F55" s="35">
        <v>44908</v>
      </c>
      <c r="G55">
        <v>0.68530500000000005</v>
      </c>
    </row>
    <row r="56" spans="6:7">
      <c r="F56" s="35">
        <v>44909</v>
      </c>
      <c r="G56">
        <v>0.68642000000000003</v>
      </c>
    </row>
    <row r="57" spans="6:7">
      <c r="F57" s="35">
        <v>44910</v>
      </c>
      <c r="G57">
        <v>0.6704</v>
      </c>
    </row>
    <row r="58" spans="6:7">
      <c r="F58" s="35">
        <v>44911</v>
      </c>
      <c r="G58">
        <v>0.66894500000000001</v>
      </c>
    </row>
    <row r="59" spans="6:7">
      <c r="F59" s="35">
        <v>44914</v>
      </c>
      <c r="G59">
        <v>0.67010000000000003</v>
      </c>
    </row>
    <row r="60" spans="6:7">
      <c r="F60" s="35">
        <v>44915</v>
      </c>
      <c r="G60">
        <v>0.66735</v>
      </c>
    </row>
    <row r="61" spans="6:7">
      <c r="F61" s="35">
        <v>44916</v>
      </c>
      <c r="G61">
        <v>0.67059999999999997</v>
      </c>
    </row>
    <row r="62" spans="6:7">
      <c r="F62" s="35">
        <v>44917</v>
      </c>
      <c r="G62">
        <v>0.66705499999999995</v>
      </c>
    </row>
    <row r="63" spans="6:7">
      <c r="F63" s="35">
        <v>44918</v>
      </c>
      <c r="G63">
        <v>0.67201500000000003</v>
      </c>
    </row>
    <row r="64" spans="6:7">
      <c r="F64" s="35">
        <v>44921</v>
      </c>
      <c r="G64">
        <v>0.67279999999999995</v>
      </c>
    </row>
    <row r="65" spans="6:7">
      <c r="F65" s="35">
        <v>44922</v>
      </c>
      <c r="G65">
        <v>0.67286999999999997</v>
      </c>
    </row>
    <row r="66" spans="6:7">
      <c r="F66" s="35">
        <v>44923</v>
      </c>
      <c r="G66">
        <v>0.67344499999999996</v>
      </c>
    </row>
    <row r="67" spans="6:7">
      <c r="F67" s="35">
        <v>44924</v>
      </c>
      <c r="G67">
        <v>0.6774</v>
      </c>
    </row>
    <row r="68" spans="6:7">
      <c r="F68" s="35">
        <v>44925</v>
      </c>
      <c r="G68">
        <v>0.68155500000000002</v>
      </c>
    </row>
    <row r="69" spans="6:7">
      <c r="F69" s="35">
        <v>44928</v>
      </c>
      <c r="G69">
        <v>0.68025000000000002</v>
      </c>
    </row>
    <row r="70" spans="6:7">
      <c r="F70" s="35">
        <v>44929</v>
      </c>
      <c r="G70">
        <v>0.67318</v>
      </c>
    </row>
    <row r="71" spans="6:7">
      <c r="F71" s="35">
        <v>44930</v>
      </c>
      <c r="G71">
        <v>0.68506500000000004</v>
      </c>
    </row>
    <row r="72" spans="6:7">
      <c r="F72" s="35">
        <v>44931</v>
      </c>
      <c r="G72">
        <v>0.67552000000000001</v>
      </c>
    </row>
    <row r="73" spans="6:7">
      <c r="F73" s="35">
        <v>44932</v>
      </c>
      <c r="G73">
        <v>0.68830000000000002</v>
      </c>
    </row>
    <row r="74" spans="6:7">
      <c r="F74" s="35">
        <v>44935</v>
      </c>
      <c r="G74">
        <v>0.69101000000000001</v>
      </c>
    </row>
    <row r="75" spans="6:7">
      <c r="F75" s="35">
        <v>44936</v>
      </c>
      <c r="G75">
        <v>0.68772500000000003</v>
      </c>
    </row>
    <row r="76" spans="6:7">
      <c r="F76" s="35">
        <v>44937</v>
      </c>
      <c r="G76">
        <v>0.68962000000000001</v>
      </c>
    </row>
    <row r="77" spans="6:7">
      <c r="F77" s="35">
        <v>44938</v>
      </c>
      <c r="G77">
        <v>0.69740500000000005</v>
      </c>
    </row>
    <row r="78" spans="6:7">
      <c r="F78" s="35">
        <v>44939</v>
      </c>
      <c r="G78">
        <v>0.69766499999999998</v>
      </c>
    </row>
    <row r="79" spans="6:7">
      <c r="F79" s="35">
        <v>44942</v>
      </c>
      <c r="G79">
        <v>0.69547499999999995</v>
      </c>
    </row>
    <row r="80" spans="6:7">
      <c r="F80" s="35">
        <v>44943</v>
      </c>
      <c r="G80">
        <v>0.69764499999999996</v>
      </c>
    </row>
    <row r="81" spans="6:7">
      <c r="F81" s="35">
        <v>44944</v>
      </c>
      <c r="G81">
        <v>0.69452000000000003</v>
      </c>
    </row>
    <row r="82" spans="6:7">
      <c r="F82" s="35">
        <v>44945</v>
      </c>
      <c r="G82">
        <v>0.69089999999999996</v>
      </c>
    </row>
    <row r="83" spans="6:7">
      <c r="F83" s="35">
        <v>44946</v>
      </c>
      <c r="G83">
        <v>0.69523999999999997</v>
      </c>
    </row>
    <row r="84" spans="6:7">
      <c r="F84" s="35">
        <v>44949</v>
      </c>
      <c r="G84">
        <v>0.70279999999999998</v>
      </c>
    </row>
    <row r="85" spans="6:7">
      <c r="F85" s="35">
        <v>44950</v>
      </c>
      <c r="G85">
        <v>0.70479499999999995</v>
      </c>
    </row>
    <row r="86" spans="6:7">
      <c r="F86" s="35">
        <v>44951</v>
      </c>
      <c r="G86">
        <v>0.71069499999999997</v>
      </c>
    </row>
    <row r="87" spans="6:7">
      <c r="F87" s="35">
        <v>44952</v>
      </c>
      <c r="G87">
        <v>0.7107</v>
      </c>
    </row>
    <row r="88" spans="6:7">
      <c r="F88" s="35">
        <v>44953</v>
      </c>
      <c r="G88">
        <v>0.71060000000000001</v>
      </c>
    </row>
    <row r="89" spans="6:7">
      <c r="F89" s="35">
        <v>44956</v>
      </c>
      <c r="G89">
        <v>0.70589999999999997</v>
      </c>
    </row>
    <row r="90" spans="6:7">
      <c r="F90" s="35">
        <v>44957</v>
      </c>
      <c r="G90">
        <v>0.7056</v>
      </c>
    </row>
    <row r="91" spans="6:7">
      <c r="F91" s="35">
        <v>44958</v>
      </c>
      <c r="G91">
        <v>0.71366499999999999</v>
      </c>
    </row>
    <row r="92" spans="6:7">
      <c r="F92" s="35">
        <v>44959</v>
      </c>
      <c r="G92">
        <v>0.70762000000000003</v>
      </c>
    </row>
    <row r="93" spans="6:7">
      <c r="F93" s="35">
        <v>44960</v>
      </c>
      <c r="G93">
        <v>0.69249000000000005</v>
      </c>
    </row>
    <row r="94" spans="6:7">
      <c r="F94" s="35">
        <v>44963</v>
      </c>
      <c r="G94">
        <v>0.68832000000000004</v>
      </c>
    </row>
    <row r="95" spans="6:7">
      <c r="F95" s="35">
        <v>44964</v>
      </c>
      <c r="G95">
        <v>0.69594500000000004</v>
      </c>
    </row>
    <row r="96" spans="6:7">
      <c r="F96" s="35">
        <v>44965</v>
      </c>
      <c r="G96">
        <v>0.69220000000000004</v>
      </c>
    </row>
    <row r="97" spans="6:7">
      <c r="F97" s="35">
        <v>44966</v>
      </c>
      <c r="G97">
        <v>0.69359000000000004</v>
      </c>
    </row>
    <row r="98" spans="6:7">
      <c r="F98" s="35">
        <v>44967</v>
      </c>
      <c r="G98">
        <v>0.69161499999999998</v>
      </c>
    </row>
    <row r="99" spans="6:7">
      <c r="F99" s="35">
        <v>44970</v>
      </c>
      <c r="G99">
        <v>0.69669999999999999</v>
      </c>
    </row>
    <row r="100" spans="6:7">
      <c r="F100" s="35">
        <v>44971</v>
      </c>
      <c r="G100">
        <v>0.69877</v>
      </c>
    </row>
    <row r="101" spans="6:7">
      <c r="F101" s="35">
        <v>44972</v>
      </c>
      <c r="G101">
        <v>0.69028500000000004</v>
      </c>
    </row>
    <row r="102" spans="6:7">
      <c r="F102" s="35">
        <v>44973</v>
      </c>
      <c r="G102">
        <v>0.68799999999999994</v>
      </c>
    </row>
    <row r="103" spans="6:7">
      <c r="F103" s="35">
        <v>44974</v>
      </c>
      <c r="G103">
        <v>0.68812499999999999</v>
      </c>
    </row>
    <row r="104" spans="6:7">
      <c r="F104" s="35">
        <v>44977</v>
      </c>
      <c r="G104">
        <v>0.69069999999999998</v>
      </c>
    </row>
    <row r="105" spans="6:7">
      <c r="F105" s="35">
        <v>44978</v>
      </c>
      <c r="G105">
        <v>0.6855</v>
      </c>
    </row>
    <row r="106" spans="6:7">
      <c r="F106" s="35">
        <v>44979</v>
      </c>
      <c r="G106">
        <v>0.68025000000000002</v>
      </c>
    </row>
    <row r="107" spans="6:7">
      <c r="F107" s="35">
        <v>44980</v>
      </c>
      <c r="G107">
        <v>0.68084999999999996</v>
      </c>
    </row>
    <row r="108" spans="6:7">
      <c r="F108" s="35">
        <v>44981</v>
      </c>
      <c r="G108">
        <v>0.67223999999999995</v>
      </c>
    </row>
    <row r="109" spans="6:7">
      <c r="F109" s="35">
        <v>44984</v>
      </c>
      <c r="G109">
        <v>0.67390000000000005</v>
      </c>
    </row>
    <row r="110" spans="6:7">
      <c r="F110" s="35">
        <v>44985</v>
      </c>
      <c r="G110">
        <v>0.67269000000000001</v>
      </c>
    </row>
    <row r="111" spans="6:7">
      <c r="F111" s="35">
        <v>44986</v>
      </c>
      <c r="G111">
        <v>0.67630000000000001</v>
      </c>
    </row>
    <row r="112" spans="6:7">
      <c r="F112" s="35">
        <v>44987</v>
      </c>
      <c r="G112">
        <v>0.67340999999999995</v>
      </c>
    </row>
    <row r="113" spans="6:7">
      <c r="F113" s="35">
        <v>44988</v>
      </c>
      <c r="G113">
        <v>0.67690499999999998</v>
      </c>
    </row>
    <row r="114" spans="6:7">
      <c r="F114" s="35">
        <v>44991</v>
      </c>
      <c r="G114">
        <v>0.67285499999999998</v>
      </c>
    </row>
    <row r="115" spans="6:7">
      <c r="F115" s="35">
        <v>44992</v>
      </c>
      <c r="G115">
        <v>0.65829499999999996</v>
      </c>
    </row>
    <row r="116" spans="6:7">
      <c r="F116" s="35">
        <v>44993</v>
      </c>
      <c r="G116">
        <v>0.65910000000000002</v>
      </c>
    </row>
    <row r="117" spans="6:7">
      <c r="F117" s="35">
        <v>44994</v>
      </c>
      <c r="G117">
        <v>0.65900499999999995</v>
      </c>
    </row>
    <row r="118" spans="6:7">
      <c r="F118" s="35">
        <v>44995</v>
      </c>
      <c r="G118">
        <v>0.657725</v>
      </c>
    </row>
    <row r="119" spans="6:7">
      <c r="F119" s="35">
        <v>44998</v>
      </c>
      <c r="G119">
        <v>0.66659999999999997</v>
      </c>
    </row>
    <row r="120" spans="6:7">
      <c r="F120" s="35">
        <v>44999</v>
      </c>
      <c r="G120">
        <v>0.66720000000000002</v>
      </c>
    </row>
    <row r="121" spans="6:7">
      <c r="F121" s="35">
        <v>45000</v>
      </c>
      <c r="G121">
        <v>0.66132500000000005</v>
      </c>
    </row>
    <row r="122" spans="6:7">
      <c r="F122" s="35">
        <v>45001</v>
      </c>
      <c r="G122">
        <v>0.66539000000000004</v>
      </c>
    </row>
    <row r="123" spans="6:7">
      <c r="F123" s="35">
        <v>45002</v>
      </c>
      <c r="G123">
        <v>0.67117000000000004</v>
      </c>
    </row>
    <row r="124" spans="6:7">
      <c r="F124" s="35">
        <v>45005</v>
      </c>
      <c r="G124">
        <v>0.67203000000000002</v>
      </c>
    </row>
    <row r="125" spans="6:7">
      <c r="F125" s="35">
        <v>45006</v>
      </c>
      <c r="G125">
        <v>0.66681999999999997</v>
      </c>
    </row>
    <row r="126" spans="6:7">
      <c r="F126" s="35">
        <v>45007</v>
      </c>
      <c r="G126">
        <v>0.66849499999999995</v>
      </c>
    </row>
    <row r="127" spans="6:7">
      <c r="F127" s="35">
        <v>45008</v>
      </c>
      <c r="G127">
        <v>0.66835999999999995</v>
      </c>
    </row>
    <row r="128" spans="6:7">
      <c r="F128" s="35">
        <v>45009</v>
      </c>
      <c r="G128">
        <v>0.66450500000000001</v>
      </c>
    </row>
    <row r="129" spans="6:7">
      <c r="F129" s="35">
        <v>45012</v>
      </c>
      <c r="G129">
        <v>0.66510999999999998</v>
      </c>
    </row>
    <row r="130" spans="6:7">
      <c r="F130" s="35">
        <v>45013</v>
      </c>
      <c r="G130">
        <v>0.67022499999999996</v>
      </c>
    </row>
    <row r="131" spans="6:7">
      <c r="F131" s="35">
        <v>45014</v>
      </c>
      <c r="G131">
        <v>0.66793999999999998</v>
      </c>
    </row>
    <row r="132" spans="6:7">
      <c r="F132" s="35">
        <v>45015</v>
      </c>
      <c r="G132">
        <v>0.67110000000000003</v>
      </c>
    </row>
    <row r="133" spans="6:7">
      <c r="F133" s="35">
        <v>45016</v>
      </c>
      <c r="G133">
        <v>0.66854999999999998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tabColor theme="1"/>
  </sheetPr>
  <dimension ref="A1"/>
  <sheetViews>
    <sheetView workbookViewId="0">
      <selection activeCell="C43" sqref="C43"/>
    </sheetView>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79998168889431442"/>
  </sheetPr>
  <dimension ref="C4:I11"/>
  <sheetViews>
    <sheetView showGridLines="0" workbookViewId="0">
      <selection activeCell="K13" sqref="K13"/>
    </sheetView>
  </sheetViews>
  <sheetFormatPr defaultRowHeight="11.25"/>
  <cols>
    <col min="1" max="2" width="9.140625" style="1" customWidth="1"/>
    <col min="3" max="8" width="6.7109375" style="1" customWidth="1"/>
    <col min="9" max="9" width="9.140625" style="1" customWidth="1"/>
    <col min="10" max="16384" width="9.140625" style="1"/>
  </cols>
  <sheetData>
    <row r="4" spans="3:9">
      <c r="C4" s="234" t="s">
        <v>1218</v>
      </c>
      <c r="D4" s="233" t="s">
        <v>1309</v>
      </c>
      <c r="E4" s="234" t="s">
        <v>1226</v>
      </c>
      <c r="F4" s="233" t="s">
        <v>1310</v>
      </c>
      <c r="G4" s="234" t="s">
        <v>1311</v>
      </c>
      <c r="H4" s="233" t="s">
        <v>1223</v>
      </c>
    </row>
    <row r="5" spans="3:9">
      <c r="C5" s="675">
        <v>144.30000000000001</v>
      </c>
      <c r="D5" s="675">
        <v>133.5</v>
      </c>
      <c r="E5" s="675">
        <v>119.5</v>
      </c>
      <c r="F5" s="675">
        <v>114.2</v>
      </c>
      <c r="G5" s="675">
        <v>85.5</v>
      </c>
      <c r="H5" s="675">
        <f>181.6-G5</f>
        <v>96.1</v>
      </c>
    </row>
    <row r="6" spans="3:9">
      <c r="C6" s="676"/>
      <c r="D6" s="676"/>
      <c r="E6" s="676"/>
      <c r="F6" s="676"/>
      <c r="G6" s="676"/>
      <c r="H6" s="676"/>
    </row>
    <row r="7" spans="3:9">
      <c r="C7" s="676"/>
      <c r="D7" s="676"/>
      <c r="E7" s="676"/>
      <c r="F7" s="676"/>
      <c r="G7" s="677" t="s">
        <v>1312</v>
      </c>
      <c r="H7" s="678">
        <f>(H5-20)/2+20</f>
        <v>58.05</v>
      </c>
    </row>
    <row r="8" spans="3:9">
      <c r="C8" s="676"/>
      <c r="D8" s="676"/>
      <c r="E8" s="676"/>
      <c r="F8" s="676"/>
      <c r="G8" s="677" t="s">
        <v>1313</v>
      </c>
      <c r="H8" s="678">
        <f>H7-20</f>
        <v>38.049999999999997</v>
      </c>
    </row>
    <row r="9" spans="3:9">
      <c r="C9" s="676"/>
      <c r="D9" s="676"/>
      <c r="E9" s="676"/>
      <c r="F9" s="676"/>
      <c r="G9" s="679"/>
      <c r="H9" s="679"/>
    </row>
    <row r="10" spans="3:9">
      <c r="C10" s="676"/>
      <c r="D10" s="676"/>
      <c r="E10" s="676"/>
      <c r="F10" s="676"/>
      <c r="G10" s="680" t="s">
        <v>1314</v>
      </c>
      <c r="H10" s="681">
        <f>H8*4</f>
        <v>152.19999999999999</v>
      </c>
      <c r="I10" s="673"/>
    </row>
    <row r="11" spans="3:9">
      <c r="C11" s="676"/>
      <c r="D11" s="676"/>
      <c r="E11" s="676"/>
      <c r="F11" s="676"/>
      <c r="G11" s="680" t="s">
        <v>1315</v>
      </c>
      <c r="H11" s="674">
        <v>197.49482860900801</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C000"/>
  </sheetPr>
  <dimension ref="A1:BY346"/>
  <sheetViews>
    <sheetView showGridLines="0" zoomScale="85" zoomScaleNormal="85" workbookViewId="0">
      <pane xSplit="2" ySplit="5" topLeftCell="C6" activePane="bottomRight" state="frozen"/>
      <selection activeCell="BB290" sqref="BB290"/>
      <selection pane="topRight" activeCell="BB290" sqref="BB290"/>
      <selection pane="bottomLeft" activeCell="BB290" sqref="BB290"/>
      <selection pane="bottomRight" activeCell="BB290" sqref="BB290"/>
    </sheetView>
  </sheetViews>
  <sheetFormatPr defaultRowHeight="12.75"/>
  <cols>
    <col min="1" max="1" width="2.7109375" style="59" customWidth="1"/>
    <col min="2" max="2" width="34.140625" style="60" bestFit="1" customWidth="1"/>
    <col min="3" max="3" width="9.140625" style="60" customWidth="1"/>
    <col min="4" max="4" width="11" style="60" bestFit="1" customWidth="1"/>
    <col min="5" max="26" width="9.28515625" style="60" bestFit="1" customWidth="1"/>
    <col min="27" max="27" width="2.7109375" style="60" customWidth="1"/>
    <col min="28" max="28" width="9.140625" style="60" customWidth="1"/>
    <col min="29" max="50" width="9.28515625" style="59" bestFit="1" customWidth="1"/>
    <col min="51" max="51" width="9.140625" style="60" customWidth="1"/>
    <col min="52" max="54" width="9.140625" style="59" customWidth="1"/>
    <col min="55" max="55" width="2.7109375" style="60" customWidth="1"/>
    <col min="56" max="77" width="9.28515625" style="59" bestFit="1" customWidth="1"/>
    <col min="78" max="78" width="9.140625" style="59" customWidth="1"/>
    <col min="79" max="16384" width="9.140625" style="59"/>
  </cols>
  <sheetData>
    <row r="1" spans="1:77">
      <c r="C1" s="59"/>
      <c r="D1" s="59"/>
      <c r="E1" s="59"/>
      <c r="F1" s="59"/>
      <c r="G1" s="59"/>
      <c r="H1" s="59"/>
      <c r="I1" s="59"/>
      <c r="J1" s="59"/>
      <c r="K1" s="59"/>
      <c r="L1" s="59"/>
      <c r="M1" s="59"/>
      <c r="N1" s="59"/>
      <c r="O1" s="59"/>
      <c r="P1" s="59"/>
      <c r="Q1" s="59"/>
      <c r="R1" s="59"/>
      <c r="S1" s="59"/>
      <c r="T1" s="59"/>
      <c r="U1" s="59"/>
      <c r="V1" s="59"/>
      <c r="W1" s="59"/>
      <c r="X1" s="59"/>
      <c r="Y1" s="59"/>
      <c r="Z1" s="59"/>
      <c r="AA1" s="59"/>
      <c r="AB1" s="59"/>
      <c r="AO1" s="59" t="str">
        <f t="shared" ref="AO1:AX1" si="0">AO2&amp;"E"</f>
        <v>1H24E</v>
      </c>
      <c r="AP1" s="59" t="str">
        <f t="shared" si="0"/>
        <v>2H24E</v>
      </c>
      <c r="AQ1" s="59" t="str">
        <f t="shared" si="0"/>
        <v>1H25E</v>
      </c>
      <c r="AR1" s="59" t="str">
        <f t="shared" si="0"/>
        <v>2H25E</v>
      </c>
      <c r="AS1" s="59" t="str">
        <f t="shared" si="0"/>
        <v>1H26E</v>
      </c>
      <c r="AT1" s="59" t="str">
        <f t="shared" si="0"/>
        <v>2H26E</v>
      </c>
      <c r="AU1" s="59" t="str">
        <f t="shared" si="0"/>
        <v>1H27E</v>
      </c>
      <c r="AV1" s="59" t="str">
        <f t="shared" si="0"/>
        <v>2H27E</v>
      </c>
      <c r="AW1" s="59" t="str">
        <f t="shared" si="0"/>
        <v>1H28E</v>
      </c>
      <c r="AX1" s="59" t="str">
        <f t="shared" si="0"/>
        <v>2H28E</v>
      </c>
      <c r="AY1" s="59"/>
      <c r="BC1" s="59"/>
      <c r="BP1" s="59" t="str">
        <f t="shared" ref="BP1:BY1" si="1">BP2&amp;"E"</f>
        <v>1H24E</v>
      </c>
      <c r="BQ1" s="59" t="str">
        <f t="shared" si="1"/>
        <v>2H24E</v>
      </c>
      <c r="BR1" s="59" t="str">
        <f t="shared" si="1"/>
        <v>1H25E</v>
      </c>
      <c r="BS1" s="59" t="str">
        <f t="shared" si="1"/>
        <v>2H25E</v>
      </c>
      <c r="BT1" s="59" t="str">
        <f t="shared" si="1"/>
        <v>1H26E</v>
      </c>
      <c r="BU1" s="59" t="str">
        <f t="shared" si="1"/>
        <v>2H26E</v>
      </c>
      <c r="BV1" s="59" t="str">
        <f t="shared" si="1"/>
        <v>1H27E</v>
      </c>
      <c r="BW1" s="59" t="str">
        <f t="shared" si="1"/>
        <v>2H27E</v>
      </c>
      <c r="BX1" s="59" t="str">
        <f t="shared" si="1"/>
        <v>1H28E</v>
      </c>
      <c r="BY1" s="59" t="str">
        <f t="shared" si="1"/>
        <v>2H28E</v>
      </c>
    </row>
    <row r="2" spans="1:77">
      <c r="B2" s="60" t="s">
        <v>1316</v>
      </c>
      <c r="C2" s="59"/>
      <c r="D2" s="59"/>
      <c r="E2" s="61" t="s">
        <v>1317</v>
      </c>
      <c r="F2" s="61" t="s">
        <v>1318</v>
      </c>
      <c r="G2" s="61" t="s">
        <v>1319</v>
      </c>
      <c r="H2" s="61" t="s">
        <v>1320</v>
      </c>
      <c r="I2" s="61" t="s">
        <v>1321</v>
      </c>
      <c r="J2" s="61" t="s">
        <v>1322</v>
      </c>
      <c r="K2" s="61" t="s">
        <v>1323</v>
      </c>
      <c r="L2" s="61" t="s">
        <v>1324</v>
      </c>
      <c r="M2" s="61" t="s">
        <v>1232</v>
      </c>
      <c r="N2" s="61" t="s">
        <v>1233</v>
      </c>
      <c r="O2" s="61" t="s">
        <v>1234</v>
      </c>
      <c r="P2" s="61" t="s">
        <v>1235</v>
      </c>
      <c r="Q2" s="61" t="s">
        <v>1236</v>
      </c>
      <c r="R2" s="61" t="s">
        <v>1237</v>
      </c>
      <c r="S2" s="61" t="s">
        <v>1231</v>
      </c>
      <c r="T2" s="61" t="s">
        <v>1238</v>
      </c>
      <c r="U2" s="61" t="s">
        <v>1239</v>
      </c>
      <c r="V2" s="61" t="s">
        <v>1240</v>
      </c>
      <c r="W2" s="61" t="s">
        <v>1241</v>
      </c>
      <c r="X2" s="61" t="s">
        <v>1242</v>
      </c>
      <c r="Y2" s="61" t="s">
        <v>1325</v>
      </c>
      <c r="Z2" s="61" t="s">
        <v>1326</v>
      </c>
      <c r="AA2" s="59"/>
      <c r="AB2" s="59"/>
      <c r="AC2" s="61" t="s">
        <v>1317</v>
      </c>
      <c r="AD2" s="61" t="s">
        <v>1318</v>
      </c>
      <c r="AE2" s="61" t="s">
        <v>1319</v>
      </c>
      <c r="AF2" s="61" t="s">
        <v>1320</v>
      </c>
      <c r="AG2" s="61" t="s">
        <v>1321</v>
      </c>
      <c r="AH2" s="61" t="s">
        <v>1322</v>
      </c>
      <c r="AI2" s="61" t="s">
        <v>1323</v>
      </c>
      <c r="AJ2" s="61" t="s">
        <v>1324</v>
      </c>
      <c r="AK2" s="61" t="s">
        <v>1232</v>
      </c>
      <c r="AL2" s="61" t="s">
        <v>1233</v>
      </c>
      <c r="AM2" s="61" t="s">
        <v>1234</v>
      </c>
      <c r="AN2" s="61" t="s">
        <v>1235</v>
      </c>
      <c r="AO2" s="61" t="s">
        <v>1236</v>
      </c>
      <c r="AP2" s="61" t="s">
        <v>1237</v>
      </c>
      <c r="AQ2" s="61" t="s">
        <v>1231</v>
      </c>
      <c r="AR2" s="61" t="s">
        <v>1238</v>
      </c>
      <c r="AS2" s="61" t="s">
        <v>1239</v>
      </c>
      <c r="AT2" s="61" t="s">
        <v>1240</v>
      </c>
      <c r="AU2" s="61" t="s">
        <v>1241</v>
      </c>
      <c r="AV2" s="61" t="s">
        <v>1242</v>
      </c>
      <c r="AW2" s="61" t="s">
        <v>1325</v>
      </c>
      <c r="AX2" s="61" t="s">
        <v>1326</v>
      </c>
      <c r="AY2" s="59"/>
      <c r="BC2" s="59"/>
      <c r="BD2" s="61" t="s">
        <v>1317</v>
      </c>
      <c r="BE2" s="61" t="s">
        <v>1318</v>
      </c>
      <c r="BF2" s="61" t="s">
        <v>1319</v>
      </c>
      <c r="BG2" s="61" t="s">
        <v>1320</v>
      </c>
      <c r="BH2" s="61" t="s">
        <v>1321</v>
      </c>
      <c r="BI2" s="61" t="s">
        <v>1322</v>
      </c>
      <c r="BJ2" s="61" t="s">
        <v>1323</v>
      </c>
      <c r="BK2" s="61" t="s">
        <v>1324</v>
      </c>
      <c r="BL2" s="61" t="s">
        <v>1232</v>
      </c>
      <c r="BM2" s="61" t="s">
        <v>1233</v>
      </c>
      <c r="BN2" s="61" t="s">
        <v>1234</v>
      </c>
      <c r="BO2" s="61" t="s">
        <v>1235</v>
      </c>
      <c r="BP2" s="61" t="s">
        <v>1236</v>
      </c>
      <c r="BQ2" s="61" t="s">
        <v>1237</v>
      </c>
      <c r="BR2" s="61" t="s">
        <v>1231</v>
      </c>
      <c r="BS2" s="61" t="s">
        <v>1238</v>
      </c>
      <c r="BT2" s="61" t="s">
        <v>1239</v>
      </c>
      <c r="BU2" s="61" t="s">
        <v>1240</v>
      </c>
      <c r="BV2" s="61" t="s">
        <v>1241</v>
      </c>
      <c r="BW2" s="61" t="s">
        <v>1242</v>
      </c>
      <c r="BX2" s="61" t="s">
        <v>1325</v>
      </c>
      <c r="BY2" s="61" t="s">
        <v>1326</v>
      </c>
    </row>
    <row r="3" spans="1:77">
      <c r="B3" s="62" t="s">
        <v>1327</v>
      </c>
      <c r="C3" s="62"/>
      <c r="D3" s="62"/>
      <c r="E3" s="62"/>
      <c r="F3" s="62"/>
      <c r="G3" s="62"/>
      <c r="H3" s="62"/>
      <c r="I3" s="62"/>
      <c r="J3" s="62"/>
      <c r="K3" s="62"/>
      <c r="L3" s="62"/>
      <c r="M3" s="62"/>
      <c r="N3" s="62"/>
      <c r="O3" s="62"/>
      <c r="P3" s="62"/>
      <c r="Q3" s="59"/>
      <c r="R3" s="59"/>
      <c r="S3" s="59"/>
      <c r="T3" s="59"/>
      <c r="U3" s="59"/>
      <c r="V3" s="59"/>
      <c r="W3" s="59"/>
      <c r="X3" s="59"/>
      <c r="Y3" s="59"/>
      <c r="Z3" s="59"/>
      <c r="AA3" s="62"/>
      <c r="AB3" s="62"/>
      <c r="AC3" s="62"/>
      <c r="AD3" s="62"/>
      <c r="AE3" s="62"/>
      <c r="AF3" s="62"/>
      <c r="AG3" s="62"/>
      <c r="AH3" s="62"/>
      <c r="AI3" s="62"/>
      <c r="AJ3" s="62"/>
      <c r="AK3" s="62"/>
      <c r="AL3" s="62"/>
      <c r="AM3" s="62"/>
      <c r="AN3" s="62"/>
      <c r="AY3" s="62"/>
      <c r="AZ3" s="62"/>
      <c r="BA3" s="62"/>
      <c r="BB3" s="62"/>
      <c r="BC3" s="62"/>
      <c r="BD3" s="62"/>
      <c r="BE3" s="62"/>
      <c r="BF3" s="62"/>
      <c r="BG3" s="62"/>
      <c r="BH3" s="62"/>
      <c r="BI3" s="62"/>
      <c r="BJ3" s="62"/>
      <c r="BK3" s="62"/>
      <c r="BL3" s="62"/>
      <c r="BM3" s="62"/>
      <c r="BN3" s="62"/>
      <c r="BO3" s="62"/>
    </row>
    <row r="4" spans="1:77">
      <c r="B4" s="63" t="s">
        <v>1328</v>
      </c>
      <c r="C4" s="63" t="s">
        <v>1329</v>
      </c>
      <c r="D4" s="63"/>
      <c r="E4" s="63" t="s">
        <v>1330</v>
      </c>
      <c r="F4" s="63" t="s">
        <v>1331</v>
      </c>
      <c r="G4" s="63" t="s">
        <v>1332</v>
      </c>
      <c r="H4" s="63" t="s">
        <v>1333</v>
      </c>
      <c r="I4" s="63" t="s">
        <v>1334</v>
      </c>
      <c r="J4" s="63" t="s">
        <v>1335</v>
      </c>
      <c r="K4" s="63" t="s">
        <v>1336</v>
      </c>
      <c r="L4" s="63" t="s">
        <v>1337</v>
      </c>
      <c r="M4" s="63" t="s">
        <v>1214</v>
      </c>
      <c r="N4" s="63" t="s">
        <v>1215</v>
      </c>
      <c r="O4" s="63" t="s">
        <v>1216</v>
      </c>
      <c r="P4" s="63" t="s">
        <v>1217</v>
      </c>
      <c r="Q4" s="64" t="s">
        <v>1338</v>
      </c>
      <c r="R4" s="64" t="s">
        <v>1219</v>
      </c>
      <c r="S4" s="64" t="s">
        <v>1220</v>
      </c>
      <c r="T4" s="64" t="s">
        <v>1221</v>
      </c>
      <c r="U4" s="64" t="s">
        <v>1222</v>
      </c>
      <c r="V4" s="64" t="s">
        <v>1223</v>
      </c>
      <c r="W4" s="64" t="s">
        <v>1224</v>
      </c>
      <c r="X4" s="64" t="s">
        <v>1225</v>
      </c>
      <c r="Y4" s="64" t="s">
        <v>1339</v>
      </c>
      <c r="Z4" s="64" t="s">
        <v>1340</v>
      </c>
      <c r="AA4" s="65"/>
      <c r="AB4" s="66"/>
      <c r="AC4" s="63" t="s">
        <v>1330</v>
      </c>
      <c r="AD4" s="63" t="s">
        <v>1331</v>
      </c>
      <c r="AE4" s="63" t="s">
        <v>1332</v>
      </c>
      <c r="AF4" s="63" t="s">
        <v>1333</v>
      </c>
      <c r="AG4" s="63" t="s">
        <v>1334</v>
      </c>
      <c r="AH4" s="63" t="s">
        <v>1335</v>
      </c>
      <c r="AI4" s="63" t="s">
        <v>1336</v>
      </c>
      <c r="AJ4" s="63" t="s">
        <v>1337</v>
      </c>
      <c r="AK4" s="63" t="s">
        <v>1214</v>
      </c>
      <c r="AL4" s="63" t="s">
        <v>1215</v>
      </c>
      <c r="AM4" s="63" t="s">
        <v>1216</v>
      </c>
      <c r="AN4" s="63" t="s">
        <v>1217</v>
      </c>
      <c r="AO4" s="64" t="s">
        <v>1338</v>
      </c>
      <c r="AP4" s="64" t="s">
        <v>1219</v>
      </c>
      <c r="AQ4" s="64" t="s">
        <v>1220</v>
      </c>
      <c r="AR4" s="64" t="s">
        <v>1221</v>
      </c>
      <c r="AS4" s="64" t="s">
        <v>1222</v>
      </c>
      <c r="AT4" s="64" t="s">
        <v>1223</v>
      </c>
      <c r="AU4" s="64" t="s">
        <v>1224</v>
      </c>
      <c r="AV4" s="64" t="s">
        <v>1225</v>
      </c>
      <c r="AW4" s="64" t="s">
        <v>1339</v>
      </c>
      <c r="AX4" s="64" t="s">
        <v>1340</v>
      </c>
      <c r="AY4" s="66"/>
      <c r="AZ4" s="67"/>
      <c r="BA4" s="67"/>
      <c r="BB4" s="67"/>
      <c r="BC4" s="66"/>
      <c r="BD4" s="63" t="s">
        <v>1330</v>
      </c>
      <c r="BE4" s="63" t="s">
        <v>1331</v>
      </c>
      <c r="BF4" s="63" t="s">
        <v>1332</v>
      </c>
      <c r="BG4" s="63" t="s">
        <v>1333</v>
      </c>
      <c r="BH4" s="63" t="s">
        <v>1334</v>
      </c>
      <c r="BI4" s="63" t="s">
        <v>1335</v>
      </c>
      <c r="BJ4" s="63" t="s">
        <v>1336</v>
      </c>
      <c r="BK4" s="63" t="s">
        <v>1337</v>
      </c>
      <c r="BL4" s="63" t="s">
        <v>1214</v>
      </c>
      <c r="BM4" s="63" t="s">
        <v>1215</v>
      </c>
      <c r="BN4" s="63" t="s">
        <v>1216</v>
      </c>
      <c r="BO4" s="63" t="s">
        <v>1217</v>
      </c>
      <c r="BP4" s="64" t="s">
        <v>1338</v>
      </c>
      <c r="BQ4" s="64" t="s">
        <v>1219</v>
      </c>
      <c r="BR4" s="64" t="s">
        <v>1220</v>
      </c>
      <c r="BS4" s="64" t="s">
        <v>1221</v>
      </c>
      <c r="BT4" s="64" t="s">
        <v>1222</v>
      </c>
      <c r="BU4" s="64" t="s">
        <v>1223</v>
      </c>
      <c r="BV4" s="64" t="s">
        <v>1224</v>
      </c>
      <c r="BW4" s="64" t="s">
        <v>1225</v>
      </c>
      <c r="BX4" s="64" t="s">
        <v>1339</v>
      </c>
      <c r="BY4" s="64" t="s">
        <v>1340</v>
      </c>
    </row>
    <row r="5" spans="1:77">
      <c r="B5" s="68" t="s">
        <v>1341</v>
      </c>
      <c r="C5" s="68"/>
      <c r="D5" s="68"/>
      <c r="E5" s="69">
        <v>43100</v>
      </c>
      <c r="F5" s="69">
        <f t="shared" ref="F5:Z5" si="2">EOMONTH(E5,6)</f>
        <v>43281</v>
      </c>
      <c r="G5" s="69">
        <f t="shared" si="2"/>
        <v>43465</v>
      </c>
      <c r="H5" s="69">
        <f t="shared" si="2"/>
        <v>43646</v>
      </c>
      <c r="I5" s="69">
        <f t="shared" si="2"/>
        <v>43830</v>
      </c>
      <c r="J5" s="69">
        <f t="shared" si="2"/>
        <v>44012</v>
      </c>
      <c r="K5" s="69">
        <f t="shared" si="2"/>
        <v>44196</v>
      </c>
      <c r="L5" s="69">
        <f t="shared" si="2"/>
        <v>44377</v>
      </c>
      <c r="M5" s="69">
        <f t="shared" si="2"/>
        <v>44561</v>
      </c>
      <c r="N5" s="69">
        <f t="shared" si="2"/>
        <v>44742</v>
      </c>
      <c r="O5" s="69">
        <f t="shared" si="2"/>
        <v>44926</v>
      </c>
      <c r="P5" s="69">
        <f t="shared" si="2"/>
        <v>45107</v>
      </c>
      <c r="Q5" s="69">
        <f t="shared" si="2"/>
        <v>45291</v>
      </c>
      <c r="R5" s="69">
        <f t="shared" si="2"/>
        <v>45473</v>
      </c>
      <c r="S5" s="69">
        <f t="shared" si="2"/>
        <v>45657</v>
      </c>
      <c r="T5" s="69">
        <f t="shared" si="2"/>
        <v>45838</v>
      </c>
      <c r="U5" s="69">
        <f t="shared" si="2"/>
        <v>46022</v>
      </c>
      <c r="V5" s="69">
        <f t="shared" si="2"/>
        <v>46203</v>
      </c>
      <c r="W5" s="69">
        <f t="shared" si="2"/>
        <v>46387</v>
      </c>
      <c r="X5" s="69">
        <f t="shared" si="2"/>
        <v>46568</v>
      </c>
      <c r="Y5" s="69">
        <f t="shared" si="2"/>
        <v>46752</v>
      </c>
      <c r="Z5" s="69">
        <f t="shared" si="2"/>
        <v>46934</v>
      </c>
      <c r="AA5" s="68"/>
      <c r="AB5" s="70"/>
      <c r="AC5" s="69">
        <v>43100</v>
      </c>
      <c r="AD5" s="69">
        <f t="shared" ref="AD5:AX5" si="3">EOMONTH(AC5,6)</f>
        <v>43281</v>
      </c>
      <c r="AE5" s="69">
        <f t="shared" si="3"/>
        <v>43465</v>
      </c>
      <c r="AF5" s="69">
        <f t="shared" si="3"/>
        <v>43646</v>
      </c>
      <c r="AG5" s="69">
        <f t="shared" si="3"/>
        <v>43830</v>
      </c>
      <c r="AH5" s="69">
        <f t="shared" si="3"/>
        <v>44012</v>
      </c>
      <c r="AI5" s="69">
        <f t="shared" si="3"/>
        <v>44196</v>
      </c>
      <c r="AJ5" s="69">
        <f t="shared" si="3"/>
        <v>44377</v>
      </c>
      <c r="AK5" s="69">
        <f t="shared" si="3"/>
        <v>44561</v>
      </c>
      <c r="AL5" s="69">
        <f t="shared" si="3"/>
        <v>44742</v>
      </c>
      <c r="AM5" s="69">
        <f t="shared" si="3"/>
        <v>44926</v>
      </c>
      <c r="AN5" s="69">
        <f t="shared" si="3"/>
        <v>45107</v>
      </c>
      <c r="AO5" s="69">
        <f t="shared" si="3"/>
        <v>45291</v>
      </c>
      <c r="AP5" s="69">
        <f t="shared" si="3"/>
        <v>45473</v>
      </c>
      <c r="AQ5" s="69">
        <f t="shared" si="3"/>
        <v>45657</v>
      </c>
      <c r="AR5" s="69">
        <f t="shared" si="3"/>
        <v>45838</v>
      </c>
      <c r="AS5" s="69">
        <f t="shared" si="3"/>
        <v>46022</v>
      </c>
      <c r="AT5" s="69">
        <f t="shared" si="3"/>
        <v>46203</v>
      </c>
      <c r="AU5" s="69">
        <f t="shared" si="3"/>
        <v>46387</v>
      </c>
      <c r="AV5" s="69">
        <f t="shared" si="3"/>
        <v>46568</v>
      </c>
      <c r="AW5" s="69">
        <f t="shared" si="3"/>
        <v>46752</v>
      </c>
      <c r="AX5" s="69">
        <f t="shared" si="3"/>
        <v>46934</v>
      </c>
      <c r="AY5" s="70"/>
      <c r="AZ5" s="67"/>
      <c r="BA5" s="67"/>
      <c r="BB5" s="67"/>
      <c r="BC5" s="70"/>
      <c r="BD5" s="69">
        <v>43100</v>
      </c>
      <c r="BE5" s="69">
        <f t="shared" ref="BE5:BY5" si="4">EOMONTH(BD5,6)</f>
        <v>43281</v>
      </c>
      <c r="BF5" s="69">
        <f t="shared" si="4"/>
        <v>43465</v>
      </c>
      <c r="BG5" s="69">
        <f t="shared" si="4"/>
        <v>43646</v>
      </c>
      <c r="BH5" s="69">
        <f t="shared" si="4"/>
        <v>43830</v>
      </c>
      <c r="BI5" s="69">
        <f t="shared" si="4"/>
        <v>44012</v>
      </c>
      <c r="BJ5" s="69">
        <f t="shared" si="4"/>
        <v>44196</v>
      </c>
      <c r="BK5" s="69">
        <f t="shared" si="4"/>
        <v>44377</v>
      </c>
      <c r="BL5" s="69">
        <f t="shared" si="4"/>
        <v>44561</v>
      </c>
      <c r="BM5" s="69">
        <f t="shared" si="4"/>
        <v>44742</v>
      </c>
      <c r="BN5" s="69">
        <f t="shared" si="4"/>
        <v>44926</v>
      </c>
      <c r="BO5" s="69">
        <f t="shared" si="4"/>
        <v>45107</v>
      </c>
      <c r="BP5" s="69">
        <f t="shared" si="4"/>
        <v>45291</v>
      </c>
      <c r="BQ5" s="69">
        <f t="shared" si="4"/>
        <v>45473</v>
      </c>
      <c r="BR5" s="69">
        <f t="shared" si="4"/>
        <v>45657</v>
      </c>
      <c r="BS5" s="69">
        <f t="shared" si="4"/>
        <v>45838</v>
      </c>
      <c r="BT5" s="69">
        <f t="shared" si="4"/>
        <v>46022</v>
      </c>
      <c r="BU5" s="69">
        <f t="shared" si="4"/>
        <v>46203</v>
      </c>
      <c r="BV5" s="69">
        <f t="shared" si="4"/>
        <v>46387</v>
      </c>
      <c r="BW5" s="69">
        <f t="shared" si="4"/>
        <v>46568</v>
      </c>
      <c r="BX5" s="69">
        <f t="shared" si="4"/>
        <v>46752</v>
      </c>
      <c r="BY5" s="69">
        <f t="shared" si="4"/>
        <v>46934</v>
      </c>
    </row>
    <row r="6" spans="1:77">
      <c r="B6" s="71"/>
      <c r="C6" s="72"/>
      <c r="D6" s="72"/>
      <c r="E6" s="72"/>
      <c r="F6" s="72"/>
      <c r="G6" s="72"/>
      <c r="H6" s="72"/>
      <c r="I6" s="72"/>
      <c r="J6" s="72"/>
      <c r="K6" s="72"/>
      <c r="L6" s="72"/>
      <c r="M6" s="72"/>
      <c r="N6" s="72"/>
      <c r="O6" s="72"/>
      <c r="P6" s="72"/>
      <c r="Q6" s="72"/>
      <c r="R6" s="72"/>
      <c r="S6" s="72"/>
      <c r="T6" s="72"/>
      <c r="U6" s="72"/>
      <c r="V6" s="72"/>
      <c r="W6" s="72"/>
      <c r="X6" s="72"/>
      <c r="Y6" s="72"/>
      <c r="Z6" s="72"/>
      <c r="AA6" s="72"/>
      <c r="AB6" s="72"/>
      <c r="AC6" s="67"/>
      <c r="AD6" s="67"/>
      <c r="AE6" s="67"/>
      <c r="AF6" s="72"/>
      <c r="AG6" s="67"/>
      <c r="AH6" s="67"/>
      <c r="AI6" s="67"/>
      <c r="AJ6" s="72"/>
      <c r="AK6" s="67"/>
      <c r="AL6" s="67"/>
      <c r="AM6" s="67"/>
      <c r="AN6" s="67"/>
      <c r="AO6" s="67"/>
      <c r="AP6" s="67"/>
      <c r="AQ6" s="67"/>
      <c r="AR6" s="67"/>
      <c r="AS6" s="67"/>
      <c r="AT6" s="67"/>
      <c r="AU6" s="67"/>
      <c r="AV6" s="67"/>
      <c r="AW6" s="67"/>
      <c r="AX6" s="67"/>
      <c r="AY6" s="72"/>
      <c r="AZ6" s="67"/>
      <c r="BA6" s="67"/>
      <c r="BB6" s="67"/>
      <c r="BC6" s="72"/>
      <c r="BD6" s="67"/>
      <c r="BE6" s="67"/>
      <c r="BF6" s="67"/>
      <c r="BG6" s="72"/>
      <c r="BH6" s="67"/>
      <c r="BI6" s="67"/>
      <c r="BJ6" s="67"/>
      <c r="BK6" s="72"/>
      <c r="BL6" s="67"/>
      <c r="BM6" s="67"/>
      <c r="BN6" s="67"/>
      <c r="BO6" s="67"/>
      <c r="BP6" s="67"/>
      <c r="BQ6" s="67"/>
      <c r="BR6" s="67"/>
      <c r="BS6" s="67"/>
      <c r="BT6" s="67"/>
      <c r="BU6" s="67"/>
      <c r="BV6" s="67"/>
      <c r="BW6" s="67"/>
      <c r="BX6" s="67"/>
      <c r="BY6" s="67"/>
    </row>
    <row r="7" spans="1:77">
      <c r="B7" s="74"/>
      <c r="C7" s="72"/>
      <c r="D7" s="72"/>
      <c r="E7" s="75"/>
      <c r="F7" s="75"/>
      <c r="G7" s="75"/>
      <c r="H7" s="75"/>
      <c r="I7" s="75"/>
      <c r="J7" s="75"/>
      <c r="K7" s="75"/>
      <c r="L7" s="75"/>
      <c r="M7" s="75"/>
      <c r="N7" s="75"/>
      <c r="O7" s="75"/>
      <c r="P7" s="75"/>
      <c r="Q7" s="75"/>
      <c r="R7" s="75"/>
      <c r="S7" s="75"/>
      <c r="T7" s="75"/>
      <c r="U7" s="75"/>
      <c r="V7" s="75"/>
      <c r="W7" s="75"/>
      <c r="X7" s="75"/>
      <c r="Y7" s="75"/>
      <c r="Z7" s="75"/>
      <c r="AA7" s="72"/>
      <c r="AB7" s="76"/>
      <c r="AC7" s="221"/>
      <c r="AD7" s="221"/>
      <c r="AE7" s="221"/>
      <c r="AF7" s="221"/>
      <c r="AG7" s="221"/>
      <c r="AH7" s="221"/>
      <c r="AI7" s="221"/>
      <c r="AJ7" s="221"/>
      <c r="AK7" s="221"/>
      <c r="AL7" s="221"/>
      <c r="AM7" s="221"/>
      <c r="AN7" s="221"/>
      <c r="AO7" s="221"/>
      <c r="AP7" s="221"/>
      <c r="AQ7" s="221"/>
      <c r="AR7" s="221"/>
      <c r="AS7" s="221"/>
      <c r="AT7" s="221"/>
      <c r="AU7" s="221"/>
      <c r="AV7" s="221"/>
      <c r="AW7" s="221"/>
      <c r="AX7" s="221"/>
      <c r="AY7" s="76"/>
      <c r="AZ7" s="77"/>
      <c r="BA7" s="77"/>
      <c r="BB7" s="78"/>
      <c r="BC7" s="76"/>
      <c r="BD7" s="221"/>
      <c r="BE7" s="221"/>
      <c r="BF7" s="221"/>
      <c r="BG7" s="221"/>
      <c r="BH7" s="221"/>
      <c r="BI7" s="221"/>
      <c r="BJ7" s="221"/>
      <c r="BK7" s="221"/>
      <c r="BL7" s="221"/>
      <c r="BM7" s="221"/>
      <c r="BN7" s="221"/>
      <c r="BO7" s="221"/>
      <c r="BP7" s="221"/>
      <c r="BQ7" s="221"/>
      <c r="BR7" s="221"/>
      <c r="BS7" s="221"/>
      <c r="BT7" s="221"/>
      <c r="BU7" s="221"/>
      <c r="BV7" s="221"/>
      <c r="BW7" s="221"/>
      <c r="BX7" s="221"/>
      <c r="BY7" s="221"/>
    </row>
    <row r="8" spans="1:77">
      <c r="A8" s="229"/>
      <c r="B8" s="229" t="s">
        <v>117</v>
      </c>
      <c r="C8" s="230"/>
      <c r="D8" s="230"/>
      <c r="E8" s="230"/>
      <c r="F8" s="230"/>
      <c r="G8" s="230"/>
      <c r="H8" s="230"/>
      <c r="I8" s="230"/>
      <c r="J8" s="230"/>
      <c r="K8" s="230"/>
      <c r="L8" s="230"/>
      <c r="M8" s="230"/>
      <c r="N8" s="230"/>
      <c r="O8" s="230"/>
      <c r="P8" s="230"/>
      <c r="Q8" s="230"/>
      <c r="R8" s="230"/>
      <c r="S8" s="230"/>
      <c r="T8" s="230"/>
      <c r="U8" s="230"/>
      <c r="V8" s="230"/>
      <c r="W8" s="230"/>
      <c r="X8" s="230"/>
      <c r="Y8" s="230"/>
      <c r="Z8" s="230"/>
      <c r="AA8" s="72"/>
      <c r="AB8" s="72"/>
      <c r="AC8" s="67"/>
      <c r="AD8" s="67"/>
      <c r="AE8" s="67"/>
      <c r="AF8" s="72"/>
      <c r="AG8" s="67"/>
      <c r="AH8" s="67"/>
      <c r="AI8" s="67"/>
      <c r="AJ8" s="72"/>
      <c r="AK8" s="67"/>
      <c r="AL8" s="67"/>
      <c r="AM8" s="67"/>
      <c r="AN8" s="67"/>
      <c r="AO8" s="67"/>
      <c r="AP8" s="67"/>
      <c r="AQ8" s="67"/>
      <c r="AR8" s="67"/>
      <c r="AS8" s="67"/>
      <c r="AT8" s="67"/>
      <c r="AU8" s="67"/>
      <c r="AV8" s="67"/>
      <c r="AW8" s="67"/>
      <c r="AX8" s="67"/>
      <c r="AY8" s="72"/>
      <c r="AZ8" s="67"/>
      <c r="BA8" s="67"/>
      <c r="BB8" s="67"/>
      <c r="BC8" s="72"/>
      <c r="BD8" s="67"/>
      <c r="BE8" s="67"/>
      <c r="BF8" s="67"/>
      <c r="BG8" s="72"/>
      <c r="BH8" s="67"/>
      <c r="BI8" s="67"/>
      <c r="BJ8" s="67"/>
      <c r="BK8" s="72"/>
      <c r="BL8" s="67"/>
      <c r="BM8" s="67"/>
      <c r="BN8" s="67"/>
      <c r="BO8" s="67"/>
      <c r="BP8" s="67"/>
      <c r="BQ8" s="67"/>
      <c r="BR8" s="67"/>
      <c r="BS8" s="67"/>
      <c r="BT8" s="67"/>
      <c r="BU8" s="67"/>
      <c r="BV8" s="67"/>
      <c r="BW8" s="67"/>
      <c r="BX8" s="67"/>
      <c r="BY8" s="67"/>
    </row>
    <row r="9" spans="1:77">
      <c r="B9" s="73"/>
      <c r="C9" s="72"/>
      <c r="D9" s="72"/>
      <c r="E9" s="72"/>
      <c r="F9" s="72"/>
      <c r="G9" s="72"/>
      <c r="H9" s="72"/>
      <c r="I9" s="72"/>
      <c r="J9" s="72"/>
      <c r="K9" s="72"/>
      <c r="L9" s="72"/>
      <c r="M9" s="72"/>
      <c r="N9" s="72"/>
      <c r="O9" s="72"/>
      <c r="P9" s="72"/>
      <c r="Q9" s="72"/>
      <c r="R9" s="72"/>
      <c r="S9" s="72"/>
      <c r="T9" s="72"/>
      <c r="U9" s="72"/>
      <c r="V9" s="72"/>
      <c r="W9" s="72"/>
      <c r="X9" s="72"/>
      <c r="Y9" s="72"/>
      <c r="Z9" s="72"/>
      <c r="AA9" s="72"/>
      <c r="AB9" s="72"/>
      <c r="AC9" s="67"/>
      <c r="AD9" s="67"/>
      <c r="AE9" s="67"/>
      <c r="AF9" s="72"/>
      <c r="AG9" s="67"/>
      <c r="AH9" s="67"/>
      <c r="AI9" s="67"/>
      <c r="AJ9" s="72"/>
      <c r="AK9" s="67"/>
      <c r="AL9" s="67"/>
      <c r="AM9" s="67"/>
      <c r="AN9" s="67"/>
      <c r="AO9" s="67"/>
      <c r="AP9" s="67"/>
      <c r="AQ9" s="67"/>
      <c r="AR9" s="67"/>
      <c r="AS9" s="67"/>
      <c r="AT9" s="67"/>
      <c r="AU9" s="67"/>
      <c r="AV9" s="67"/>
      <c r="AW9" s="67"/>
      <c r="AX9" s="67"/>
      <c r="AY9" s="72"/>
      <c r="AZ9" s="67"/>
      <c r="BA9" s="67"/>
      <c r="BB9" s="67"/>
      <c r="BC9" s="72"/>
      <c r="BD9" s="67"/>
      <c r="BE9" s="67"/>
      <c r="BF9" s="67"/>
      <c r="BG9" s="72"/>
      <c r="BH9" s="67"/>
      <c r="BI9" s="67"/>
      <c r="BJ9" s="67"/>
      <c r="BK9" s="72"/>
      <c r="BL9" s="67"/>
      <c r="BM9" s="67"/>
      <c r="BN9" s="67"/>
      <c r="BO9" s="67"/>
      <c r="BP9" s="67"/>
      <c r="BQ9" s="67"/>
      <c r="BR9" s="67"/>
      <c r="BS9" s="67"/>
      <c r="BT9" s="67"/>
      <c r="BU9" s="67"/>
      <c r="BV9" s="67"/>
      <c r="BW9" s="67"/>
      <c r="BX9" s="67"/>
      <c r="BY9" s="67"/>
    </row>
    <row r="10" spans="1:77">
      <c r="B10" s="74" t="str">
        <f>BA10</f>
        <v>Total revenue - Domestic - Auckland</v>
      </c>
      <c r="C10" s="72" t="s">
        <v>72</v>
      </c>
      <c r="D10" s="224" t="s">
        <v>1342</v>
      </c>
      <c r="E10" s="223">
        <f t="shared" ref="E10:Z10" si="5">AC10</f>
        <v>289.9848702298118</v>
      </c>
      <c r="F10" s="223">
        <f t="shared" si="5"/>
        <v>294.66517789292158</v>
      </c>
      <c r="G10" s="223">
        <f t="shared" si="5"/>
        <v>307.78235705474458</v>
      </c>
      <c r="H10" s="223">
        <f t="shared" si="5"/>
        <v>298.86533130446497</v>
      </c>
      <c r="I10" s="223">
        <f t="shared" si="5"/>
        <v>305.60000000000002</v>
      </c>
      <c r="J10" s="223">
        <f t="shared" si="5"/>
        <v>191.7</v>
      </c>
      <c r="K10" s="223">
        <f t="shared" si="5"/>
        <v>230.8</v>
      </c>
      <c r="L10" s="223">
        <f t="shared" si="5"/>
        <v>257.4420235135342</v>
      </c>
      <c r="M10" s="223">
        <f t="shared" si="5"/>
        <v>118.5</v>
      </c>
      <c r="N10" s="223">
        <f t="shared" si="5"/>
        <v>212.1</v>
      </c>
      <c r="O10" s="223">
        <f t="shared" si="5"/>
        <v>280.89999999999998</v>
      </c>
      <c r="P10" s="223">
        <f t="shared" si="5"/>
        <v>287.89999999999998</v>
      </c>
      <c r="Q10" s="223">
        <f t="shared" si="5"/>
        <v>300.02114954312219</v>
      </c>
      <c r="R10" s="223">
        <f t="shared" si="5"/>
        <v>303.83159195787852</v>
      </c>
      <c r="S10" s="223">
        <f t="shared" si="5"/>
        <v>323.9310458053352</v>
      </c>
      <c r="T10" s="223">
        <f t="shared" si="5"/>
        <v>319.55917560699481</v>
      </c>
      <c r="U10" s="223">
        <f t="shared" si="5"/>
        <v>337.41023651851901</v>
      </c>
      <c r="V10" s="223">
        <f t="shared" si="5"/>
        <v>331.6835938050553</v>
      </c>
      <c r="W10" s="223">
        <f t="shared" si="5"/>
        <v>347.0535865375</v>
      </c>
      <c r="X10" s="223">
        <f t="shared" si="5"/>
        <v>339.73389521525502</v>
      </c>
      <c r="Y10" s="223">
        <f t="shared" si="5"/>
        <v>356.13236812666003</v>
      </c>
      <c r="Z10" s="223">
        <f t="shared" si="5"/>
        <v>349.29740687516698</v>
      </c>
      <c r="AA10" s="72"/>
      <c r="AB10" s="76"/>
      <c r="AC10" s="222">
        <v>289.9848702298118</v>
      </c>
      <c r="AD10" s="222">
        <v>294.66517789292158</v>
      </c>
      <c r="AE10" s="222">
        <v>307.78235705474458</v>
      </c>
      <c r="AF10" s="222">
        <v>298.86533130446497</v>
      </c>
      <c r="AG10" s="222">
        <v>305.60000000000002</v>
      </c>
      <c r="AH10" s="222">
        <v>191.7</v>
      </c>
      <c r="AI10" s="222">
        <v>230.8</v>
      </c>
      <c r="AJ10" s="222">
        <v>257.4420235135342</v>
      </c>
      <c r="AK10" s="222">
        <v>118.5</v>
      </c>
      <c r="AL10" s="222">
        <v>212.1</v>
      </c>
      <c r="AM10" s="222">
        <v>280.89999999999998</v>
      </c>
      <c r="AN10" s="222">
        <v>287.89999999999998</v>
      </c>
      <c r="AO10" s="222">
        <v>300.02114954312219</v>
      </c>
      <c r="AP10" s="222">
        <v>303.83159195787852</v>
      </c>
      <c r="AQ10" s="222">
        <v>323.9310458053352</v>
      </c>
      <c r="AR10" s="222">
        <v>319.55917560699481</v>
      </c>
      <c r="AS10" s="222">
        <v>337.41023651851901</v>
      </c>
      <c r="AT10" s="222">
        <v>331.6835938050553</v>
      </c>
      <c r="AU10" s="222">
        <v>347.0535865375</v>
      </c>
      <c r="AV10" s="222">
        <v>339.73389521525502</v>
      </c>
      <c r="AW10" s="222">
        <v>356.13236812666003</v>
      </c>
      <c r="AX10" s="222">
        <v>349.29740687516698</v>
      </c>
      <c r="AY10" s="76"/>
      <c r="AZ10" s="77" t="s">
        <v>1259</v>
      </c>
      <c r="BA10" s="77" t="s">
        <v>1276</v>
      </c>
      <c r="BB10" s="78" t="s">
        <v>1261</v>
      </c>
      <c r="BC10" s="76"/>
      <c r="BD10" s="79">
        <f>_xll.VAData($AZ10,BD$2,$BA10,$BB10)</f>
        <v>283.26260952639524</v>
      </c>
      <c r="BE10" s="79">
        <f>_xll.VAData($AZ10,BE$2,$BA10,$BB10)</f>
        <v>287.87168975745624</v>
      </c>
      <c r="BF10" s="79">
        <f>_xll.VAData($AZ10,BF$2,$BA10,$BB10)</f>
        <v>296.35885270691858</v>
      </c>
      <c r="BG10" s="79">
        <f>_xll.VAData($AZ10,BG$2,$BA10,$BB10)</f>
        <v>292.6370844348998</v>
      </c>
      <c r="BH10" s="79">
        <f>_xll.VAData($AZ10,BH$2,$BA10,$BB10)</f>
        <v>293.8917046284746</v>
      </c>
      <c r="BI10" s="79">
        <f>_xll.VAData($AZ10,BI$2,$BA10,$BB10)</f>
        <v>189.80597071245981</v>
      </c>
      <c r="BJ10" s="79">
        <f>_xll.VAData($AZ10,BJ$2,$BA10,$BB10)</f>
        <v>221.21223557512101</v>
      </c>
      <c r="BK10" s="79">
        <f>_xll.VAData($AZ10,BK$2,$BA10,$BB10)</f>
        <v>250.48127629614299</v>
      </c>
      <c r="BL10" s="79">
        <f>_xll.VAData($AZ10,BL$2,$BA10,$BB10)</f>
        <v>118.5</v>
      </c>
      <c r="BM10" s="79">
        <f>_xll.VAData($AZ10,BM$2,$BA10,$BB10)</f>
        <v>212.11</v>
      </c>
      <c r="BN10" s="79">
        <f>_xll.VAData($AZ10,BN$2,$BA10,$BB10)</f>
        <v>258.3</v>
      </c>
      <c r="BO10" s="79">
        <f>_xll.VAData($AZ10,BO$2,$BA10,$BB10)</f>
        <v>259.7</v>
      </c>
      <c r="BP10" s="79">
        <f>_xll.VAData($AZ10,BP$2,$BA10,$BB10)</f>
        <v>280.60000000000002</v>
      </c>
      <c r="BQ10" s="79">
        <f>_xll.VAData($AZ10,BQ$2,$BA10,$BB10)</f>
        <v>266.10000000000002</v>
      </c>
      <c r="BR10" s="79">
        <f>_xll.VAData($AZ10,BR$2,$BA10,$BB10)</f>
        <v>258.3</v>
      </c>
      <c r="BS10" s="79">
        <f>_xll.VAData($AZ10,BS$2,$BA10,$BB10)</f>
        <v>256</v>
      </c>
      <c r="BT10" s="79">
        <f>_xll.VAData($AZ10,BT$2,$BA10,$BB10)</f>
        <v>248.1</v>
      </c>
      <c r="BU10" s="79">
        <f>_xll.VAData($AZ10,BU$2,$BA10,$BB10)</f>
        <v>250.5</v>
      </c>
      <c r="BV10" s="79">
        <f>_xll.VAData($AZ10,BV$2,$BA10,$BB10)</f>
        <v>248.16170540931921</v>
      </c>
      <c r="BW10" s="79">
        <f>_xll.VAData($AZ10,BW$2,$BA10,$BB10)</f>
        <v>246.03909093834841</v>
      </c>
      <c r="BX10" s="79">
        <f>_xll.VAData($AZ10,BX$2,$BA10,$BB10)</f>
        <v>255.80365412352475</v>
      </c>
      <c r="BY10" s="79">
        <f>_xll.VAData($AZ10,BY$2,$BA10,$BB10)</f>
        <v>254.64942717482299</v>
      </c>
    </row>
    <row r="11" spans="1:77">
      <c r="B11" s="74"/>
      <c r="C11" s="72" t="s">
        <v>72</v>
      </c>
      <c r="D11" s="225" t="s">
        <v>1343</v>
      </c>
      <c r="E11" s="226" t="e">
        <f>HY!#REF!</f>
        <v>#REF!</v>
      </c>
      <c r="F11" s="226" t="e">
        <f>HY!#REF!</f>
        <v>#REF!</v>
      </c>
      <c r="G11" s="226" t="e">
        <f>HY!#REF!</f>
        <v>#REF!</v>
      </c>
      <c r="H11" s="226" t="e">
        <f>HY!#REF!</f>
        <v>#REF!</v>
      </c>
      <c r="I11" s="226" t="e">
        <f>HY!#REF!</f>
        <v>#REF!</v>
      </c>
      <c r="J11" s="226" t="e">
        <f>HY!#REF!</f>
        <v>#REF!</v>
      </c>
      <c r="K11" s="226" t="e">
        <f>HY!#REF!</f>
        <v>#REF!</v>
      </c>
      <c r="L11" s="226" t="e">
        <f>HY!#REF!</f>
        <v>#REF!</v>
      </c>
      <c r="M11" s="226" t="e">
        <f>HY!#REF!</f>
        <v>#REF!</v>
      </c>
      <c r="N11" s="226" t="e">
        <f>HY!#REF!</f>
        <v>#REF!</v>
      </c>
      <c r="O11" s="226" t="e">
        <f>HY!#REF!</f>
        <v>#REF!</v>
      </c>
      <c r="P11" s="226" t="e">
        <f>HY!#REF!</f>
        <v>#REF!</v>
      </c>
      <c r="Q11" s="226" t="e">
        <f>HY!#REF!</f>
        <v>#REF!</v>
      </c>
      <c r="R11" s="226" t="e">
        <f>HY!#REF!</f>
        <v>#REF!</v>
      </c>
      <c r="S11" s="226" t="e">
        <f>HY!#REF!</f>
        <v>#REF!</v>
      </c>
      <c r="T11" s="226" t="e">
        <f>HY!#REF!</f>
        <v>#REF!</v>
      </c>
      <c r="U11" s="226" t="e">
        <f>HY!#REF!</f>
        <v>#REF!</v>
      </c>
      <c r="V11" s="226" t="e">
        <f>HY!#REF!</f>
        <v>#REF!</v>
      </c>
      <c r="W11" s="226" t="e">
        <f>HY!#REF!</f>
        <v>#REF!</v>
      </c>
      <c r="X11" s="226" t="e">
        <f>HY!#REF!</f>
        <v>#REF!</v>
      </c>
      <c r="Y11" s="226" t="e">
        <f>HY!#REF!</f>
        <v>#REF!</v>
      </c>
      <c r="Z11" s="226" t="e">
        <f>HY!#REF!</f>
        <v>#REF!</v>
      </c>
      <c r="AA11" s="72"/>
      <c r="AB11" s="76"/>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76"/>
      <c r="AZ11" s="77"/>
      <c r="BA11" s="77"/>
      <c r="BB11" s="78"/>
      <c r="BC11" s="76"/>
      <c r="BD11" s="221"/>
      <c r="BE11" s="221"/>
      <c r="BF11" s="221"/>
      <c r="BG11" s="221"/>
      <c r="BH11" s="221"/>
      <c r="BI11" s="221"/>
      <c r="BJ11" s="221"/>
      <c r="BK11" s="221"/>
      <c r="BL11" s="221"/>
      <c r="BM11" s="221"/>
      <c r="BN11" s="221"/>
      <c r="BO11" s="221"/>
      <c r="BP11" s="221"/>
      <c r="BQ11" s="221"/>
      <c r="BR11" s="221"/>
      <c r="BS11" s="221"/>
      <c r="BT11" s="221"/>
      <c r="BU11" s="221"/>
      <c r="BV11" s="221"/>
      <c r="BW11" s="221"/>
      <c r="BX11" s="221"/>
      <c r="BY11" s="221"/>
    </row>
    <row r="12" spans="1:77">
      <c r="B12" s="74"/>
      <c r="C12" s="81" t="s">
        <v>88</v>
      </c>
      <c r="D12" s="72" t="s">
        <v>1344</v>
      </c>
      <c r="E12" s="227" t="str">
        <f t="shared" ref="E12:Z12" si="6">IFERROR(ROUND(E10/E11-1,3),"")</f>
        <v/>
      </c>
      <c r="F12" s="227" t="str">
        <f t="shared" si="6"/>
        <v/>
      </c>
      <c r="G12" s="227" t="str">
        <f t="shared" si="6"/>
        <v/>
      </c>
      <c r="H12" s="227" t="str">
        <f t="shared" si="6"/>
        <v/>
      </c>
      <c r="I12" s="227" t="str">
        <f t="shared" si="6"/>
        <v/>
      </c>
      <c r="J12" s="227" t="str">
        <f t="shared" si="6"/>
        <v/>
      </c>
      <c r="K12" s="227" t="str">
        <f t="shared" si="6"/>
        <v/>
      </c>
      <c r="L12" s="227" t="str">
        <f t="shared" si="6"/>
        <v/>
      </c>
      <c r="M12" s="227" t="str">
        <f t="shared" si="6"/>
        <v/>
      </c>
      <c r="N12" s="227" t="str">
        <f t="shared" si="6"/>
        <v/>
      </c>
      <c r="O12" s="227" t="str">
        <f t="shared" si="6"/>
        <v/>
      </c>
      <c r="P12" s="227" t="str">
        <f t="shared" si="6"/>
        <v/>
      </c>
      <c r="Q12" s="227" t="str">
        <f t="shared" si="6"/>
        <v/>
      </c>
      <c r="R12" s="227" t="str">
        <f t="shared" si="6"/>
        <v/>
      </c>
      <c r="S12" s="227" t="str">
        <f t="shared" si="6"/>
        <v/>
      </c>
      <c r="T12" s="227" t="str">
        <f t="shared" si="6"/>
        <v/>
      </c>
      <c r="U12" s="227" t="str">
        <f t="shared" si="6"/>
        <v/>
      </c>
      <c r="V12" s="227" t="str">
        <f t="shared" si="6"/>
        <v/>
      </c>
      <c r="W12" s="227" t="str">
        <f t="shared" si="6"/>
        <v/>
      </c>
      <c r="X12" s="227" t="str">
        <f t="shared" si="6"/>
        <v/>
      </c>
      <c r="Y12" s="227" t="str">
        <f t="shared" si="6"/>
        <v/>
      </c>
      <c r="Z12" s="227" t="str">
        <f t="shared" si="6"/>
        <v/>
      </c>
      <c r="AA12" s="72"/>
      <c r="AB12" s="76"/>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76"/>
      <c r="AZ12" s="77"/>
      <c r="BA12" s="77"/>
      <c r="BB12" s="78"/>
      <c r="BC12" s="76"/>
      <c r="BD12" s="221"/>
      <c r="BE12" s="221"/>
      <c r="BF12" s="221"/>
      <c r="BG12" s="221"/>
      <c r="BH12" s="221"/>
      <c r="BI12" s="221"/>
      <c r="BJ12" s="221"/>
      <c r="BK12" s="221"/>
      <c r="BL12" s="221"/>
      <c r="BM12" s="221"/>
      <c r="BN12" s="221"/>
      <c r="BO12" s="221"/>
      <c r="BP12" s="221"/>
      <c r="BQ12" s="221"/>
      <c r="BR12" s="221"/>
      <c r="BS12" s="221"/>
      <c r="BT12" s="221"/>
      <c r="BU12" s="221"/>
      <c r="BV12" s="221"/>
      <c r="BW12" s="221"/>
      <c r="BX12" s="221"/>
      <c r="BY12" s="221"/>
    </row>
    <row r="13" spans="1:77">
      <c r="B13" s="74"/>
      <c r="C13" s="72"/>
      <c r="D13" s="72"/>
      <c r="E13" s="75"/>
      <c r="F13" s="75"/>
      <c r="G13" s="75"/>
      <c r="H13" s="75"/>
      <c r="I13" s="75"/>
      <c r="J13" s="75"/>
      <c r="K13" s="75"/>
      <c r="L13" s="75"/>
      <c r="M13" s="75"/>
      <c r="N13" s="75"/>
      <c r="O13" s="75"/>
      <c r="P13" s="75"/>
      <c r="Q13" s="75"/>
      <c r="R13" s="75"/>
      <c r="S13" s="75"/>
      <c r="T13" s="75"/>
      <c r="U13" s="75"/>
      <c r="V13" s="75"/>
      <c r="W13" s="75"/>
      <c r="X13" s="75"/>
      <c r="Y13" s="75"/>
      <c r="Z13" s="75"/>
      <c r="AA13" s="72"/>
      <c r="AB13" s="76"/>
      <c r="AC13" s="221"/>
      <c r="AD13" s="221"/>
      <c r="AE13" s="221"/>
      <c r="AF13" s="221"/>
      <c r="AG13" s="221"/>
      <c r="AH13" s="221"/>
      <c r="AI13" s="221"/>
      <c r="AJ13" s="221"/>
      <c r="AK13" s="221"/>
      <c r="AL13" s="221"/>
      <c r="AM13" s="221"/>
      <c r="AN13" s="221"/>
      <c r="AO13" s="221"/>
      <c r="AP13" s="221"/>
      <c r="AQ13" s="221"/>
      <c r="AR13" s="221"/>
      <c r="AS13" s="221"/>
      <c r="AT13" s="221"/>
      <c r="AU13" s="221"/>
      <c r="AV13" s="221"/>
      <c r="AW13" s="221"/>
      <c r="AX13" s="221"/>
      <c r="AY13" s="76"/>
      <c r="AZ13" s="77"/>
      <c r="BA13" s="77"/>
      <c r="BB13" s="78"/>
      <c r="BC13" s="76"/>
      <c r="BD13" s="221"/>
      <c r="BE13" s="221"/>
      <c r="BF13" s="221"/>
      <c r="BG13" s="221"/>
      <c r="BH13" s="221"/>
      <c r="BI13" s="221"/>
      <c r="BJ13" s="221"/>
      <c r="BK13" s="221"/>
      <c r="BL13" s="221"/>
      <c r="BM13" s="221"/>
      <c r="BN13" s="221"/>
      <c r="BO13" s="221"/>
      <c r="BP13" s="221"/>
      <c r="BQ13" s="221"/>
      <c r="BR13" s="221"/>
      <c r="BS13" s="221"/>
      <c r="BT13" s="221"/>
      <c r="BU13" s="221"/>
      <c r="BV13" s="221"/>
      <c r="BW13" s="221"/>
      <c r="BX13" s="221"/>
      <c r="BY13" s="221"/>
    </row>
    <row r="14" spans="1:77">
      <c r="B14" s="74" t="str">
        <f>BA14</f>
        <v>Total revenue - Hamilton</v>
      </c>
      <c r="C14" s="72" t="s">
        <v>72</v>
      </c>
      <c r="D14" s="224" t="s">
        <v>1342</v>
      </c>
      <c r="E14" s="223">
        <f t="shared" ref="E14:Z14" si="7">AC14</f>
        <v>30.6</v>
      </c>
      <c r="F14" s="223">
        <f t="shared" si="7"/>
        <v>30.044068366666671</v>
      </c>
      <c r="G14" s="223">
        <f t="shared" si="7"/>
        <v>31.5</v>
      </c>
      <c r="H14" s="223">
        <f t="shared" si="7"/>
        <v>30.3</v>
      </c>
      <c r="I14" s="223">
        <f t="shared" si="7"/>
        <v>34.048711040689113</v>
      </c>
      <c r="J14" s="223">
        <f t="shared" si="7"/>
        <v>24.76795562597755</v>
      </c>
      <c r="K14" s="223">
        <f t="shared" si="7"/>
        <v>36.73704865003598</v>
      </c>
      <c r="L14" s="223">
        <f t="shared" si="7"/>
        <v>36.700000000000003</v>
      </c>
      <c r="M14" s="223">
        <f t="shared" si="7"/>
        <v>24.3</v>
      </c>
      <c r="N14" s="223">
        <f t="shared" si="7"/>
        <v>32</v>
      </c>
      <c r="O14" s="223">
        <f t="shared" si="7"/>
        <v>39.5</v>
      </c>
      <c r="P14" s="223">
        <f t="shared" si="7"/>
        <v>35.4</v>
      </c>
      <c r="Q14" s="223">
        <f t="shared" si="7"/>
        <v>38.329139615976821</v>
      </c>
      <c r="R14" s="223">
        <f t="shared" si="7"/>
        <v>36.435416878479138</v>
      </c>
      <c r="S14" s="223">
        <f t="shared" si="7"/>
        <v>39.863276180123002</v>
      </c>
      <c r="T14" s="223">
        <f t="shared" si="7"/>
        <v>37.486294314712133</v>
      </c>
      <c r="U14" s="223">
        <f t="shared" si="7"/>
        <v>41.378350477112498</v>
      </c>
      <c r="V14" s="223">
        <f t="shared" si="7"/>
        <v>38.619461032489603</v>
      </c>
      <c r="W14" s="223">
        <f t="shared" si="7"/>
        <v>42.54283576368497</v>
      </c>
      <c r="X14" s="223">
        <f t="shared" si="7"/>
        <v>39.701769832325432</v>
      </c>
      <c r="Y14" s="223">
        <f t="shared" si="7"/>
        <v>43.728641168377003</v>
      </c>
      <c r="Z14" s="223">
        <f t="shared" si="7"/>
        <v>40.8728393509369</v>
      </c>
      <c r="AA14" s="72"/>
      <c r="AB14" s="76"/>
      <c r="AC14" s="222">
        <v>30.6</v>
      </c>
      <c r="AD14" s="222">
        <v>30.044068366666671</v>
      </c>
      <c r="AE14" s="222">
        <v>31.5</v>
      </c>
      <c r="AF14" s="222">
        <v>30.3</v>
      </c>
      <c r="AG14" s="222">
        <v>34.048711040689113</v>
      </c>
      <c r="AH14" s="222">
        <v>24.76795562597755</v>
      </c>
      <c r="AI14" s="222">
        <v>36.73704865003598</v>
      </c>
      <c r="AJ14" s="222">
        <v>36.700000000000003</v>
      </c>
      <c r="AK14" s="222">
        <v>24.3</v>
      </c>
      <c r="AL14" s="222">
        <v>32</v>
      </c>
      <c r="AM14" s="222">
        <v>39.5</v>
      </c>
      <c r="AN14" s="222">
        <v>35.4</v>
      </c>
      <c r="AO14" s="222">
        <v>38.329139615976821</v>
      </c>
      <c r="AP14" s="222">
        <v>36.435416878479138</v>
      </c>
      <c r="AQ14" s="222">
        <v>39.863276180123002</v>
      </c>
      <c r="AR14" s="222">
        <v>37.486294314712133</v>
      </c>
      <c r="AS14" s="222">
        <v>41.378350477112498</v>
      </c>
      <c r="AT14" s="222">
        <v>38.619461032489603</v>
      </c>
      <c r="AU14" s="222">
        <v>42.54283576368497</v>
      </c>
      <c r="AV14" s="222">
        <v>39.701769832325432</v>
      </c>
      <c r="AW14" s="222">
        <v>43.728641168377003</v>
      </c>
      <c r="AX14" s="222">
        <v>40.8728393509369</v>
      </c>
      <c r="AY14" s="76"/>
      <c r="AZ14" s="77" t="s">
        <v>1259</v>
      </c>
      <c r="BA14" s="77" t="s">
        <v>1345</v>
      </c>
      <c r="BB14" s="78" t="s">
        <v>1261</v>
      </c>
      <c r="BC14" s="76"/>
      <c r="BD14" s="79">
        <f>_xll.VAData($AZ14,BD$2,$BA14,$BB14)</f>
        <v>30.617625</v>
      </c>
      <c r="BE14" s="79">
        <f>_xll.VAData($AZ14,BE$2,$BA14,$BB14)</f>
        <v>30.057205100000001</v>
      </c>
      <c r="BF14" s="79">
        <f>_xll.VAData($AZ14,BF$2,$BA14,$BB14)</f>
        <v>31.4917025612</v>
      </c>
      <c r="BG14" s="79">
        <f>_xll.VAData($AZ14,BG$2,$BA14,$BB14)</f>
        <v>30.280357488</v>
      </c>
      <c r="BH14" s="79">
        <f>_xll.VAData($AZ14,BH$2,$BA14,$BB14)</f>
        <v>34.046133122067353</v>
      </c>
      <c r="BI14" s="79">
        <f>_xll.VAData($AZ14,BI$2,$BA14,$BB14)</f>
        <v>24.803866877932649</v>
      </c>
      <c r="BJ14" s="79">
        <f>_xll.VAData($AZ14,BJ$2,$BA14,$BB14)</f>
        <v>36.666145950107953</v>
      </c>
      <c r="BK14" s="79">
        <f>_xll.VAData($AZ14,BK$2,$BA14,$BB14)</f>
        <v>36.770350606787751</v>
      </c>
      <c r="BL14" s="79">
        <f>_xll.VAData($AZ14,BL$2,$BA14,$BB14)</f>
        <v>24.3</v>
      </c>
      <c r="BM14" s="79">
        <f>_xll.VAData($AZ14,BM$2,$BA14,$BB14)</f>
        <v>32</v>
      </c>
      <c r="BN14" s="79">
        <f>_xll.VAData($AZ14,BN$2,$BA14,$BB14)</f>
        <v>39.5</v>
      </c>
      <c r="BO14" s="79">
        <f>_xll.VAData($AZ14,BO$2,$BA14,$BB14)</f>
        <v>35.4</v>
      </c>
      <c r="BP14" s="79">
        <f>_xll.VAData($AZ14,BP$2,$BA14,$BB14)</f>
        <v>37.1</v>
      </c>
      <c r="BQ14" s="79">
        <f>_xll.VAData($AZ14,BQ$2,$BA14,$BB14)</f>
        <v>36.299999999999997</v>
      </c>
      <c r="BR14" s="79">
        <f>_xll.VAData($AZ14,BR$2,$BA14,$BB14)</f>
        <v>38.299999999999997</v>
      </c>
      <c r="BS14" s="79">
        <f>_xll.VAData($AZ14,BS$2,$BA14,$BB14)</f>
        <v>35.9</v>
      </c>
      <c r="BT14" s="79">
        <f>_xll.VAData($AZ14,BT$2,$BA14,$BB14)</f>
        <v>37.4</v>
      </c>
      <c r="BU14" s="79">
        <f>_xll.VAData($AZ14,BU$2,$BA14,$BB14)</f>
        <v>36.5</v>
      </c>
      <c r="BV14" s="79">
        <f>_xll.VAData($AZ14,BV$2,$BA14,$BB14)</f>
        <v>38.335000000000001</v>
      </c>
      <c r="BW14" s="79">
        <f>_xll.VAData($AZ14,BW$2,$BA14,$BB14)</f>
        <v>37.411000000000001</v>
      </c>
      <c r="BX14" s="79">
        <f>_xll.VAData($AZ14,BX$2,$BA14,$BB14)</f>
        <v>39.293374999999997</v>
      </c>
      <c r="BY14" s="79">
        <f>_xll.VAData($AZ14,BY$2,$BA14,$BB14)</f>
        <v>38.346274999999999</v>
      </c>
    </row>
    <row r="15" spans="1:77">
      <c r="B15" s="74"/>
      <c r="C15" s="72" t="s">
        <v>72</v>
      </c>
      <c r="D15" s="225" t="s">
        <v>1343</v>
      </c>
      <c r="E15" s="226" t="e">
        <f>HY!#REF!</f>
        <v>#REF!</v>
      </c>
      <c r="F15" s="226" t="e">
        <f>HY!#REF!</f>
        <v>#REF!</v>
      </c>
      <c r="G15" s="226" t="e">
        <f>HY!#REF!</f>
        <v>#REF!</v>
      </c>
      <c r="H15" s="226" t="e">
        <f>HY!#REF!</f>
        <v>#REF!</v>
      </c>
      <c r="I15" s="226" t="e">
        <f>HY!#REF!</f>
        <v>#REF!</v>
      </c>
      <c r="J15" s="226" t="e">
        <f>HY!#REF!</f>
        <v>#REF!</v>
      </c>
      <c r="K15" s="226" t="e">
        <f>HY!#REF!</f>
        <v>#REF!</v>
      </c>
      <c r="L15" s="226" t="e">
        <f>HY!#REF!</f>
        <v>#REF!</v>
      </c>
      <c r="M15" s="226" t="e">
        <f>HY!#REF!</f>
        <v>#REF!</v>
      </c>
      <c r="N15" s="226" t="e">
        <f>HY!#REF!</f>
        <v>#REF!</v>
      </c>
      <c r="O15" s="226" t="e">
        <f>HY!#REF!</f>
        <v>#REF!</v>
      </c>
      <c r="P15" s="226" t="e">
        <f>HY!#REF!</f>
        <v>#REF!</v>
      </c>
      <c r="Q15" s="226" t="e">
        <f>HY!#REF!</f>
        <v>#REF!</v>
      </c>
      <c r="R15" s="226" t="e">
        <f>HY!#REF!</f>
        <v>#REF!</v>
      </c>
      <c r="S15" s="226" t="e">
        <f>HY!#REF!</f>
        <v>#REF!</v>
      </c>
      <c r="T15" s="226" t="e">
        <f>HY!#REF!</f>
        <v>#REF!</v>
      </c>
      <c r="U15" s="226" t="e">
        <f>HY!#REF!</f>
        <v>#REF!</v>
      </c>
      <c r="V15" s="226" t="e">
        <f>HY!#REF!</f>
        <v>#REF!</v>
      </c>
      <c r="W15" s="226" t="e">
        <f>HY!#REF!</f>
        <v>#REF!</v>
      </c>
      <c r="X15" s="226" t="e">
        <f>HY!#REF!</f>
        <v>#REF!</v>
      </c>
      <c r="Y15" s="226" t="e">
        <f>HY!#REF!</f>
        <v>#REF!</v>
      </c>
      <c r="Z15" s="226" t="e">
        <f>HY!#REF!</f>
        <v>#REF!</v>
      </c>
      <c r="AA15" s="72"/>
      <c r="AB15" s="76"/>
      <c r="AC15" s="221"/>
      <c r="AD15" s="221"/>
      <c r="AE15" s="221"/>
      <c r="AF15" s="221"/>
      <c r="AG15" s="221"/>
      <c r="AH15" s="221"/>
      <c r="AI15" s="221"/>
      <c r="AJ15" s="221"/>
      <c r="AK15" s="221"/>
      <c r="AL15" s="221"/>
      <c r="AM15" s="221"/>
      <c r="AN15" s="221"/>
      <c r="AO15" s="221"/>
      <c r="AP15" s="221"/>
      <c r="AQ15" s="221"/>
      <c r="AR15" s="221"/>
      <c r="AS15" s="221"/>
      <c r="AT15" s="221"/>
      <c r="AU15" s="221"/>
      <c r="AV15" s="221"/>
      <c r="AW15" s="221"/>
      <c r="AX15" s="221"/>
      <c r="AY15" s="76"/>
      <c r="AZ15" s="77"/>
      <c r="BA15" s="77"/>
      <c r="BB15" s="78"/>
      <c r="BC15" s="76"/>
      <c r="BD15" s="221"/>
      <c r="BE15" s="221"/>
      <c r="BF15" s="221"/>
      <c r="BG15" s="221"/>
      <c r="BH15" s="221"/>
      <c r="BI15" s="221"/>
      <c r="BJ15" s="221"/>
      <c r="BK15" s="221"/>
      <c r="BL15" s="221"/>
      <c r="BM15" s="221"/>
      <c r="BN15" s="221"/>
      <c r="BO15" s="221"/>
      <c r="BP15" s="221"/>
      <c r="BQ15" s="221"/>
      <c r="BR15" s="221"/>
      <c r="BS15" s="221"/>
      <c r="BT15" s="221"/>
      <c r="BU15" s="221"/>
      <c r="BV15" s="221"/>
      <c r="BW15" s="221"/>
      <c r="BX15" s="221"/>
      <c r="BY15" s="221"/>
    </row>
    <row r="16" spans="1:77">
      <c r="B16" s="74"/>
      <c r="C16" s="81" t="s">
        <v>88</v>
      </c>
      <c r="D16" s="72" t="s">
        <v>1344</v>
      </c>
      <c r="E16" s="227" t="str">
        <f t="shared" ref="E16:Z16" si="8">IFERROR(ROUND(E14/E15-1,3),"")</f>
        <v/>
      </c>
      <c r="F16" s="227" t="str">
        <f t="shared" si="8"/>
        <v/>
      </c>
      <c r="G16" s="227" t="str">
        <f t="shared" si="8"/>
        <v/>
      </c>
      <c r="H16" s="227" t="str">
        <f t="shared" si="8"/>
        <v/>
      </c>
      <c r="I16" s="227" t="str">
        <f t="shared" si="8"/>
        <v/>
      </c>
      <c r="J16" s="227" t="str">
        <f t="shared" si="8"/>
        <v/>
      </c>
      <c r="K16" s="227" t="str">
        <f t="shared" si="8"/>
        <v/>
      </c>
      <c r="L16" s="227" t="str">
        <f t="shared" si="8"/>
        <v/>
      </c>
      <c r="M16" s="227" t="str">
        <f t="shared" si="8"/>
        <v/>
      </c>
      <c r="N16" s="227" t="str">
        <f t="shared" si="8"/>
        <v/>
      </c>
      <c r="O16" s="227" t="str">
        <f t="shared" si="8"/>
        <v/>
      </c>
      <c r="P16" s="227" t="str">
        <f t="shared" si="8"/>
        <v/>
      </c>
      <c r="Q16" s="227" t="str">
        <f t="shared" si="8"/>
        <v/>
      </c>
      <c r="R16" s="227" t="str">
        <f t="shared" si="8"/>
        <v/>
      </c>
      <c r="S16" s="227" t="str">
        <f t="shared" si="8"/>
        <v/>
      </c>
      <c r="T16" s="227" t="str">
        <f t="shared" si="8"/>
        <v/>
      </c>
      <c r="U16" s="227" t="str">
        <f t="shared" si="8"/>
        <v/>
      </c>
      <c r="V16" s="227" t="str">
        <f t="shared" si="8"/>
        <v/>
      </c>
      <c r="W16" s="227" t="str">
        <f t="shared" si="8"/>
        <v/>
      </c>
      <c r="X16" s="227" t="str">
        <f t="shared" si="8"/>
        <v/>
      </c>
      <c r="Y16" s="227" t="str">
        <f t="shared" si="8"/>
        <v/>
      </c>
      <c r="Z16" s="227" t="str">
        <f t="shared" si="8"/>
        <v/>
      </c>
      <c r="AA16" s="72"/>
      <c r="AB16" s="76"/>
      <c r="AC16" s="221"/>
      <c r="AD16" s="221"/>
      <c r="AE16" s="221"/>
      <c r="AF16" s="221"/>
      <c r="AG16" s="221"/>
      <c r="AH16" s="221"/>
      <c r="AI16" s="221"/>
      <c r="AJ16" s="221"/>
      <c r="AK16" s="221"/>
      <c r="AL16" s="221"/>
      <c r="AM16" s="221"/>
      <c r="AN16" s="221"/>
      <c r="AO16" s="221"/>
      <c r="AP16" s="221"/>
      <c r="AQ16" s="221"/>
      <c r="AR16" s="221"/>
      <c r="AS16" s="221"/>
      <c r="AT16" s="221"/>
      <c r="AU16" s="221"/>
      <c r="AV16" s="221"/>
      <c r="AW16" s="221"/>
      <c r="AX16" s="221"/>
      <c r="AY16" s="76"/>
      <c r="AZ16" s="77"/>
      <c r="BA16" s="77"/>
      <c r="BB16" s="78"/>
      <c r="BC16" s="76"/>
      <c r="BD16" s="221"/>
      <c r="BE16" s="221"/>
      <c r="BF16" s="221"/>
      <c r="BG16" s="221"/>
      <c r="BH16" s="221"/>
      <c r="BI16" s="221"/>
      <c r="BJ16" s="221"/>
      <c r="BK16" s="221"/>
      <c r="BL16" s="221"/>
      <c r="BM16" s="221"/>
      <c r="BN16" s="221"/>
      <c r="BO16" s="221"/>
      <c r="BP16" s="221"/>
      <c r="BQ16" s="221"/>
      <c r="BR16" s="221"/>
      <c r="BS16" s="221"/>
      <c r="BT16" s="221"/>
      <c r="BU16" s="221"/>
      <c r="BV16" s="221"/>
      <c r="BW16" s="221"/>
      <c r="BX16" s="221"/>
      <c r="BY16" s="221"/>
    </row>
    <row r="17" spans="2:77">
      <c r="B17" s="74"/>
      <c r="C17" s="72"/>
      <c r="D17" s="72"/>
      <c r="E17" s="75"/>
      <c r="F17" s="75"/>
      <c r="G17" s="75"/>
      <c r="H17" s="75"/>
      <c r="I17" s="75"/>
      <c r="J17" s="75"/>
      <c r="K17" s="75"/>
      <c r="L17" s="75"/>
      <c r="M17" s="75"/>
      <c r="N17" s="75"/>
      <c r="O17" s="75"/>
      <c r="P17" s="75"/>
      <c r="Q17" s="75"/>
      <c r="R17" s="75"/>
      <c r="S17" s="75"/>
      <c r="T17" s="75"/>
      <c r="U17" s="75"/>
      <c r="V17" s="75"/>
      <c r="W17" s="75"/>
      <c r="X17" s="75"/>
      <c r="Y17" s="75"/>
      <c r="Z17" s="75"/>
      <c r="AA17" s="72"/>
      <c r="AB17" s="76"/>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76"/>
      <c r="AZ17" s="77"/>
      <c r="BA17" s="77"/>
      <c r="BB17" s="78"/>
      <c r="BC17" s="76"/>
      <c r="BD17" s="221"/>
      <c r="BE17" s="221"/>
      <c r="BF17" s="221"/>
      <c r="BG17" s="221"/>
      <c r="BH17" s="221"/>
      <c r="BI17" s="221"/>
      <c r="BJ17" s="221"/>
      <c r="BK17" s="221"/>
      <c r="BL17" s="221"/>
      <c r="BM17" s="221"/>
      <c r="BN17" s="221"/>
      <c r="BO17" s="221"/>
      <c r="BP17" s="221"/>
      <c r="BQ17" s="221"/>
      <c r="BR17" s="221"/>
      <c r="BS17" s="221"/>
      <c r="BT17" s="221"/>
      <c r="BU17" s="221"/>
      <c r="BV17" s="221"/>
      <c r="BW17" s="221"/>
      <c r="BX17" s="221"/>
      <c r="BY17" s="221"/>
    </row>
    <row r="18" spans="2:77">
      <c r="B18" s="74" t="str">
        <f>BA18</f>
        <v>Total revenue - Queenstown</v>
      </c>
      <c r="C18" s="72" t="s">
        <v>72</v>
      </c>
      <c r="D18" s="224" t="s">
        <v>1342</v>
      </c>
      <c r="E18" s="223">
        <f t="shared" ref="E18:Z18" si="9">AC18</f>
        <v>6.4</v>
      </c>
      <c r="F18" s="223">
        <f t="shared" si="9"/>
        <v>6.6</v>
      </c>
      <c r="G18" s="223">
        <f t="shared" si="9"/>
        <v>6.5</v>
      </c>
      <c r="H18" s="223">
        <f t="shared" si="9"/>
        <v>6.6435272733333326</v>
      </c>
      <c r="I18" s="223">
        <f t="shared" si="9"/>
        <v>7.1</v>
      </c>
      <c r="J18" s="223">
        <f t="shared" si="9"/>
        <v>4</v>
      </c>
      <c r="K18" s="223">
        <f t="shared" si="9"/>
        <v>5.9</v>
      </c>
      <c r="L18" s="223">
        <f t="shared" si="9"/>
        <v>6.3914292549333336</v>
      </c>
      <c r="M18" s="223">
        <f t="shared" si="9"/>
        <v>5</v>
      </c>
      <c r="N18" s="223">
        <f t="shared" si="9"/>
        <v>5.2</v>
      </c>
      <c r="O18" s="223">
        <f t="shared" si="9"/>
        <v>6.3</v>
      </c>
      <c r="P18" s="223">
        <f t="shared" si="9"/>
        <v>6</v>
      </c>
      <c r="Q18" s="223">
        <f t="shared" si="9"/>
        <v>6.2818645962020359</v>
      </c>
      <c r="R18" s="223">
        <f t="shared" si="9"/>
        <v>6.0582595984798919</v>
      </c>
      <c r="S18" s="223">
        <f t="shared" si="9"/>
        <v>6.4617267545312149</v>
      </c>
      <c r="T18" s="223">
        <f t="shared" si="9"/>
        <v>6.1867800408168376</v>
      </c>
      <c r="U18" s="223">
        <f t="shared" si="9"/>
        <v>6.6953905306524701</v>
      </c>
      <c r="V18" s="223">
        <f t="shared" si="9"/>
        <v>6.4456986056530337</v>
      </c>
      <c r="W18" s="223">
        <f t="shared" si="9"/>
        <v>6.8893357234091264</v>
      </c>
      <c r="X18" s="223">
        <f t="shared" si="9"/>
        <v>6.6311301044856474</v>
      </c>
      <c r="Y18" s="223">
        <f t="shared" si="9"/>
        <v>7.0871268723536431</v>
      </c>
      <c r="Z18" s="223">
        <f t="shared" si="9"/>
        <v>6.8314271620395299</v>
      </c>
      <c r="AA18" s="72"/>
      <c r="AB18" s="76"/>
      <c r="AC18" s="222">
        <v>6.4</v>
      </c>
      <c r="AD18" s="222">
        <v>6.6</v>
      </c>
      <c r="AE18" s="222">
        <v>6.5</v>
      </c>
      <c r="AF18" s="222">
        <v>6.6435272733333326</v>
      </c>
      <c r="AG18" s="222">
        <v>7.1</v>
      </c>
      <c r="AH18" s="222">
        <v>4</v>
      </c>
      <c r="AI18" s="222">
        <v>5.9</v>
      </c>
      <c r="AJ18" s="222">
        <v>6.3914292549333336</v>
      </c>
      <c r="AK18" s="222">
        <v>5</v>
      </c>
      <c r="AL18" s="222">
        <v>5.2</v>
      </c>
      <c r="AM18" s="222">
        <v>6.3</v>
      </c>
      <c r="AN18" s="222">
        <v>6</v>
      </c>
      <c r="AO18" s="222">
        <v>6.2818645962020359</v>
      </c>
      <c r="AP18" s="222">
        <v>6.0582595984798919</v>
      </c>
      <c r="AQ18" s="222">
        <v>6.4617267545312149</v>
      </c>
      <c r="AR18" s="222">
        <v>6.1867800408168376</v>
      </c>
      <c r="AS18" s="222">
        <v>6.6953905306524701</v>
      </c>
      <c r="AT18" s="222">
        <v>6.4456986056530337</v>
      </c>
      <c r="AU18" s="222">
        <v>6.8893357234091264</v>
      </c>
      <c r="AV18" s="222">
        <v>6.6311301044856474</v>
      </c>
      <c r="AW18" s="222">
        <v>7.0871268723536431</v>
      </c>
      <c r="AX18" s="222">
        <v>6.8314271620395299</v>
      </c>
      <c r="AY18" s="76"/>
      <c r="AZ18" s="77" t="s">
        <v>1259</v>
      </c>
      <c r="BA18" s="77" t="s">
        <v>1346</v>
      </c>
      <c r="BB18" s="78" t="s">
        <v>1261</v>
      </c>
      <c r="BC18" s="76"/>
      <c r="BD18" s="79">
        <f>_xll.VAData($AZ18,BD$2,$BA18,$BB18)</f>
        <v>6.4123524999999999</v>
      </c>
      <c r="BE18" s="79">
        <f>_xll.VAData($AZ18,BE$2,$BA18,$BB18)</f>
        <v>6.4126475000000003</v>
      </c>
      <c r="BF18" s="79">
        <f>_xll.VAData($AZ18,BF$2,$BA18,$BB18)</f>
        <v>6.5002093049999994</v>
      </c>
      <c r="BG18" s="79">
        <f>_xll.VAData($AZ18,BG$2,$BA18,$BB18)</f>
        <v>6.6805818199999996</v>
      </c>
      <c r="BH18" s="79">
        <f>_xll.VAData($AZ18,BH$2,$BA18,$BB18)</f>
        <v>7.0948201470000001</v>
      </c>
      <c r="BI18" s="79">
        <f>_xll.VAData($AZ18,BI$2,$BA18,$BB18)</f>
        <v>4.0051798529999996</v>
      </c>
      <c r="BJ18" s="79">
        <f>_xll.VAData($AZ18,BJ$2,$BA18,$BB18)</f>
        <v>5.9018722441818001</v>
      </c>
      <c r="BK18" s="79">
        <f>_xll.VAData($AZ18,BK$2,$BA18,$BB18)</f>
        <v>6.4082877647999998</v>
      </c>
      <c r="BL18" s="79">
        <f>_xll.VAData($AZ18,BL$2,$BA18,$BB18)</f>
        <v>5</v>
      </c>
      <c r="BM18" s="79">
        <f>_xll.VAData($AZ18,BM$2,$BA18,$BB18)</f>
        <v>5.2</v>
      </c>
      <c r="BN18" s="79">
        <f>_xll.VAData($AZ18,BN$2,$BA18,$BB18)</f>
        <v>8.1999999999999993</v>
      </c>
      <c r="BO18" s="79">
        <f>_xll.VAData($AZ18,BO$2,$BA18,$BB18)</f>
        <v>4.9000000000000004</v>
      </c>
      <c r="BP18" s="79">
        <f>_xll.VAData($AZ18,BP$2,$BA18,$BB18)</f>
        <v>6.7</v>
      </c>
      <c r="BQ18" s="79">
        <f>_xll.VAData($AZ18,BQ$2,$BA18,$BB18)</f>
        <v>6.9</v>
      </c>
      <c r="BR18" s="79">
        <f>_xll.VAData($AZ18,BR$2,$BA18,$BB18)</f>
        <v>6.532</v>
      </c>
      <c r="BS18" s="79">
        <f>_xll.VAData($AZ18,BS$2,$BA18,$BB18)</f>
        <v>6.8327999999999998</v>
      </c>
      <c r="BT18" s="79">
        <f>_xll.VAData($AZ18,BT$2,$BA18,$BB18)</f>
        <v>6.4324399999999997</v>
      </c>
      <c r="BU18" s="79">
        <f>_xll.VAData($AZ18,BU$2,$BA18,$BB18)</f>
        <v>6.9768480000000004</v>
      </c>
      <c r="BV18" s="79">
        <f>_xll.VAData($AZ18,BV$2,$BA18,$BB18)</f>
        <v>6.5932510000000004</v>
      </c>
      <c r="BW18" s="79">
        <f>_xll.VAData($AZ18,BW$2,$BA18,$BB18)</f>
        <v>7.1512691999999998</v>
      </c>
      <c r="BX18" s="79">
        <f>_xll.VAData($AZ18,BX$2,$BA18,$BB18)</f>
        <v>6.7580822749999996</v>
      </c>
      <c r="BY18" s="79">
        <f>_xll.VAData($AZ18,BY$2,$BA18,$BB18)</f>
        <v>7.3300509299999996</v>
      </c>
    </row>
    <row r="19" spans="2:77">
      <c r="B19" s="74"/>
      <c r="C19" s="72" t="s">
        <v>72</v>
      </c>
      <c r="D19" s="225" t="s">
        <v>1343</v>
      </c>
      <c r="E19" s="226" t="e">
        <f>HY!#REF!</f>
        <v>#REF!</v>
      </c>
      <c r="F19" s="226" t="e">
        <f>HY!#REF!</f>
        <v>#REF!</v>
      </c>
      <c r="G19" s="226" t="e">
        <f>HY!#REF!</f>
        <v>#REF!</v>
      </c>
      <c r="H19" s="226" t="e">
        <f>HY!#REF!</f>
        <v>#REF!</v>
      </c>
      <c r="I19" s="226" t="e">
        <f>HY!#REF!</f>
        <v>#REF!</v>
      </c>
      <c r="J19" s="226" t="e">
        <f>HY!#REF!</f>
        <v>#REF!</v>
      </c>
      <c r="K19" s="226" t="e">
        <f>HY!#REF!</f>
        <v>#REF!</v>
      </c>
      <c r="L19" s="226" t="e">
        <f>HY!#REF!</f>
        <v>#REF!</v>
      </c>
      <c r="M19" s="226" t="e">
        <f>HY!#REF!</f>
        <v>#REF!</v>
      </c>
      <c r="N19" s="226" t="e">
        <f>HY!#REF!</f>
        <v>#REF!</v>
      </c>
      <c r="O19" s="226" t="e">
        <f>HY!#REF!</f>
        <v>#REF!</v>
      </c>
      <c r="P19" s="226" t="e">
        <f>HY!#REF!</f>
        <v>#REF!</v>
      </c>
      <c r="Q19" s="226" t="e">
        <f>HY!#REF!</f>
        <v>#REF!</v>
      </c>
      <c r="R19" s="226" t="e">
        <f>HY!#REF!</f>
        <v>#REF!</v>
      </c>
      <c r="S19" s="226" t="e">
        <f>HY!#REF!</f>
        <v>#REF!</v>
      </c>
      <c r="T19" s="226" t="e">
        <f>HY!#REF!</f>
        <v>#REF!</v>
      </c>
      <c r="U19" s="226" t="e">
        <f>HY!#REF!</f>
        <v>#REF!</v>
      </c>
      <c r="V19" s="226" t="e">
        <f>HY!#REF!</f>
        <v>#REF!</v>
      </c>
      <c r="W19" s="226" t="e">
        <f>HY!#REF!</f>
        <v>#REF!</v>
      </c>
      <c r="X19" s="226" t="e">
        <f>HY!#REF!</f>
        <v>#REF!</v>
      </c>
      <c r="Y19" s="226" t="e">
        <f>HY!#REF!</f>
        <v>#REF!</v>
      </c>
      <c r="Z19" s="226" t="e">
        <f>HY!#REF!</f>
        <v>#REF!</v>
      </c>
      <c r="AA19" s="72"/>
      <c r="AB19" s="76"/>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76"/>
      <c r="AZ19" s="77"/>
      <c r="BA19" s="77"/>
      <c r="BB19" s="78"/>
      <c r="BC19" s="76"/>
      <c r="BD19" s="221"/>
      <c r="BE19" s="221"/>
      <c r="BF19" s="221"/>
      <c r="BG19" s="221"/>
      <c r="BH19" s="221"/>
      <c r="BI19" s="221"/>
      <c r="BJ19" s="221"/>
      <c r="BK19" s="221"/>
      <c r="BL19" s="221"/>
      <c r="BM19" s="221"/>
      <c r="BN19" s="221"/>
      <c r="BO19" s="221"/>
      <c r="BP19" s="221"/>
      <c r="BQ19" s="221"/>
      <c r="BR19" s="221"/>
      <c r="BS19" s="221"/>
      <c r="BT19" s="221"/>
      <c r="BU19" s="221"/>
      <c r="BV19" s="221"/>
      <c r="BW19" s="221"/>
      <c r="BX19" s="221"/>
      <c r="BY19" s="221"/>
    </row>
    <row r="20" spans="2:77">
      <c r="B20" s="74"/>
      <c r="C20" s="81" t="s">
        <v>88</v>
      </c>
      <c r="D20" s="72" t="s">
        <v>1344</v>
      </c>
      <c r="E20" s="227" t="str">
        <f t="shared" ref="E20:Z20" si="10">IFERROR(ROUND(E18/E19-1,3),"")</f>
        <v/>
      </c>
      <c r="F20" s="227" t="str">
        <f t="shared" si="10"/>
        <v/>
      </c>
      <c r="G20" s="227" t="str">
        <f t="shared" si="10"/>
        <v/>
      </c>
      <c r="H20" s="227" t="str">
        <f t="shared" si="10"/>
        <v/>
      </c>
      <c r="I20" s="227" t="str">
        <f t="shared" si="10"/>
        <v/>
      </c>
      <c r="J20" s="227" t="str">
        <f t="shared" si="10"/>
        <v/>
      </c>
      <c r="K20" s="227" t="str">
        <f t="shared" si="10"/>
        <v/>
      </c>
      <c r="L20" s="227" t="str">
        <f t="shared" si="10"/>
        <v/>
      </c>
      <c r="M20" s="227" t="str">
        <f t="shared" si="10"/>
        <v/>
      </c>
      <c r="N20" s="227" t="str">
        <f t="shared" si="10"/>
        <v/>
      </c>
      <c r="O20" s="227" t="str">
        <f t="shared" si="10"/>
        <v/>
      </c>
      <c r="P20" s="227" t="str">
        <f t="shared" si="10"/>
        <v/>
      </c>
      <c r="Q20" s="227" t="str">
        <f t="shared" si="10"/>
        <v/>
      </c>
      <c r="R20" s="227" t="str">
        <f t="shared" si="10"/>
        <v/>
      </c>
      <c r="S20" s="227" t="str">
        <f t="shared" si="10"/>
        <v/>
      </c>
      <c r="T20" s="227" t="str">
        <f t="shared" si="10"/>
        <v/>
      </c>
      <c r="U20" s="227" t="str">
        <f t="shared" si="10"/>
        <v/>
      </c>
      <c r="V20" s="227" t="str">
        <f t="shared" si="10"/>
        <v/>
      </c>
      <c r="W20" s="227" t="str">
        <f t="shared" si="10"/>
        <v/>
      </c>
      <c r="X20" s="227" t="str">
        <f t="shared" si="10"/>
        <v/>
      </c>
      <c r="Y20" s="227" t="str">
        <f t="shared" si="10"/>
        <v/>
      </c>
      <c r="Z20" s="227" t="str">
        <f t="shared" si="10"/>
        <v/>
      </c>
      <c r="AA20" s="72"/>
      <c r="AB20" s="76"/>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76"/>
      <c r="AZ20" s="77"/>
      <c r="BA20" s="77"/>
      <c r="BB20" s="78"/>
      <c r="BC20" s="76"/>
      <c r="BD20" s="221"/>
      <c r="BE20" s="221"/>
      <c r="BF20" s="221"/>
      <c r="BG20" s="221"/>
      <c r="BH20" s="221"/>
      <c r="BI20" s="221"/>
      <c r="BJ20" s="221"/>
      <c r="BK20" s="221"/>
      <c r="BL20" s="221"/>
      <c r="BM20" s="221"/>
      <c r="BN20" s="221"/>
      <c r="BO20" s="221"/>
      <c r="BP20" s="221"/>
      <c r="BQ20" s="221"/>
      <c r="BR20" s="221"/>
      <c r="BS20" s="221"/>
      <c r="BT20" s="221"/>
      <c r="BU20" s="221"/>
      <c r="BV20" s="221"/>
      <c r="BW20" s="221"/>
      <c r="BX20" s="221"/>
      <c r="BY20" s="221"/>
    </row>
    <row r="21" spans="2:77">
      <c r="B21" s="74"/>
      <c r="C21" s="72"/>
      <c r="D21" s="72"/>
      <c r="E21" s="75"/>
      <c r="F21" s="75"/>
      <c r="G21" s="75"/>
      <c r="H21" s="75"/>
      <c r="I21" s="75"/>
      <c r="J21" s="75"/>
      <c r="K21" s="75"/>
      <c r="L21" s="75"/>
      <c r="M21" s="75"/>
      <c r="N21" s="75"/>
      <c r="O21" s="75"/>
      <c r="P21" s="75"/>
      <c r="Q21" s="75"/>
      <c r="R21" s="75"/>
      <c r="S21" s="75"/>
      <c r="T21" s="75"/>
      <c r="U21" s="75"/>
      <c r="V21" s="75"/>
      <c r="W21" s="75"/>
      <c r="X21" s="75"/>
      <c r="Y21" s="75"/>
      <c r="Z21" s="75"/>
      <c r="AA21" s="72"/>
      <c r="AB21" s="76"/>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76"/>
      <c r="AZ21" s="77"/>
      <c r="BA21" s="77"/>
      <c r="BB21" s="78"/>
      <c r="BC21" s="76"/>
      <c r="BD21" s="221"/>
      <c r="BE21" s="221"/>
      <c r="BF21" s="221"/>
      <c r="BG21" s="221"/>
      <c r="BH21" s="221"/>
      <c r="BI21" s="221"/>
      <c r="BJ21" s="221"/>
      <c r="BK21" s="221"/>
      <c r="BL21" s="221"/>
      <c r="BM21" s="221"/>
      <c r="BN21" s="221"/>
      <c r="BO21" s="221"/>
      <c r="BP21" s="221"/>
      <c r="BQ21" s="221"/>
      <c r="BR21" s="221"/>
      <c r="BS21" s="221"/>
      <c r="BT21" s="221"/>
      <c r="BU21" s="221"/>
      <c r="BV21" s="221"/>
      <c r="BW21" s="221"/>
      <c r="BX21" s="221"/>
      <c r="BY21" s="221"/>
    </row>
    <row r="22" spans="2:77">
      <c r="B22" s="74" t="str">
        <f>BA22</f>
        <v>Total revenue - Domestic - Adelaide</v>
      </c>
      <c r="C22" s="72" t="s">
        <v>72</v>
      </c>
      <c r="D22" s="224" t="s">
        <v>1342</v>
      </c>
      <c r="E22" s="223">
        <f t="shared" ref="E22:Z22" si="11">AC22</f>
        <v>84.932001239601519</v>
      </c>
      <c r="F22" s="223">
        <f t="shared" si="11"/>
        <v>76.203619613635013</v>
      </c>
      <c r="G22" s="223">
        <f t="shared" si="11"/>
        <v>83.844580777095757</v>
      </c>
      <c r="H22" s="223">
        <f t="shared" si="11"/>
        <v>89.415799695429939</v>
      </c>
      <c r="I22" s="223">
        <f t="shared" si="11"/>
        <v>81.913429992591489</v>
      </c>
      <c r="J22" s="223">
        <f t="shared" si="11"/>
        <v>46.405899830904609</v>
      </c>
      <c r="K22" s="223">
        <f t="shared" si="11"/>
        <v>96.492942037542207</v>
      </c>
      <c r="L22" s="223">
        <f t="shared" si="11"/>
        <v>115.195938566862</v>
      </c>
      <c r="M22" s="223">
        <f t="shared" si="11"/>
        <v>98.571501131783805</v>
      </c>
      <c r="N22" s="223">
        <f t="shared" si="11"/>
        <v>101.2773754942676</v>
      </c>
      <c r="O22" s="223">
        <f t="shared" si="11"/>
        <v>135.7466063348416</v>
      </c>
      <c r="P22" s="223">
        <f t="shared" si="11"/>
        <v>122.879454175967</v>
      </c>
      <c r="Q22" s="223">
        <f t="shared" si="11"/>
        <v>125.4863883052921</v>
      </c>
      <c r="R22" s="223">
        <f t="shared" si="11"/>
        <v>126.0074318801236</v>
      </c>
      <c r="S22" s="223">
        <f t="shared" si="11"/>
        <v>131.4722520928897</v>
      </c>
      <c r="T22" s="223">
        <f t="shared" si="11"/>
        <v>130.8094708539148</v>
      </c>
      <c r="U22" s="223">
        <f t="shared" si="11"/>
        <v>133.93481570548749</v>
      </c>
      <c r="V22" s="223">
        <f t="shared" si="11"/>
        <v>133.5909774680768</v>
      </c>
      <c r="W22" s="223">
        <f t="shared" si="11"/>
        <v>137.6889842624237</v>
      </c>
      <c r="X22" s="223">
        <f t="shared" si="11"/>
        <v>137.14503461342869</v>
      </c>
      <c r="Y22" s="223">
        <f t="shared" si="11"/>
        <v>141.4362315810186</v>
      </c>
      <c r="Z22" s="223">
        <f t="shared" si="11"/>
        <v>140.99934150440379</v>
      </c>
      <c r="AA22" s="72"/>
      <c r="AB22" s="76"/>
      <c r="AC22" s="222">
        <v>84.932001239601519</v>
      </c>
      <c r="AD22" s="222">
        <v>76.203619613635013</v>
      </c>
      <c r="AE22" s="222">
        <v>83.844580777095757</v>
      </c>
      <c r="AF22" s="222">
        <v>89.415799695429939</v>
      </c>
      <c r="AG22" s="222">
        <v>81.913429992591489</v>
      </c>
      <c r="AH22" s="222">
        <v>46.405899830904609</v>
      </c>
      <c r="AI22" s="222">
        <v>96.492942037542207</v>
      </c>
      <c r="AJ22" s="222">
        <v>115.195938566862</v>
      </c>
      <c r="AK22" s="222">
        <v>98.571501131783805</v>
      </c>
      <c r="AL22" s="222">
        <v>101.2773754942676</v>
      </c>
      <c r="AM22" s="222">
        <v>135.7466063348416</v>
      </c>
      <c r="AN22" s="222">
        <v>122.879454175967</v>
      </c>
      <c r="AO22" s="222">
        <v>125.4863883052921</v>
      </c>
      <c r="AP22" s="222">
        <v>126.0074318801236</v>
      </c>
      <c r="AQ22" s="222">
        <v>131.4722520928897</v>
      </c>
      <c r="AR22" s="222">
        <v>130.8094708539148</v>
      </c>
      <c r="AS22" s="222">
        <v>133.93481570548749</v>
      </c>
      <c r="AT22" s="222">
        <v>133.5909774680768</v>
      </c>
      <c r="AU22" s="222">
        <v>137.6889842624237</v>
      </c>
      <c r="AV22" s="222">
        <v>137.14503461342869</v>
      </c>
      <c r="AW22" s="222">
        <v>141.4362315810186</v>
      </c>
      <c r="AX22" s="222">
        <v>140.99934150440379</v>
      </c>
      <c r="AY22" s="76"/>
      <c r="AZ22" s="77" t="s">
        <v>1259</v>
      </c>
      <c r="BA22" s="77" t="s">
        <v>1278</v>
      </c>
      <c r="BB22" s="78" t="s">
        <v>1261</v>
      </c>
      <c r="BC22" s="76"/>
      <c r="BD22" s="79">
        <f>_xll.VAData($AZ22,BD$2,$BA22,$BB22)</f>
        <v>83.039730334870242</v>
      </c>
      <c r="BE22" s="79">
        <f>_xll.VAData($AZ22,BE$2,$BA22,$BB22)</f>
        <v>74.433762308041807</v>
      </c>
      <c r="BF22" s="79">
        <f>_xll.VAData($AZ22,BF$2,$BA22,$BB22)</f>
        <v>83.844580777095757</v>
      </c>
      <c r="BG22" s="79">
        <f>_xll.VAData($AZ22,BG$2,$BA22,$BB22)</f>
        <v>71.057281227782838</v>
      </c>
      <c r="BH22" s="79">
        <f>_xll.VAData($AZ22,BH$2,$BA22,$BB22)</f>
        <v>81.913429992591489</v>
      </c>
      <c r="BI22" s="79">
        <f>_xll.VAData($AZ22,BI$2,$BA22,$BB22)</f>
        <v>43.836086390225823</v>
      </c>
      <c r="BJ22" s="79">
        <f>_xll.VAData($AZ22,BJ$2,$BA22,$BB22)</f>
        <v>93.20175361769968</v>
      </c>
      <c r="BK22" s="79">
        <f>_xll.VAData($AZ22,BK$2,$BA22,$BB22)</f>
        <v>110.72789705879627</v>
      </c>
      <c r="BL22" s="79">
        <f>_xll.VAData($AZ22,BL$2,$BA22,$BB22)</f>
        <v>98.571501131783805</v>
      </c>
      <c r="BM22" s="79">
        <f>_xll.VAData($AZ22,BM$2,$BA22,$BB22)</f>
        <v>101.2773754942676</v>
      </c>
      <c r="BN22" s="79">
        <f>_xll.VAData($AZ22,BN$2,$BA22,$BB22)</f>
        <v>129.9</v>
      </c>
      <c r="BO22" s="79">
        <f>_xll.VAData($AZ22,BO$2,$BA22,$BB22)</f>
        <v>122.87945417596696</v>
      </c>
      <c r="BP22" s="79">
        <f>_xll.VAData($AZ22,BP$2,$BA22,$BB22)</f>
        <v>116.8</v>
      </c>
      <c r="BQ22" s="79">
        <f>_xll.VAData($AZ22,BQ$2,$BA22,$BB22)</f>
        <v>120.1</v>
      </c>
      <c r="BR22" s="79">
        <f>_xll.VAData($AZ22,BR$2,$BA22,$BB22)</f>
        <v>123.2</v>
      </c>
      <c r="BS22" s="79">
        <f>_xll.VAData($AZ22,BS$2,$BA22,$BB22)</f>
        <v>108.8</v>
      </c>
      <c r="BT22" s="79">
        <f>_xll.VAData($AZ22,BT$2,$BA22,$BB22)</f>
        <v>124.5</v>
      </c>
      <c r="BU22" s="79">
        <f>_xll.VAData($AZ22,BU$2,$BA22,$BB22)</f>
        <v>122.1</v>
      </c>
      <c r="BV22" s="79">
        <f>_xll.VAData($AZ22,BV$2,$BA22,$BB22)</f>
        <v>128.55414132675119</v>
      </c>
      <c r="BW22" s="79">
        <f>_xll.VAData($AZ22,BW$2,$BA22,$BB22)</f>
        <v>124.50122611846808</v>
      </c>
      <c r="BX22" s="79">
        <f>_xll.VAData($AZ22,BX$2,$BA22,$BB22)</f>
        <v>117.93096876266979</v>
      </c>
      <c r="BY22" s="79">
        <f>_xll.VAData($AZ22,BY$2,$BA22,$BB22)</f>
        <v>123.38564700455971</v>
      </c>
    </row>
    <row r="23" spans="2:77">
      <c r="B23" s="228" t="s">
        <v>1347</v>
      </c>
      <c r="C23" s="72" t="s">
        <v>72</v>
      </c>
      <c r="D23" s="225" t="s">
        <v>1343</v>
      </c>
      <c r="E23" s="226" t="e">
        <f>HY!#REF!</f>
        <v>#REF!</v>
      </c>
      <c r="F23" s="226" t="e">
        <f>HY!#REF!</f>
        <v>#REF!</v>
      </c>
      <c r="G23" s="226" t="e">
        <f>HY!#REF!</f>
        <v>#REF!</v>
      </c>
      <c r="H23" s="226" t="e">
        <f>HY!#REF!</f>
        <v>#REF!</v>
      </c>
      <c r="I23" s="226" t="e">
        <f>HY!#REF!</f>
        <v>#REF!</v>
      </c>
      <c r="J23" s="226" t="e">
        <f>HY!#REF!</f>
        <v>#REF!</v>
      </c>
      <c r="K23" s="226" t="e">
        <f>HY!#REF!</f>
        <v>#REF!</v>
      </c>
      <c r="L23" s="226" t="e">
        <f>HY!#REF!</f>
        <v>#REF!</v>
      </c>
      <c r="M23" s="226" t="e">
        <f>HY!#REF!</f>
        <v>#REF!</v>
      </c>
      <c r="N23" s="226" t="e">
        <f>HY!#REF!</f>
        <v>#REF!</v>
      </c>
      <c r="O23" s="226" t="e">
        <f>HY!#REF!</f>
        <v>#REF!</v>
      </c>
      <c r="P23" s="226" t="e">
        <f>HY!#REF!</f>
        <v>#REF!</v>
      </c>
      <c r="Q23" s="226" t="e">
        <f>HY!#REF!</f>
        <v>#REF!</v>
      </c>
      <c r="R23" s="226" t="e">
        <f>HY!#REF!</f>
        <v>#REF!</v>
      </c>
      <c r="S23" s="226" t="e">
        <f>HY!#REF!</f>
        <v>#REF!</v>
      </c>
      <c r="T23" s="226" t="e">
        <f>HY!#REF!</f>
        <v>#REF!</v>
      </c>
      <c r="U23" s="226" t="e">
        <f>HY!#REF!</f>
        <v>#REF!</v>
      </c>
      <c r="V23" s="226" t="e">
        <f>HY!#REF!</f>
        <v>#REF!</v>
      </c>
      <c r="W23" s="226" t="e">
        <f>HY!#REF!</f>
        <v>#REF!</v>
      </c>
      <c r="X23" s="226" t="e">
        <f>HY!#REF!</f>
        <v>#REF!</v>
      </c>
      <c r="Y23" s="226" t="e">
        <f>HY!#REF!</f>
        <v>#REF!</v>
      </c>
      <c r="Z23" s="226" t="e">
        <f>HY!#REF!</f>
        <v>#REF!</v>
      </c>
      <c r="AA23" s="72"/>
      <c r="AB23" s="76"/>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76"/>
      <c r="AZ23" s="77"/>
      <c r="BA23" s="77"/>
      <c r="BB23" s="78"/>
      <c r="BC23" s="76"/>
      <c r="BD23" s="221"/>
      <c r="BE23" s="221"/>
      <c r="BF23" s="221"/>
      <c r="BG23" s="221"/>
      <c r="BH23" s="221"/>
      <c r="BI23" s="221"/>
      <c r="BJ23" s="221"/>
      <c r="BK23" s="221"/>
      <c r="BL23" s="221"/>
      <c r="BM23" s="221"/>
      <c r="BN23" s="221"/>
      <c r="BO23" s="221"/>
      <c r="BP23" s="221"/>
      <c r="BQ23" s="221"/>
      <c r="BR23" s="221"/>
      <c r="BS23" s="221"/>
      <c r="BT23" s="221"/>
      <c r="BU23" s="221"/>
      <c r="BV23" s="221"/>
      <c r="BW23" s="221"/>
      <c r="BX23" s="221"/>
      <c r="BY23" s="221"/>
    </row>
    <row r="24" spans="2:77">
      <c r="B24" s="74"/>
      <c r="C24" s="81" t="s">
        <v>88</v>
      </c>
      <c r="D24" s="72" t="s">
        <v>1344</v>
      </c>
      <c r="E24" s="227" t="str">
        <f t="shared" ref="E24:Z24" si="12">IFERROR(ROUND(E22/E23-1,3),"")</f>
        <v/>
      </c>
      <c r="F24" s="227" t="str">
        <f t="shared" si="12"/>
        <v/>
      </c>
      <c r="G24" s="227" t="str">
        <f t="shared" si="12"/>
        <v/>
      </c>
      <c r="H24" s="227" t="str">
        <f t="shared" si="12"/>
        <v/>
      </c>
      <c r="I24" s="227" t="str">
        <f t="shared" si="12"/>
        <v/>
      </c>
      <c r="J24" s="227" t="str">
        <f t="shared" si="12"/>
        <v/>
      </c>
      <c r="K24" s="227" t="str">
        <f t="shared" si="12"/>
        <v/>
      </c>
      <c r="L24" s="227" t="str">
        <f t="shared" si="12"/>
        <v/>
      </c>
      <c r="M24" s="227" t="str">
        <f t="shared" si="12"/>
        <v/>
      </c>
      <c r="N24" s="227" t="str">
        <f t="shared" si="12"/>
        <v/>
      </c>
      <c r="O24" s="227" t="str">
        <f t="shared" si="12"/>
        <v/>
      </c>
      <c r="P24" s="227" t="str">
        <f t="shared" si="12"/>
        <v/>
      </c>
      <c r="Q24" s="227" t="str">
        <f t="shared" si="12"/>
        <v/>
      </c>
      <c r="R24" s="227" t="str">
        <f t="shared" si="12"/>
        <v/>
      </c>
      <c r="S24" s="227" t="str">
        <f t="shared" si="12"/>
        <v/>
      </c>
      <c r="T24" s="227" t="str">
        <f t="shared" si="12"/>
        <v/>
      </c>
      <c r="U24" s="227" t="str">
        <f t="shared" si="12"/>
        <v/>
      </c>
      <c r="V24" s="227" t="str">
        <f t="shared" si="12"/>
        <v/>
      </c>
      <c r="W24" s="227" t="str">
        <f t="shared" si="12"/>
        <v/>
      </c>
      <c r="X24" s="227" t="str">
        <f t="shared" si="12"/>
        <v/>
      </c>
      <c r="Y24" s="227" t="str">
        <f t="shared" si="12"/>
        <v/>
      </c>
      <c r="Z24" s="227" t="str">
        <f t="shared" si="12"/>
        <v/>
      </c>
      <c r="AA24" s="72"/>
      <c r="AB24" s="76"/>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76"/>
      <c r="AZ24" s="77"/>
      <c r="BA24" s="77"/>
      <c r="BB24" s="78"/>
      <c r="BC24" s="76"/>
      <c r="BD24" s="221"/>
      <c r="BE24" s="221"/>
      <c r="BF24" s="221"/>
      <c r="BG24" s="221"/>
      <c r="BH24" s="221"/>
      <c r="BI24" s="221"/>
      <c r="BJ24" s="221"/>
      <c r="BK24" s="221"/>
      <c r="BL24" s="221"/>
      <c r="BM24" s="221"/>
      <c r="BN24" s="221"/>
      <c r="BO24" s="221"/>
      <c r="BP24" s="221"/>
      <c r="BQ24" s="221"/>
      <c r="BR24" s="221"/>
      <c r="BS24" s="221"/>
      <c r="BT24" s="221"/>
      <c r="BU24" s="221"/>
      <c r="BV24" s="221"/>
      <c r="BW24" s="221"/>
      <c r="BX24" s="221"/>
      <c r="BY24" s="221"/>
    </row>
    <row r="25" spans="2:77">
      <c r="B25" s="74"/>
      <c r="C25" s="72"/>
      <c r="D25" s="72"/>
      <c r="E25" s="75"/>
      <c r="F25" s="75"/>
      <c r="G25" s="75"/>
      <c r="H25" s="75"/>
      <c r="I25" s="75"/>
      <c r="J25" s="75"/>
      <c r="K25" s="75"/>
      <c r="L25" s="75"/>
      <c r="M25" s="75"/>
      <c r="N25" s="75"/>
      <c r="O25" s="75"/>
      <c r="P25" s="75"/>
      <c r="Q25" s="75"/>
      <c r="R25" s="75"/>
      <c r="S25" s="75"/>
      <c r="T25" s="75"/>
      <c r="U25" s="75"/>
      <c r="V25" s="75"/>
      <c r="W25" s="75"/>
      <c r="X25" s="75"/>
      <c r="Y25" s="75"/>
      <c r="Z25" s="75"/>
      <c r="AA25" s="72"/>
      <c r="AB25" s="76"/>
      <c r="AC25" s="221"/>
      <c r="AD25" s="221"/>
      <c r="AE25" s="221"/>
      <c r="AF25" s="221"/>
      <c r="AG25" s="221"/>
      <c r="AH25" s="221"/>
      <c r="AI25" s="221"/>
      <c r="AJ25" s="221"/>
      <c r="AK25" s="221"/>
      <c r="AL25" s="221"/>
      <c r="AM25" s="221"/>
      <c r="AN25" s="221"/>
      <c r="AO25" s="221"/>
      <c r="AP25" s="221"/>
      <c r="AQ25" s="221"/>
      <c r="AR25" s="221"/>
      <c r="AS25" s="221"/>
      <c r="AT25" s="221"/>
      <c r="AU25" s="221"/>
      <c r="AV25" s="221"/>
      <c r="AW25" s="221"/>
      <c r="AX25" s="221"/>
      <c r="AY25" s="76"/>
      <c r="AZ25" s="77"/>
      <c r="BA25" s="77"/>
      <c r="BB25" s="78"/>
      <c r="BC25" s="76"/>
      <c r="BD25" s="221"/>
      <c r="BE25" s="221"/>
      <c r="BF25" s="221"/>
      <c r="BG25" s="221"/>
      <c r="BH25" s="221"/>
      <c r="BI25" s="221"/>
      <c r="BJ25" s="221"/>
      <c r="BK25" s="221"/>
      <c r="BL25" s="221"/>
      <c r="BM25" s="221"/>
      <c r="BN25" s="221"/>
      <c r="BO25" s="221"/>
      <c r="BP25" s="221"/>
      <c r="BQ25" s="221"/>
      <c r="BR25" s="221"/>
      <c r="BS25" s="221"/>
      <c r="BT25" s="221"/>
      <c r="BU25" s="221"/>
      <c r="BV25" s="221"/>
      <c r="BW25" s="221"/>
      <c r="BX25" s="221"/>
      <c r="BY25" s="221"/>
    </row>
    <row r="26" spans="2:77">
      <c r="B26" s="74" t="str">
        <f>BA26</f>
        <v>Total revenue - International - Operating</v>
      </c>
      <c r="C26" s="72" t="s">
        <v>72</v>
      </c>
      <c r="D26" s="224" t="s">
        <v>1342</v>
      </c>
      <c r="E26" s="223">
        <f t="shared" ref="E26:Z26" si="13">AC26</f>
        <v>61.493474640000002</v>
      </c>
      <c r="F26" s="223">
        <f t="shared" si="13"/>
        <v>98.806525359999995</v>
      </c>
      <c r="G26" s="223">
        <f t="shared" si="13"/>
        <v>103.3</v>
      </c>
      <c r="H26" s="223">
        <f t="shared" si="13"/>
        <v>87.2</v>
      </c>
      <c r="I26" s="223">
        <f t="shared" si="13"/>
        <v>61.9</v>
      </c>
      <c r="J26" s="223">
        <f t="shared" si="13"/>
        <v>17</v>
      </c>
      <c r="K26" s="223">
        <f t="shared" si="13"/>
        <v>8.1999999999999993</v>
      </c>
      <c r="L26" s="223">
        <f t="shared" si="13"/>
        <v>13.9</v>
      </c>
      <c r="M26" s="223">
        <f t="shared" si="13"/>
        <v>2.5</v>
      </c>
      <c r="N26" s="223">
        <f t="shared" si="13"/>
        <v>14</v>
      </c>
      <c r="O26" s="223">
        <f t="shared" si="13"/>
        <v>16.399999999999999</v>
      </c>
      <c r="P26" s="223">
        <f t="shared" si="13"/>
        <v>18.899999999999999</v>
      </c>
      <c r="Q26" s="223">
        <f t="shared" si="13"/>
        <v>20.69161875</v>
      </c>
      <c r="R26" s="223">
        <f t="shared" si="13"/>
        <v>23.68726385281558</v>
      </c>
      <c r="S26" s="223">
        <f t="shared" si="13"/>
        <v>22.407327220420768</v>
      </c>
      <c r="T26" s="223">
        <f t="shared" si="13"/>
        <v>24.940602220420772</v>
      </c>
      <c r="U26" s="223">
        <f t="shared" si="13"/>
        <v>24.033010099919728</v>
      </c>
      <c r="V26" s="223">
        <f t="shared" si="13"/>
        <v>26.779183410256461</v>
      </c>
      <c r="W26" s="223">
        <f t="shared" si="13"/>
        <v>25.789387271432869</v>
      </c>
      <c r="X26" s="223">
        <f t="shared" si="13"/>
        <v>28.76424052785617</v>
      </c>
      <c r="Y26" s="223">
        <f t="shared" si="13"/>
        <v>27.167344214429171</v>
      </c>
      <c r="Z26" s="223">
        <f t="shared" si="13"/>
        <v>30.29023189483517</v>
      </c>
      <c r="AA26" s="72"/>
      <c r="AB26" s="76"/>
      <c r="AC26" s="222">
        <v>61.493474640000002</v>
      </c>
      <c r="AD26" s="222">
        <v>98.806525359999995</v>
      </c>
      <c r="AE26" s="222">
        <v>103.3</v>
      </c>
      <c r="AF26" s="222">
        <v>87.2</v>
      </c>
      <c r="AG26" s="222">
        <v>61.9</v>
      </c>
      <c r="AH26" s="222">
        <v>17</v>
      </c>
      <c r="AI26" s="222">
        <v>8.1999999999999993</v>
      </c>
      <c r="AJ26" s="222">
        <v>13.9</v>
      </c>
      <c r="AK26" s="222">
        <v>2.5</v>
      </c>
      <c r="AL26" s="222">
        <v>14</v>
      </c>
      <c r="AM26" s="222">
        <v>16.399999999999999</v>
      </c>
      <c r="AN26" s="222">
        <v>18.899999999999999</v>
      </c>
      <c r="AO26" s="222">
        <v>20.69161875</v>
      </c>
      <c r="AP26" s="222">
        <v>23.68726385281558</v>
      </c>
      <c r="AQ26" s="222">
        <v>22.407327220420768</v>
      </c>
      <c r="AR26" s="222">
        <v>24.940602220420772</v>
      </c>
      <c r="AS26" s="222">
        <v>24.033010099919728</v>
      </c>
      <c r="AT26" s="222">
        <v>26.779183410256461</v>
      </c>
      <c r="AU26" s="222">
        <v>25.789387271432869</v>
      </c>
      <c r="AV26" s="222">
        <v>28.76424052785617</v>
      </c>
      <c r="AW26" s="222">
        <v>27.167344214429171</v>
      </c>
      <c r="AX26" s="222">
        <v>30.29023189483517</v>
      </c>
      <c r="AY26" s="76"/>
      <c r="AZ26" s="77" t="s">
        <v>1259</v>
      </c>
      <c r="BA26" s="77" t="s">
        <v>1348</v>
      </c>
      <c r="BB26" s="78" t="s">
        <v>1261</v>
      </c>
      <c r="BC26" s="76"/>
      <c r="BD26" s="79">
        <f>_xll.VAData($AZ26,BD$2,$BA26,$BB26)</f>
        <v>64.767373199999994</v>
      </c>
      <c r="BE26" s="79">
        <f>_xll.VAData($AZ26,BE$2,$BA26,$BB26)</f>
        <v>95.532626800000003</v>
      </c>
      <c r="BF26" s="79">
        <f>_xll.VAData($AZ26,BF$2,$BA26,$BB26)</f>
        <v>103.303960254</v>
      </c>
      <c r="BG26" s="79">
        <f>_xll.VAData($AZ26,BG$2,$BA26,$BB26)</f>
        <v>87.157413345186001</v>
      </c>
      <c r="BH26" s="79">
        <f>_xll.VAData($AZ26,BH$2,$BA26,$BB26)</f>
        <v>61.879072192145998</v>
      </c>
      <c r="BI26" s="79">
        <f>_xll.VAData($AZ26,BI$2,$BA26,$BB26)</f>
        <v>16.995695602311301</v>
      </c>
      <c r="BJ26" s="79">
        <f>_xll.VAData($AZ26,BJ$2,$BA26,$BB26)</f>
        <v>8.2299166015554199</v>
      </c>
      <c r="BK26" s="79">
        <f>_xll.VAData($AZ26,BK$2,$BA26,$BB26)</f>
        <v>13.851491915883701</v>
      </c>
      <c r="BL26" s="79">
        <f>_xll.VAData($AZ26,BL$2,$BA26,$BB26)</f>
        <v>2.5</v>
      </c>
      <c r="BM26" s="79">
        <f>_xll.VAData($AZ26,BM$2,$BA26,$BB26)</f>
        <v>14</v>
      </c>
      <c r="BN26" s="79">
        <f>_xll.VAData($AZ26,BN$2,$BA26,$BB26)</f>
        <v>16.399999999999999</v>
      </c>
      <c r="BO26" s="79">
        <f>_xll.VAData($AZ26,BO$2,$BA26,$BB26)</f>
        <v>18.899999999999999</v>
      </c>
      <c r="BP26" s="79" t="str">
        <f>_xll.VAData($AZ26,BP$2,$BA26,$BB26)</f>
        <v>-</v>
      </c>
      <c r="BQ26" s="79" t="str">
        <f>_xll.VAData($AZ26,BQ$2,$BA26,$BB26)</f>
        <v>-</v>
      </c>
      <c r="BR26" s="79" t="str">
        <f>_xll.VAData($AZ26,BR$2,$BA26,$BB26)</f>
        <v>-</v>
      </c>
      <c r="BS26" s="79" t="str">
        <f>_xll.VAData($AZ26,BS$2,$BA26,$BB26)</f>
        <v>-</v>
      </c>
      <c r="BT26" s="79" t="str">
        <f>_xll.VAData($AZ26,BT$2,$BA26,$BB26)</f>
        <v>-</v>
      </c>
      <c r="BU26" s="79" t="str">
        <f>_xll.VAData($AZ26,BU$2,$BA26,$BB26)</f>
        <v>-</v>
      </c>
      <c r="BV26" s="79" t="str">
        <f>_xll.VAData($AZ26,BV$2,$BA26,$BB26)</f>
        <v>-</v>
      </c>
      <c r="BW26" s="79" t="str">
        <f>_xll.VAData($AZ26,BW$2,$BA26,$BB26)</f>
        <v>-</v>
      </c>
      <c r="BX26" s="79" t="str">
        <f>_xll.VAData($AZ26,BX$2,$BA26,$BB26)</f>
        <v>-</v>
      </c>
      <c r="BY26" s="79" t="str">
        <f>_xll.VAData($AZ26,BY$2,$BA26,$BB26)</f>
        <v>-</v>
      </c>
    </row>
    <row r="27" spans="2:77">
      <c r="B27" s="74"/>
      <c r="C27" s="72" t="s">
        <v>72</v>
      </c>
      <c r="D27" s="225" t="s">
        <v>1343</v>
      </c>
      <c r="E27" s="226" t="e">
        <f>HY!#REF!</f>
        <v>#REF!</v>
      </c>
      <c r="F27" s="226" t="e">
        <f>HY!#REF!</f>
        <v>#REF!</v>
      </c>
      <c r="G27" s="226" t="e">
        <f>HY!#REF!</f>
        <v>#REF!</v>
      </c>
      <c r="H27" s="226" t="e">
        <f>HY!#REF!</f>
        <v>#REF!</v>
      </c>
      <c r="I27" s="226" t="e">
        <f>HY!#REF!</f>
        <v>#REF!</v>
      </c>
      <c r="J27" s="226" t="e">
        <f>HY!#REF!</f>
        <v>#REF!</v>
      </c>
      <c r="K27" s="226" t="e">
        <f>HY!#REF!</f>
        <v>#REF!</v>
      </c>
      <c r="L27" s="226" t="e">
        <f>HY!#REF!</f>
        <v>#REF!</v>
      </c>
      <c r="M27" s="226" t="e">
        <f>HY!#REF!</f>
        <v>#REF!</v>
      </c>
      <c r="N27" s="226" t="e">
        <f>HY!#REF!</f>
        <v>#REF!</v>
      </c>
      <c r="O27" s="226" t="e">
        <f>HY!#REF!</f>
        <v>#REF!</v>
      </c>
      <c r="P27" s="226" t="e">
        <f>HY!#REF!</f>
        <v>#REF!</v>
      </c>
      <c r="Q27" s="226" t="e">
        <f>HY!#REF!</f>
        <v>#REF!</v>
      </c>
      <c r="R27" s="226" t="e">
        <f>HY!#REF!</f>
        <v>#REF!</v>
      </c>
      <c r="S27" s="226" t="e">
        <f>HY!#REF!</f>
        <v>#REF!</v>
      </c>
      <c r="T27" s="226" t="e">
        <f>HY!#REF!</f>
        <v>#REF!</v>
      </c>
      <c r="U27" s="226" t="e">
        <f>HY!#REF!</f>
        <v>#REF!</v>
      </c>
      <c r="V27" s="226" t="e">
        <f>HY!#REF!</f>
        <v>#REF!</v>
      </c>
      <c r="W27" s="226" t="e">
        <f>HY!#REF!</f>
        <v>#REF!</v>
      </c>
      <c r="X27" s="226" t="e">
        <f>HY!#REF!</f>
        <v>#REF!</v>
      </c>
      <c r="Y27" s="226" t="e">
        <f>HY!#REF!</f>
        <v>#REF!</v>
      </c>
      <c r="Z27" s="226" t="e">
        <f>HY!#REF!</f>
        <v>#REF!</v>
      </c>
      <c r="AA27" s="72"/>
      <c r="AB27" s="76"/>
      <c r="AC27" s="221"/>
      <c r="AD27" s="221"/>
      <c r="AE27" s="221"/>
      <c r="AF27" s="221"/>
      <c r="AG27" s="221"/>
      <c r="AH27" s="221"/>
      <c r="AI27" s="221"/>
      <c r="AJ27" s="221"/>
      <c r="AK27" s="221"/>
      <c r="AL27" s="221"/>
      <c r="AM27" s="221"/>
      <c r="AN27" s="221"/>
      <c r="AO27" s="221"/>
      <c r="AP27" s="221"/>
      <c r="AQ27" s="221"/>
      <c r="AR27" s="221"/>
      <c r="AS27" s="221"/>
      <c r="AT27" s="221"/>
      <c r="AU27" s="221"/>
      <c r="AV27" s="221"/>
      <c r="AW27" s="221"/>
      <c r="AX27" s="221"/>
      <c r="AY27" s="76"/>
      <c r="AZ27" s="77"/>
      <c r="BA27" s="77"/>
      <c r="BB27" s="78"/>
      <c r="BC27" s="76"/>
      <c r="BD27" s="221"/>
      <c r="BE27" s="221"/>
      <c r="BF27" s="221"/>
      <c r="BG27" s="221"/>
      <c r="BH27" s="221"/>
      <c r="BI27" s="221"/>
      <c r="BJ27" s="221"/>
      <c r="BK27" s="221"/>
      <c r="BL27" s="221"/>
      <c r="BM27" s="221"/>
      <c r="BN27" s="221"/>
      <c r="BO27" s="221"/>
      <c r="BP27" s="221"/>
      <c r="BQ27" s="221"/>
      <c r="BR27" s="221"/>
      <c r="BS27" s="221"/>
      <c r="BT27" s="221"/>
      <c r="BU27" s="221"/>
      <c r="BV27" s="221"/>
      <c r="BW27" s="221"/>
      <c r="BX27" s="221"/>
      <c r="BY27" s="221"/>
    </row>
    <row r="28" spans="2:77">
      <c r="B28" s="74"/>
      <c r="C28" s="81" t="s">
        <v>88</v>
      </c>
      <c r="D28" s="72" t="s">
        <v>1344</v>
      </c>
      <c r="E28" s="227" t="str">
        <f t="shared" ref="E28:Z28" si="14">IFERROR(ROUND(E26/E27-1,3),"")</f>
        <v/>
      </c>
      <c r="F28" s="227" t="str">
        <f t="shared" si="14"/>
        <v/>
      </c>
      <c r="G28" s="227" t="str">
        <f t="shared" si="14"/>
        <v/>
      </c>
      <c r="H28" s="227" t="str">
        <f t="shared" si="14"/>
        <v/>
      </c>
      <c r="I28" s="227" t="str">
        <f t="shared" si="14"/>
        <v/>
      </c>
      <c r="J28" s="227" t="str">
        <f t="shared" si="14"/>
        <v/>
      </c>
      <c r="K28" s="227" t="str">
        <f t="shared" si="14"/>
        <v/>
      </c>
      <c r="L28" s="227" t="str">
        <f t="shared" si="14"/>
        <v/>
      </c>
      <c r="M28" s="227" t="str">
        <f t="shared" si="14"/>
        <v/>
      </c>
      <c r="N28" s="227" t="str">
        <f t="shared" si="14"/>
        <v/>
      </c>
      <c r="O28" s="227" t="str">
        <f t="shared" si="14"/>
        <v/>
      </c>
      <c r="P28" s="227" t="str">
        <f t="shared" si="14"/>
        <v/>
      </c>
      <c r="Q28" s="227" t="str">
        <f t="shared" si="14"/>
        <v/>
      </c>
      <c r="R28" s="227" t="str">
        <f t="shared" si="14"/>
        <v/>
      </c>
      <c r="S28" s="227" t="str">
        <f t="shared" si="14"/>
        <v/>
      </c>
      <c r="T28" s="227" t="str">
        <f t="shared" si="14"/>
        <v/>
      </c>
      <c r="U28" s="227" t="str">
        <f t="shared" si="14"/>
        <v/>
      </c>
      <c r="V28" s="227" t="str">
        <f t="shared" si="14"/>
        <v/>
      </c>
      <c r="W28" s="227" t="str">
        <f t="shared" si="14"/>
        <v/>
      </c>
      <c r="X28" s="227" t="str">
        <f t="shared" si="14"/>
        <v/>
      </c>
      <c r="Y28" s="227" t="str">
        <f t="shared" si="14"/>
        <v/>
      </c>
      <c r="Z28" s="227" t="str">
        <f t="shared" si="14"/>
        <v/>
      </c>
      <c r="AA28" s="72"/>
      <c r="AB28" s="76"/>
      <c r="AC28" s="221"/>
      <c r="AD28" s="221"/>
      <c r="AE28" s="221"/>
      <c r="AF28" s="221"/>
      <c r="AG28" s="221"/>
      <c r="AH28" s="221"/>
      <c r="AI28" s="221"/>
      <c r="AJ28" s="221"/>
      <c r="AK28" s="221"/>
      <c r="AL28" s="221"/>
      <c r="AM28" s="221"/>
      <c r="AN28" s="221"/>
      <c r="AO28" s="221"/>
      <c r="AP28" s="221"/>
      <c r="AQ28" s="221"/>
      <c r="AR28" s="221"/>
      <c r="AS28" s="221"/>
      <c r="AT28" s="221"/>
      <c r="AU28" s="221"/>
      <c r="AV28" s="221"/>
      <c r="AW28" s="221"/>
      <c r="AX28" s="221"/>
      <c r="AY28" s="76"/>
      <c r="AZ28" s="77"/>
      <c r="BA28" s="77"/>
      <c r="BB28" s="78"/>
      <c r="BC28" s="76"/>
      <c r="BD28" s="221"/>
      <c r="BE28" s="221"/>
      <c r="BF28" s="221"/>
      <c r="BG28" s="221"/>
      <c r="BH28" s="221"/>
      <c r="BI28" s="221"/>
      <c r="BJ28" s="221"/>
      <c r="BK28" s="221"/>
      <c r="BL28" s="221"/>
      <c r="BM28" s="221"/>
      <c r="BN28" s="221"/>
      <c r="BO28" s="221"/>
      <c r="BP28" s="221"/>
      <c r="BQ28" s="221"/>
      <c r="BR28" s="221"/>
      <c r="BS28" s="221"/>
      <c r="BT28" s="221"/>
      <c r="BU28" s="221"/>
      <c r="BV28" s="221"/>
      <c r="BW28" s="221"/>
      <c r="BX28" s="221"/>
      <c r="BY28" s="221"/>
    </row>
    <row r="29" spans="2:77">
      <c r="B29" s="74"/>
      <c r="C29" s="72"/>
      <c r="D29" s="72"/>
      <c r="E29" s="75"/>
      <c r="F29" s="75"/>
      <c r="G29" s="75"/>
      <c r="H29" s="75"/>
      <c r="I29" s="75"/>
      <c r="J29" s="75"/>
      <c r="K29" s="75"/>
      <c r="L29" s="75"/>
      <c r="M29" s="75"/>
      <c r="N29" s="75"/>
      <c r="O29" s="75"/>
      <c r="P29" s="75"/>
      <c r="Q29" s="75"/>
      <c r="R29" s="75"/>
      <c r="S29" s="75"/>
      <c r="T29" s="75"/>
      <c r="U29" s="75"/>
      <c r="V29" s="75"/>
      <c r="W29" s="75"/>
      <c r="X29" s="75"/>
      <c r="Y29" s="75"/>
      <c r="Z29" s="75"/>
      <c r="AA29" s="72"/>
      <c r="AB29" s="76"/>
      <c r="AC29" s="221"/>
      <c r="AD29" s="221"/>
      <c r="AE29" s="221"/>
      <c r="AF29" s="221"/>
      <c r="AG29" s="221"/>
      <c r="AH29" s="221"/>
      <c r="AI29" s="221"/>
      <c r="AJ29" s="221"/>
      <c r="AK29" s="221"/>
      <c r="AL29" s="221"/>
      <c r="AM29" s="221"/>
      <c r="AN29" s="221"/>
      <c r="AO29" s="221"/>
      <c r="AP29" s="221"/>
      <c r="AQ29" s="221"/>
      <c r="AR29" s="221"/>
      <c r="AS29" s="221"/>
      <c r="AT29" s="221"/>
      <c r="AU29" s="221"/>
      <c r="AV29" s="221"/>
      <c r="AW29" s="221"/>
      <c r="AX29" s="221"/>
      <c r="AY29" s="76"/>
      <c r="AZ29" s="77"/>
      <c r="BA29" s="77"/>
      <c r="BB29" s="78"/>
      <c r="BC29" s="76"/>
      <c r="BD29" s="221"/>
      <c r="BE29" s="221"/>
      <c r="BF29" s="221"/>
      <c r="BG29" s="221"/>
      <c r="BH29" s="221"/>
      <c r="BI29" s="221"/>
      <c r="BJ29" s="221"/>
      <c r="BK29" s="221"/>
      <c r="BL29" s="221"/>
      <c r="BM29" s="221"/>
      <c r="BN29" s="221"/>
      <c r="BO29" s="221"/>
      <c r="BP29" s="221"/>
      <c r="BQ29" s="221"/>
      <c r="BR29" s="221"/>
      <c r="BS29" s="221"/>
      <c r="BT29" s="221"/>
      <c r="BU29" s="221"/>
      <c r="BV29" s="221"/>
      <c r="BW29" s="221"/>
      <c r="BX29" s="221"/>
      <c r="BY29" s="221"/>
    </row>
    <row r="30" spans="2:77">
      <c r="B30" s="74" t="str">
        <f>BA30</f>
        <v>Total revenue - Online &amp; e-sports</v>
      </c>
      <c r="C30" s="72" t="s">
        <v>72</v>
      </c>
      <c r="D30" s="224" t="s">
        <v>1342</v>
      </c>
      <c r="E30" s="223" t="str">
        <f t="shared" ref="E30:Z30" si="15">AC30</f>
        <v>-</v>
      </c>
      <c r="F30" s="223" t="str">
        <f t="shared" si="15"/>
        <v>-</v>
      </c>
      <c r="G30" s="223" t="str">
        <f t="shared" si="15"/>
        <v>-</v>
      </c>
      <c r="H30" s="223">
        <f t="shared" si="15"/>
        <v>-0.5</v>
      </c>
      <c r="I30" s="223">
        <f t="shared" si="15"/>
        <v>0.35</v>
      </c>
      <c r="J30" s="223">
        <f t="shared" si="15"/>
        <v>4.625</v>
      </c>
      <c r="K30" s="223">
        <f t="shared" si="15"/>
        <v>7.5</v>
      </c>
      <c r="L30" s="223">
        <f t="shared" si="15"/>
        <v>5.6</v>
      </c>
      <c r="M30" s="223">
        <f t="shared" si="15"/>
        <v>9.3000000000000007</v>
      </c>
      <c r="N30" s="223">
        <f t="shared" si="15"/>
        <v>7.6</v>
      </c>
      <c r="O30" s="223">
        <f t="shared" si="15"/>
        <v>7.9</v>
      </c>
      <c r="P30" s="223">
        <f t="shared" si="15"/>
        <v>7.5</v>
      </c>
      <c r="Q30" s="223">
        <f t="shared" si="15"/>
        <v>7.6711948067264428</v>
      </c>
      <c r="R30" s="223">
        <f t="shared" si="15"/>
        <v>7.4645804493786123</v>
      </c>
      <c r="S30" s="223">
        <f t="shared" si="15"/>
        <v>8.0752299949598303</v>
      </c>
      <c r="T30" s="223">
        <f t="shared" si="15"/>
        <v>7.8182040816919169</v>
      </c>
      <c r="U30" s="223">
        <f t="shared" si="15"/>
        <v>11.317082582492221</v>
      </c>
      <c r="V30" s="223">
        <f t="shared" si="15"/>
        <v>10.912610552018959</v>
      </c>
      <c r="W30" s="223">
        <f t="shared" si="15"/>
        <v>12.578679451828441</v>
      </c>
      <c r="X30" s="223">
        <f t="shared" si="15"/>
        <v>12.126233644966289</v>
      </c>
      <c r="Y30" s="223">
        <f t="shared" si="15"/>
        <v>13.67216467888916</v>
      </c>
      <c r="Z30" s="223">
        <f t="shared" si="15"/>
        <v>13.18188725209917</v>
      </c>
      <c r="AA30" s="72"/>
      <c r="AB30" s="76"/>
      <c r="AC30" s="222" t="s">
        <v>967</v>
      </c>
      <c r="AD30" s="222" t="s">
        <v>967</v>
      </c>
      <c r="AE30" s="222" t="s">
        <v>967</v>
      </c>
      <c r="AF30" s="222">
        <v>-0.5</v>
      </c>
      <c r="AG30" s="222">
        <v>0.35</v>
      </c>
      <c r="AH30" s="222">
        <v>4.625</v>
      </c>
      <c r="AI30" s="222">
        <v>7.5</v>
      </c>
      <c r="AJ30" s="222">
        <v>5.6</v>
      </c>
      <c r="AK30" s="222">
        <v>9.3000000000000007</v>
      </c>
      <c r="AL30" s="222">
        <v>7.6</v>
      </c>
      <c r="AM30" s="222">
        <v>7.9</v>
      </c>
      <c r="AN30" s="222">
        <v>7.5</v>
      </c>
      <c r="AO30" s="222">
        <v>7.6711948067264428</v>
      </c>
      <c r="AP30" s="222">
        <v>7.4645804493786123</v>
      </c>
      <c r="AQ30" s="222">
        <v>8.0752299949598303</v>
      </c>
      <c r="AR30" s="222">
        <v>7.8182040816919169</v>
      </c>
      <c r="AS30" s="222">
        <v>11.317082582492221</v>
      </c>
      <c r="AT30" s="222">
        <v>10.912610552018959</v>
      </c>
      <c r="AU30" s="222">
        <v>12.578679451828441</v>
      </c>
      <c r="AV30" s="222">
        <v>12.126233644966289</v>
      </c>
      <c r="AW30" s="222">
        <v>13.67216467888916</v>
      </c>
      <c r="AX30" s="222">
        <v>13.18188725209917</v>
      </c>
      <c r="AY30" s="76"/>
      <c r="AZ30" s="77" t="s">
        <v>1259</v>
      </c>
      <c r="BA30" s="77" t="s">
        <v>1280</v>
      </c>
      <c r="BB30" s="78" t="s">
        <v>1261</v>
      </c>
      <c r="BC30" s="76"/>
      <c r="BD30" s="79" t="str">
        <f>_xll.VAData($AZ30,BD$2,$BA30,$BB30)</f>
        <v>-</v>
      </c>
      <c r="BE30" s="79" t="str">
        <f>_xll.VAData($AZ30,BE$2,$BA30,$BB30)</f>
        <v>-</v>
      </c>
      <c r="BF30" s="79" t="str">
        <f>_xll.VAData($AZ30,BF$2,$BA30,$BB30)</f>
        <v>-</v>
      </c>
      <c r="BG30" s="79" t="str">
        <f>_xll.VAData($AZ30,BG$2,$BA30,$BB30)</f>
        <v>-</v>
      </c>
      <c r="BH30" s="79">
        <f>_xll.VAData($AZ30,BH$2,$BA30,$BB30)</f>
        <v>0.3</v>
      </c>
      <c r="BI30" s="79">
        <f>_xll.VAData($AZ30,BI$2,$BA30,$BB30)</f>
        <v>4.30525</v>
      </c>
      <c r="BJ30" s="79">
        <f>_xll.VAData($AZ30,BJ$2,$BA30,$BB30)</f>
        <v>7.6565000000000003</v>
      </c>
      <c r="BK30" s="79">
        <f>_xll.VAData($AZ30,BK$2,$BA30,$BB30)</f>
        <v>5.6784999999999997</v>
      </c>
      <c r="BL30" s="79">
        <f>_xll.VAData($AZ30,BL$2,$BA30,$BB30)</f>
        <v>9.3000000000000007</v>
      </c>
      <c r="BM30" s="79">
        <f>_xll.VAData($AZ30,BM$2,$BA30,$BB30)</f>
        <v>7.6</v>
      </c>
      <c r="BN30" s="79">
        <f>_xll.VAData($AZ30,BN$2,$BA30,$BB30)</f>
        <v>7.9</v>
      </c>
      <c r="BO30" s="79">
        <f>_xll.VAData($AZ30,BO$2,$BA30,$BB30)</f>
        <v>7.5</v>
      </c>
      <c r="BP30" s="79">
        <f>_xll.VAData($AZ30,BP$2,$BA30,$BB30)</f>
        <v>5.6</v>
      </c>
      <c r="BQ30" s="79">
        <f>_xll.VAData($AZ30,BQ$2,$BA30,$BB30)</f>
        <v>3.8</v>
      </c>
      <c r="BR30" s="79">
        <f>_xll.VAData($AZ30,BR$2,$BA30,$BB30)</f>
        <v>2.1</v>
      </c>
      <c r="BS30" s="79">
        <f>_xll.VAData($AZ30,BS$2,$BA30,$BB30)</f>
        <v>2</v>
      </c>
      <c r="BT30" s="79">
        <f>_xll.VAData($AZ30,BT$2,$BA30,$BB30)</f>
        <v>1.6</v>
      </c>
      <c r="BU30" s="79">
        <f>_xll.VAData($AZ30,BU$2,$BA30,$BB30)</f>
        <v>1.2</v>
      </c>
      <c r="BV30" s="79">
        <f>_xll.VAData($AZ30,BV$2,$BA30,$BB30)</f>
        <v>2.8940000000000001</v>
      </c>
      <c r="BW30" s="79">
        <f>_xll.VAData($AZ30,BW$2,$BA30,$BB30)</f>
        <v>5.7610000000000001</v>
      </c>
      <c r="BX30" s="79">
        <f>_xll.VAData($AZ30,BX$2,$BA30,$BB30)</f>
        <v>18.003997282699999</v>
      </c>
      <c r="BY30" s="79">
        <f>_xll.VAData($AZ30,BY$2,$BA30,$BB30)</f>
        <v>22.55575307148235</v>
      </c>
    </row>
    <row r="31" spans="2:77">
      <c r="B31" s="74"/>
      <c r="C31" s="72" t="s">
        <v>72</v>
      </c>
      <c r="D31" s="225" t="s">
        <v>1343</v>
      </c>
      <c r="E31" s="226" t="e">
        <f>HY!#REF!</f>
        <v>#REF!</v>
      </c>
      <c r="F31" s="226" t="e">
        <f>HY!#REF!</f>
        <v>#REF!</v>
      </c>
      <c r="G31" s="226" t="e">
        <f>HY!#REF!</f>
        <v>#REF!</v>
      </c>
      <c r="H31" s="226" t="e">
        <f>HY!#REF!</f>
        <v>#REF!</v>
      </c>
      <c r="I31" s="226" t="e">
        <f>HY!#REF!</f>
        <v>#REF!</v>
      </c>
      <c r="J31" s="226" t="e">
        <f>HY!#REF!</f>
        <v>#REF!</v>
      </c>
      <c r="K31" s="226" t="e">
        <f>HY!#REF!</f>
        <v>#REF!</v>
      </c>
      <c r="L31" s="226" t="e">
        <f>HY!#REF!</f>
        <v>#REF!</v>
      </c>
      <c r="M31" s="226" t="e">
        <f>HY!#REF!</f>
        <v>#REF!</v>
      </c>
      <c r="N31" s="226" t="e">
        <f>HY!#REF!</f>
        <v>#REF!</v>
      </c>
      <c r="O31" s="226" t="e">
        <f>HY!#REF!</f>
        <v>#REF!</v>
      </c>
      <c r="P31" s="226" t="e">
        <f>HY!#REF!</f>
        <v>#REF!</v>
      </c>
      <c r="Q31" s="226" t="e">
        <f>HY!#REF!</f>
        <v>#REF!</v>
      </c>
      <c r="R31" s="226" t="e">
        <f>HY!#REF!</f>
        <v>#REF!</v>
      </c>
      <c r="S31" s="226" t="e">
        <f>HY!#REF!</f>
        <v>#REF!</v>
      </c>
      <c r="T31" s="226" t="e">
        <f>HY!#REF!</f>
        <v>#REF!</v>
      </c>
      <c r="U31" s="226" t="e">
        <f>HY!#REF!</f>
        <v>#REF!</v>
      </c>
      <c r="V31" s="226" t="e">
        <f>HY!#REF!</f>
        <v>#REF!</v>
      </c>
      <c r="W31" s="226" t="e">
        <f>HY!#REF!</f>
        <v>#REF!</v>
      </c>
      <c r="X31" s="226" t="e">
        <f>HY!#REF!</f>
        <v>#REF!</v>
      </c>
      <c r="Y31" s="226" t="e">
        <f>HY!#REF!</f>
        <v>#REF!</v>
      </c>
      <c r="Z31" s="226" t="e">
        <f>HY!#REF!</f>
        <v>#REF!</v>
      </c>
      <c r="AA31" s="72"/>
      <c r="AB31" s="76"/>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76"/>
      <c r="AZ31" s="77"/>
      <c r="BA31" s="77"/>
      <c r="BB31" s="78"/>
      <c r="BC31" s="76"/>
      <c r="BD31" s="221"/>
      <c r="BE31" s="221"/>
      <c r="BF31" s="221"/>
      <c r="BG31" s="221"/>
      <c r="BH31" s="221"/>
      <c r="BI31" s="221"/>
      <c r="BJ31" s="221"/>
      <c r="BK31" s="221"/>
      <c r="BL31" s="221"/>
      <c r="BM31" s="221"/>
      <c r="BN31" s="221"/>
      <c r="BO31" s="221"/>
      <c r="BP31" s="221"/>
      <c r="BQ31" s="221"/>
      <c r="BR31" s="221"/>
      <c r="BS31" s="221"/>
      <c r="BT31" s="221"/>
      <c r="BU31" s="221"/>
      <c r="BV31" s="221"/>
      <c r="BW31" s="221"/>
      <c r="BX31" s="221"/>
      <c r="BY31" s="221"/>
    </row>
    <row r="32" spans="2:77">
      <c r="B32" s="74"/>
      <c r="C32" s="81" t="s">
        <v>88</v>
      </c>
      <c r="D32" s="72" t="s">
        <v>1344</v>
      </c>
      <c r="E32" s="227" t="str">
        <f t="shared" ref="E32:Z32" si="16">IFERROR(ROUND(E30/E31-1,3),"")</f>
        <v/>
      </c>
      <c r="F32" s="227" t="str">
        <f t="shared" si="16"/>
        <v/>
      </c>
      <c r="G32" s="227" t="str">
        <f t="shared" si="16"/>
        <v/>
      </c>
      <c r="H32" s="227" t="str">
        <f t="shared" si="16"/>
        <v/>
      </c>
      <c r="I32" s="227" t="str">
        <f t="shared" si="16"/>
        <v/>
      </c>
      <c r="J32" s="227" t="str">
        <f t="shared" si="16"/>
        <v/>
      </c>
      <c r="K32" s="227" t="str">
        <f t="shared" si="16"/>
        <v/>
      </c>
      <c r="L32" s="227" t="str">
        <f t="shared" si="16"/>
        <v/>
      </c>
      <c r="M32" s="227" t="str">
        <f t="shared" si="16"/>
        <v/>
      </c>
      <c r="N32" s="227" t="str">
        <f t="shared" si="16"/>
        <v/>
      </c>
      <c r="O32" s="227" t="str">
        <f t="shared" si="16"/>
        <v/>
      </c>
      <c r="P32" s="227" t="str">
        <f t="shared" si="16"/>
        <v/>
      </c>
      <c r="Q32" s="227" t="str">
        <f t="shared" si="16"/>
        <v/>
      </c>
      <c r="R32" s="227" t="str">
        <f t="shared" si="16"/>
        <v/>
      </c>
      <c r="S32" s="227" t="str">
        <f t="shared" si="16"/>
        <v/>
      </c>
      <c r="T32" s="227" t="str">
        <f t="shared" si="16"/>
        <v/>
      </c>
      <c r="U32" s="227" t="str">
        <f t="shared" si="16"/>
        <v/>
      </c>
      <c r="V32" s="227" t="str">
        <f t="shared" si="16"/>
        <v/>
      </c>
      <c r="W32" s="227" t="str">
        <f t="shared" si="16"/>
        <v/>
      </c>
      <c r="X32" s="227" t="str">
        <f t="shared" si="16"/>
        <v/>
      </c>
      <c r="Y32" s="227" t="str">
        <f t="shared" si="16"/>
        <v/>
      </c>
      <c r="Z32" s="227" t="str">
        <f t="shared" si="16"/>
        <v/>
      </c>
      <c r="AA32" s="72"/>
      <c r="AB32" s="76"/>
      <c r="AC32" s="221"/>
      <c r="AD32" s="221"/>
      <c r="AE32" s="221"/>
      <c r="AF32" s="221"/>
      <c r="AG32" s="221"/>
      <c r="AH32" s="221"/>
      <c r="AI32" s="221"/>
      <c r="AJ32" s="221"/>
      <c r="AK32" s="221"/>
      <c r="AL32" s="221"/>
      <c r="AM32" s="221"/>
      <c r="AN32" s="221"/>
      <c r="AO32" s="221"/>
      <c r="AP32" s="221"/>
      <c r="AQ32" s="221"/>
      <c r="AR32" s="221"/>
      <c r="AS32" s="221"/>
      <c r="AT32" s="221"/>
      <c r="AU32" s="221"/>
      <c r="AV32" s="221"/>
      <c r="AW32" s="221"/>
      <c r="AX32" s="221"/>
      <c r="AY32" s="76"/>
      <c r="AZ32" s="77"/>
      <c r="BA32" s="77"/>
      <c r="BB32" s="78"/>
      <c r="BC32" s="76"/>
      <c r="BD32" s="221"/>
      <c r="BE32" s="221"/>
      <c r="BF32" s="221"/>
      <c r="BG32" s="221"/>
      <c r="BH32" s="221"/>
      <c r="BI32" s="221"/>
      <c r="BJ32" s="221"/>
      <c r="BK32" s="221"/>
      <c r="BL32" s="221"/>
      <c r="BM32" s="221"/>
      <c r="BN32" s="221"/>
      <c r="BO32" s="221"/>
      <c r="BP32" s="221"/>
      <c r="BQ32" s="221"/>
      <c r="BR32" s="221"/>
      <c r="BS32" s="221"/>
      <c r="BT32" s="221"/>
      <c r="BU32" s="221"/>
      <c r="BV32" s="221"/>
      <c r="BW32" s="221"/>
      <c r="BX32" s="221"/>
      <c r="BY32" s="221"/>
    </row>
    <row r="33" spans="1:77">
      <c r="B33" s="74"/>
      <c r="C33" s="72"/>
      <c r="D33" s="72"/>
      <c r="E33" s="75"/>
      <c r="F33" s="75"/>
      <c r="G33" s="75"/>
      <c r="H33" s="75"/>
      <c r="I33" s="75"/>
      <c r="J33" s="75"/>
      <c r="K33" s="75"/>
      <c r="L33" s="75"/>
      <c r="M33" s="75"/>
      <c r="N33" s="75"/>
      <c r="O33" s="75"/>
      <c r="P33" s="75"/>
      <c r="Q33" s="75"/>
      <c r="R33" s="75"/>
      <c r="S33" s="75"/>
      <c r="T33" s="75"/>
      <c r="U33" s="75"/>
      <c r="V33" s="75"/>
      <c r="W33" s="75"/>
      <c r="X33" s="75"/>
      <c r="Y33" s="75"/>
      <c r="Z33" s="75"/>
      <c r="AA33" s="72"/>
      <c r="AB33" s="76"/>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76"/>
      <c r="AZ33" s="77"/>
      <c r="BA33" s="77"/>
      <c r="BB33" s="78"/>
      <c r="BC33" s="76"/>
      <c r="BD33" s="221"/>
      <c r="BE33" s="221"/>
      <c r="BF33" s="221"/>
      <c r="BG33" s="221"/>
      <c r="BH33" s="221"/>
      <c r="BI33" s="221"/>
      <c r="BJ33" s="221"/>
      <c r="BK33" s="221"/>
      <c r="BL33" s="221"/>
      <c r="BM33" s="221"/>
      <c r="BN33" s="221"/>
      <c r="BO33" s="221"/>
      <c r="BP33" s="221"/>
      <c r="BQ33" s="221"/>
      <c r="BR33" s="221"/>
      <c r="BS33" s="221"/>
      <c r="BT33" s="221"/>
      <c r="BU33" s="221"/>
      <c r="BV33" s="221"/>
      <c r="BW33" s="221"/>
      <c r="BX33" s="221"/>
      <c r="BY33" s="221"/>
    </row>
    <row r="34" spans="1:77">
      <c r="B34" s="74" t="str">
        <f>BA34</f>
        <v>Total revenue - Operating</v>
      </c>
      <c r="C34" s="72" t="s">
        <v>72</v>
      </c>
      <c r="D34" s="224" t="s">
        <v>1342</v>
      </c>
      <c r="E34" s="223">
        <f t="shared" ref="E34:Z34" si="17">AC34</f>
        <v>540.59033586981184</v>
      </c>
      <c r="F34" s="223">
        <f t="shared" si="17"/>
        <v>558.36020995928584</v>
      </c>
      <c r="G34" s="223">
        <f t="shared" si="17"/>
        <v>598</v>
      </c>
      <c r="H34" s="223">
        <f t="shared" si="17"/>
        <v>520.9</v>
      </c>
      <c r="I34" s="223">
        <f t="shared" si="17"/>
        <v>490.9</v>
      </c>
      <c r="J34" s="223">
        <f t="shared" si="17"/>
        <v>288.60000000000002</v>
      </c>
      <c r="K34" s="223">
        <f t="shared" si="17"/>
        <v>386.9</v>
      </c>
      <c r="L34" s="223">
        <f t="shared" si="17"/>
        <v>435.6</v>
      </c>
      <c r="M34" s="223">
        <f t="shared" si="17"/>
        <v>260.8</v>
      </c>
      <c r="N34" s="223">
        <f t="shared" si="17"/>
        <v>370.7</v>
      </c>
      <c r="O34" s="223">
        <f t="shared" si="17"/>
        <v>487.4</v>
      </c>
      <c r="P34" s="223">
        <f t="shared" si="17"/>
        <v>479.3</v>
      </c>
      <c r="Q34" s="223">
        <f t="shared" si="17"/>
        <v>494.19265658173379</v>
      </c>
      <c r="R34" s="223">
        <f t="shared" si="17"/>
        <v>506.62768097892962</v>
      </c>
      <c r="S34" s="223">
        <f t="shared" si="17"/>
        <v>532.80755257010503</v>
      </c>
      <c r="T34" s="223">
        <f t="shared" si="17"/>
        <v>539.00142894922453</v>
      </c>
      <c r="U34" s="223">
        <f t="shared" si="17"/>
        <v>550.81801547414329</v>
      </c>
      <c r="V34" s="223">
        <f t="shared" si="17"/>
        <v>547.58286119830598</v>
      </c>
      <c r="W34" s="223">
        <f t="shared" si="17"/>
        <v>569.69358868451604</v>
      </c>
      <c r="X34" s="223">
        <f t="shared" si="17"/>
        <v>564.90391618101171</v>
      </c>
      <c r="Y34" s="223">
        <f t="shared" si="17"/>
        <v>587.45822069621067</v>
      </c>
      <c r="Z34" s="223">
        <f t="shared" si="17"/>
        <v>583.31476421255866</v>
      </c>
      <c r="AA34" s="72"/>
      <c r="AB34" s="76"/>
      <c r="AC34" s="222">
        <v>540.59033586981184</v>
      </c>
      <c r="AD34" s="222">
        <v>558.36020995928584</v>
      </c>
      <c r="AE34" s="222">
        <v>598</v>
      </c>
      <c r="AF34" s="222">
        <v>520.9</v>
      </c>
      <c r="AG34" s="222">
        <v>490.9</v>
      </c>
      <c r="AH34" s="222">
        <v>288.60000000000002</v>
      </c>
      <c r="AI34" s="222">
        <v>386.9</v>
      </c>
      <c r="AJ34" s="222">
        <v>435.6</v>
      </c>
      <c r="AK34" s="222">
        <v>260.8</v>
      </c>
      <c r="AL34" s="222">
        <v>370.7</v>
      </c>
      <c r="AM34" s="222">
        <v>487.4</v>
      </c>
      <c r="AN34" s="222">
        <v>479.3</v>
      </c>
      <c r="AO34" s="222">
        <v>494.19265658173379</v>
      </c>
      <c r="AP34" s="222">
        <v>506.62768097892962</v>
      </c>
      <c r="AQ34" s="222">
        <v>532.80755257010503</v>
      </c>
      <c r="AR34" s="222">
        <v>539.00142894922453</v>
      </c>
      <c r="AS34" s="222">
        <v>550.81801547414329</v>
      </c>
      <c r="AT34" s="222">
        <v>547.58286119830598</v>
      </c>
      <c r="AU34" s="222">
        <v>569.69358868451604</v>
      </c>
      <c r="AV34" s="222">
        <v>564.90391618101171</v>
      </c>
      <c r="AW34" s="222">
        <v>587.45822069621067</v>
      </c>
      <c r="AX34" s="222">
        <v>583.31476421255866</v>
      </c>
      <c r="AY34" s="76"/>
      <c r="AZ34" s="77" t="s">
        <v>1259</v>
      </c>
      <c r="BA34" s="77" t="s">
        <v>1260</v>
      </c>
      <c r="BB34" s="78" t="s">
        <v>1261</v>
      </c>
      <c r="BC34" s="76"/>
      <c r="BD34" s="79">
        <f>_xll.VAData($AZ34,BD$2,$BA34,$BB34)</f>
        <v>503.96291983726474</v>
      </c>
      <c r="BE34" s="79">
        <f>_xll.VAData($AZ34,BE$2,$BA34,$BB34)</f>
        <v>526.19955536615203</v>
      </c>
      <c r="BF34" s="79">
        <f>_xll.VAData($AZ34,BF$2,$BA34,$BB34)</f>
        <v>532.9</v>
      </c>
      <c r="BG34" s="79">
        <f>_xll.VAData($AZ34,BG$2,$BA34,$BB34)</f>
        <v>496.9</v>
      </c>
      <c r="BH34" s="79">
        <f>_xll.VAData($AZ34,BH$2,$BA34,$BB34)</f>
        <v>490.9</v>
      </c>
      <c r="BI34" s="79">
        <f>_xll.VAData($AZ34,BI$2,$BA34,$BB34)</f>
        <v>288.60000000000002</v>
      </c>
      <c r="BJ34" s="79">
        <f>_xll.VAData($AZ34,BJ$2,$BA34,$BB34)</f>
        <v>386.9</v>
      </c>
      <c r="BK34" s="79">
        <f>_xll.VAData($AZ34,BK$2,$BA34,$BB34)</f>
        <v>435.6</v>
      </c>
      <c r="BL34" s="79">
        <f>_xll.VAData($AZ34,BL$2,$BA34,$BB34)</f>
        <v>260.8</v>
      </c>
      <c r="BM34" s="79">
        <f>_xll.VAData($AZ34,BM$2,$BA34,$BB34)</f>
        <v>370.7</v>
      </c>
      <c r="BN34" s="79">
        <f>_xll.VAData($AZ34,BN$2,$BA34,$BB34)</f>
        <v>438.9</v>
      </c>
      <c r="BO34" s="79">
        <f>_xll.VAData($AZ34,BO$2,$BA34,$BB34)</f>
        <v>423.7</v>
      </c>
      <c r="BP34" s="79">
        <f>_xll.VAData($AZ34,BP$2,$BA34,$BB34)</f>
        <v>442.8</v>
      </c>
      <c r="BQ34" s="79">
        <f>_xll.VAData($AZ34,BQ$2,$BA34,$BB34)</f>
        <v>427.70200352855397</v>
      </c>
      <c r="BR34" s="79">
        <f>_xll.VAData($AZ34,BR$2,$BA34,$BB34)</f>
        <v>422</v>
      </c>
      <c r="BS34" s="79">
        <f>_xll.VAData($AZ34,BS$2,$BA34,$BB34)</f>
        <v>403.2</v>
      </c>
      <c r="BT34" s="79">
        <f>_xll.VAData($AZ34,BT$2,$BA34,$BB34)</f>
        <v>411.7</v>
      </c>
      <c r="BU34" s="79">
        <f>_xll.VAData($AZ34,BU$2,$BA34,$BB34)</f>
        <v>411</v>
      </c>
      <c r="BV34" s="79">
        <f>_xll.VAData($AZ34,BV$2,$BA34,$BB34)</f>
        <v>408.04924807163724</v>
      </c>
      <c r="BW34" s="79">
        <f>_xll.VAData($AZ34,BW$2,$BA34,$BB34)</f>
        <v>403.744546609841</v>
      </c>
      <c r="BX34" s="79">
        <f>_xll.VAData($AZ34,BX$2,$BA34,$BB34)</f>
        <v>415.39171630547997</v>
      </c>
      <c r="BY34" s="79">
        <f>_xll.VAData($AZ34,BY$2,$BA34,$BB34)</f>
        <v>429.07012435831098</v>
      </c>
    </row>
    <row r="35" spans="1:77">
      <c r="B35" s="74"/>
      <c r="C35" s="72" t="s">
        <v>72</v>
      </c>
      <c r="D35" s="225" t="s">
        <v>1343</v>
      </c>
      <c r="E35" s="226" t="e">
        <f>HY!#REF!</f>
        <v>#REF!</v>
      </c>
      <c r="F35" s="226" t="e">
        <f>HY!#REF!</f>
        <v>#REF!</v>
      </c>
      <c r="G35" s="226" t="e">
        <f>HY!#REF!</f>
        <v>#REF!</v>
      </c>
      <c r="H35" s="226" t="e">
        <f>HY!#REF!</f>
        <v>#REF!</v>
      </c>
      <c r="I35" s="226" t="e">
        <f>HY!#REF!</f>
        <v>#REF!</v>
      </c>
      <c r="J35" s="226" t="e">
        <f>HY!#REF!</f>
        <v>#REF!</v>
      </c>
      <c r="K35" s="226" t="e">
        <f>HY!#REF!</f>
        <v>#REF!</v>
      </c>
      <c r="L35" s="226" t="e">
        <f>HY!#REF!</f>
        <v>#REF!</v>
      </c>
      <c r="M35" s="226" t="e">
        <f>HY!#REF!</f>
        <v>#REF!</v>
      </c>
      <c r="N35" s="226" t="e">
        <f>HY!#REF!</f>
        <v>#REF!</v>
      </c>
      <c r="O35" s="226" t="e">
        <f>HY!#REF!</f>
        <v>#REF!</v>
      </c>
      <c r="P35" s="226" t="e">
        <f>HY!#REF!</f>
        <v>#REF!</v>
      </c>
      <c r="Q35" s="226" t="e">
        <f>HY!#REF!</f>
        <v>#REF!</v>
      </c>
      <c r="R35" s="226" t="e">
        <f>HY!#REF!</f>
        <v>#REF!</v>
      </c>
      <c r="S35" s="226" t="e">
        <f>HY!#REF!</f>
        <v>#REF!</v>
      </c>
      <c r="T35" s="226" t="e">
        <f>HY!#REF!</f>
        <v>#REF!</v>
      </c>
      <c r="U35" s="226" t="e">
        <f>HY!#REF!</f>
        <v>#REF!</v>
      </c>
      <c r="V35" s="226" t="e">
        <f>HY!#REF!</f>
        <v>#REF!</v>
      </c>
      <c r="W35" s="226" t="e">
        <f>HY!#REF!</f>
        <v>#REF!</v>
      </c>
      <c r="X35" s="226" t="e">
        <f>HY!#REF!</f>
        <v>#REF!</v>
      </c>
      <c r="Y35" s="226" t="e">
        <f>HY!#REF!</f>
        <v>#REF!</v>
      </c>
      <c r="Z35" s="226" t="e">
        <f>HY!#REF!</f>
        <v>#REF!</v>
      </c>
      <c r="AA35" s="72"/>
      <c r="AB35" s="76"/>
      <c r="AC35" s="221"/>
      <c r="AD35" s="221"/>
      <c r="AE35" s="221"/>
      <c r="AF35" s="221"/>
      <c r="AG35" s="221"/>
      <c r="AH35" s="221"/>
      <c r="AI35" s="221"/>
      <c r="AJ35" s="221"/>
      <c r="AK35" s="221"/>
      <c r="AL35" s="221"/>
      <c r="AM35" s="221"/>
      <c r="AN35" s="221"/>
      <c r="AO35" s="221"/>
      <c r="AP35" s="221"/>
      <c r="AQ35" s="221"/>
      <c r="AR35" s="221"/>
      <c r="AS35" s="221"/>
      <c r="AT35" s="221"/>
      <c r="AU35" s="221"/>
      <c r="AV35" s="221"/>
      <c r="AW35" s="221"/>
      <c r="AX35" s="221"/>
      <c r="AY35" s="76"/>
      <c r="AZ35" s="77"/>
      <c r="BA35" s="77"/>
      <c r="BB35" s="78"/>
      <c r="BC35" s="76"/>
      <c r="BD35" s="221"/>
      <c r="BE35" s="221"/>
      <c r="BF35" s="221"/>
      <c r="BG35" s="221"/>
      <c r="BH35" s="221"/>
      <c r="BI35" s="221"/>
      <c r="BJ35" s="221"/>
      <c r="BK35" s="221"/>
      <c r="BL35" s="221"/>
      <c r="BM35" s="221"/>
      <c r="BN35" s="221"/>
      <c r="BO35" s="221"/>
      <c r="BP35" s="221"/>
      <c r="BQ35" s="221"/>
      <c r="BR35" s="221"/>
      <c r="BS35" s="221"/>
      <c r="BT35" s="221"/>
      <c r="BU35" s="221"/>
      <c r="BV35" s="221"/>
      <c r="BW35" s="221"/>
      <c r="BX35" s="221"/>
      <c r="BY35" s="221"/>
    </row>
    <row r="36" spans="1:77">
      <c r="B36" s="74"/>
      <c r="C36" s="81" t="s">
        <v>88</v>
      </c>
      <c r="D36" s="72" t="s">
        <v>1344</v>
      </c>
      <c r="E36" s="227" t="str">
        <f t="shared" ref="E36:Z36" si="18">IFERROR(ROUND(E34/E35-1,3),"")</f>
        <v/>
      </c>
      <c r="F36" s="227" t="str">
        <f t="shared" si="18"/>
        <v/>
      </c>
      <c r="G36" s="227" t="str">
        <f t="shared" si="18"/>
        <v/>
      </c>
      <c r="H36" s="227" t="str">
        <f t="shared" si="18"/>
        <v/>
      </c>
      <c r="I36" s="227" t="str">
        <f t="shared" si="18"/>
        <v/>
      </c>
      <c r="J36" s="227" t="str">
        <f t="shared" si="18"/>
        <v/>
      </c>
      <c r="K36" s="227" t="str">
        <f t="shared" si="18"/>
        <v/>
      </c>
      <c r="L36" s="227" t="str">
        <f t="shared" si="18"/>
        <v/>
      </c>
      <c r="M36" s="227" t="str">
        <f t="shared" si="18"/>
        <v/>
      </c>
      <c r="N36" s="227" t="str">
        <f t="shared" si="18"/>
        <v/>
      </c>
      <c r="O36" s="227" t="str">
        <f t="shared" si="18"/>
        <v/>
      </c>
      <c r="P36" s="227" t="str">
        <f t="shared" si="18"/>
        <v/>
      </c>
      <c r="Q36" s="227" t="str">
        <f t="shared" si="18"/>
        <v/>
      </c>
      <c r="R36" s="227" t="str">
        <f t="shared" si="18"/>
        <v/>
      </c>
      <c r="S36" s="227" t="str">
        <f t="shared" si="18"/>
        <v/>
      </c>
      <c r="T36" s="227" t="str">
        <f t="shared" si="18"/>
        <v/>
      </c>
      <c r="U36" s="227" t="str">
        <f t="shared" si="18"/>
        <v/>
      </c>
      <c r="V36" s="227" t="str">
        <f t="shared" si="18"/>
        <v/>
      </c>
      <c r="W36" s="227" t="str">
        <f t="shared" si="18"/>
        <v/>
      </c>
      <c r="X36" s="227" t="str">
        <f t="shared" si="18"/>
        <v/>
      </c>
      <c r="Y36" s="227" t="str">
        <f t="shared" si="18"/>
        <v/>
      </c>
      <c r="Z36" s="227" t="str">
        <f t="shared" si="18"/>
        <v/>
      </c>
      <c r="AA36" s="72"/>
      <c r="AB36" s="76"/>
      <c r="AC36" s="221"/>
      <c r="AD36" s="221"/>
      <c r="AE36" s="221"/>
      <c r="AF36" s="221"/>
      <c r="AG36" s="221"/>
      <c r="AH36" s="221"/>
      <c r="AI36" s="221"/>
      <c r="AJ36" s="221"/>
      <c r="AK36" s="221"/>
      <c r="AL36" s="221"/>
      <c r="AM36" s="221"/>
      <c r="AN36" s="221"/>
      <c r="AO36" s="221"/>
      <c r="AP36" s="221"/>
      <c r="AQ36" s="221"/>
      <c r="AR36" s="221"/>
      <c r="AS36" s="221"/>
      <c r="AT36" s="221"/>
      <c r="AU36" s="221"/>
      <c r="AV36" s="221"/>
      <c r="AW36" s="221"/>
      <c r="AX36" s="221"/>
      <c r="AY36" s="76"/>
      <c r="AZ36" s="77"/>
      <c r="BA36" s="77"/>
      <c r="BB36" s="78"/>
      <c r="BC36" s="76"/>
      <c r="BD36" s="221"/>
      <c r="BE36" s="221"/>
      <c r="BF36" s="221"/>
      <c r="BG36" s="221"/>
      <c r="BH36" s="221"/>
      <c r="BI36" s="221"/>
      <c r="BJ36" s="221"/>
      <c r="BK36" s="221"/>
      <c r="BL36" s="221"/>
      <c r="BM36" s="221"/>
      <c r="BN36" s="221"/>
      <c r="BO36" s="221"/>
      <c r="BP36" s="221"/>
      <c r="BQ36" s="221"/>
      <c r="BR36" s="221"/>
      <c r="BS36" s="221"/>
      <c r="BT36" s="221"/>
      <c r="BU36" s="221"/>
      <c r="BV36" s="221"/>
      <c r="BW36" s="221"/>
      <c r="BX36" s="221"/>
      <c r="BY36" s="221"/>
    </row>
    <row r="37" spans="1:77">
      <c r="B37" s="74"/>
      <c r="C37" s="72"/>
      <c r="D37" s="72"/>
      <c r="E37" s="75"/>
      <c r="F37" s="75"/>
      <c r="G37" s="75"/>
      <c r="H37" s="75"/>
      <c r="I37" s="75"/>
      <c r="J37" s="75"/>
      <c r="K37" s="75"/>
      <c r="L37" s="75"/>
      <c r="M37" s="75"/>
      <c r="N37" s="75"/>
      <c r="O37" s="75"/>
      <c r="P37" s="75"/>
      <c r="Q37" s="75"/>
      <c r="R37" s="75"/>
      <c r="S37" s="75"/>
      <c r="T37" s="75"/>
      <c r="U37" s="75"/>
      <c r="V37" s="75"/>
      <c r="W37" s="75"/>
      <c r="X37" s="75"/>
      <c r="Y37" s="75"/>
      <c r="Z37" s="75"/>
      <c r="AA37" s="72"/>
      <c r="AB37" s="76"/>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76"/>
      <c r="AZ37" s="77"/>
      <c r="BA37" s="77"/>
      <c r="BB37" s="78"/>
      <c r="BC37" s="76"/>
      <c r="BD37" s="221"/>
      <c r="BE37" s="221"/>
      <c r="BF37" s="221"/>
      <c r="BG37" s="221"/>
      <c r="BH37" s="221"/>
      <c r="BI37" s="221"/>
      <c r="BJ37" s="221"/>
      <c r="BK37" s="221"/>
      <c r="BL37" s="221"/>
      <c r="BM37" s="221"/>
      <c r="BN37" s="221"/>
      <c r="BO37" s="221"/>
      <c r="BP37" s="221"/>
      <c r="BQ37" s="221"/>
      <c r="BR37" s="221"/>
      <c r="BS37" s="221"/>
      <c r="BT37" s="221"/>
      <c r="BU37" s="221"/>
      <c r="BV37" s="221"/>
      <c r="BW37" s="221"/>
      <c r="BX37" s="221"/>
      <c r="BY37" s="221"/>
    </row>
    <row r="38" spans="1:77">
      <c r="B38" s="74"/>
      <c r="C38" s="72"/>
      <c r="D38" s="72"/>
      <c r="E38" s="75"/>
      <c r="F38" s="75"/>
      <c r="G38" s="75"/>
      <c r="H38" s="75"/>
      <c r="I38" s="75"/>
      <c r="J38" s="75"/>
      <c r="K38" s="75"/>
      <c r="L38" s="75"/>
      <c r="M38" s="75"/>
      <c r="N38" s="75"/>
      <c r="O38" s="75"/>
      <c r="P38" s="75"/>
      <c r="Q38" s="75"/>
      <c r="R38" s="75"/>
      <c r="S38" s="75"/>
      <c r="T38" s="75"/>
      <c r="U38" s="75"/>
      <c r="V38" s="75"/>
      <c r="W38" s="75"/>
      <c r="X38" s="75"/>
      <c r="Y38" s="75"/>
      <c r="Z38" s="75"/>
      <c r="AA38" s="72"/>
      <c r="AB38" s="76"/>
      <c r="AC38" s="221"/>
      <c r="AD38" s="221"/>
      <c r="AE38" s="221"/>
      <c r="AF38" s="221"/>
      <c r="AG38" s="221"/>
      <c r="AH38" s="221"/>
      <c r="AI38" s="221"/>
      <c r="AJ38" s="221"/>
      <c r="AK38" s="221"/>
      <c r="AL38" s="221"/>
      <c r="AM38" s="221"/>
      <c r="AN38" s="221"/>
      <c r="AO38" s="221"/>
      <c r="AP38" s="221"/>
      <c r="AQ38" s="221"/>
      <c r="AR38" s="221"/>
      <c r="AS38" s="221"/>
      <c r="AT38" s="221"/>
      <c r="AU38" s="221"/>
      <c r="AV38" s="221"/>
      <c r="AW38" s="221"/>
      <c r="AX38" s="221"/>
      <c r="AY38" s="76"/>
      <c r="AZ38" s="77"/>
      <c r="BA38" s="77"/>
      <c r="BB38" s="78"/>
      <c r="BC38" s="76"/>
      <c r="BD38" s="221"/>
      <c r="BE38" s="221"/>
      <c r="BF38" s="221"/>
      <c r="BG38" s="221"/>
      <c r="BH38" s="221"/>
      <c r="BI38" s="221"/>
      <c r="BJ38" s="221"/>
      <c r="BK38" s="221"/>
      <c r="BL38" s="221"/>
      <c r="BM38" s="221"/>
      <c r="BN38" s="221"/>
      <c r="BO38" s="221"/>
      <c r="BP38" s="221"/>
      <c r="BQ38" s="221"/>
      <c r="BR38" s="221"/>
      <c r="BS38" s="221"/>
      <c r="BT38" s="221"/>
      <c r="BU38" s="221"/>
      <c r="BV38" s="221"/>
      <c r="BW38" s="221"/>
      <c r="BX38" s="221"/>
      <c r="BY38" s="221"/>
    </row>
    <row r="39" spans="1:77">
      <c r="A39" s="229"/>
      <c r="B39" s="229" t="s">
        <v>26</v>
      </c>
      <c r="C39" s="230"/>
      <c r="D39" s="230"/>
      <c r="E39" s="230"/>
      <c r="F39" s="230"/>
      <c r="G39" s="230"/>
      <c r="H39" s="230"/>
      <c r="I39" s="230"/>
      <c r="J39" s="230"/>
      <c r="K39" s="230"/>
      <c r="L39" s="230"/>
      <c r="M39" s="230"/>
      <c r="N39" s="230"/>
      <c r="O39" s="230"/>
      <c r="P39" s="230"/>
      <c r="Q39" s="230"/>
      <c r="R39" s="230"/>
      <c r="S39" s="230"/>
      <c r="T39" s="230"/>
      <c r="U39" s="230"/>
      <c r="V39" s="230"/>
      <c r="W39" s="230"/>
      <c r="X39" s="230"/>
      <c r="Y39" s="230"/>
      <c r="Z39" s="230"/>
      <c r="AA39" s="72"/>
      <c r="AB39" s="72"/>
      <c r="AC39" s="67"/>
      <c r="AD39" s="67"/>
      <c r="AE39" s="67"/>
      <c r="AF39" s="72"/>
      <c r="AG39" s="67"/>
      <c r="AH39" s="67"/>
      <c r="AI39" s="67"/>
      <c r="AJ39" s="72"/>
      <c r="AK39" s="67"/>
      <c r="AL39" s="67"/>
      <c r="AM39" s="67"/>
      <c r="AN39" s="67"/>
      <c r="AO39" s="67"/>
      <c r="AP39" s="67"/>
      <c r="AQ39" s="67"/>
      <c r="AR39" s="67"/>
      <c r="AS39" s="67"/>
      <c r="AT39" s="67"/>
      <c r="AU39" s="67"/>
      <c r="AV39" s="67"/>
      <c r="AW39" s="67"/>
      <c r="AX39" s="67"/>
      <c r="AY39" s="72"/>
      <c r="AZ39" s="67"/>
      <c r="BA39" s="67"/>
      <c r="BB39" s="67"/>
      <c r="BC39" s="72"/>
      <c r="BD39" s="67"/>
      <c r="BE39" s="67"/>
      <c r="BF39" s="67"/>
      <c r="BG39" s="72"/>
      <c r="BH39" s="67"/>
      <c r="BI39" s="67"/>
      <c r="BJ39" s="67"/>
      <c r="BK39" s="72"/>
      <c r="BL39" s="67"/>
      <c r="BM39" s="67"/>
      <c r="BN39" s="67"/>
      <c r="BO39" s="67"/>
      <c r="BP39" s="67"/>
      <c r="BQ39" s="67"/>
      <c r="BR39" s="67"/>
      <c r="BS39" s="67"/>
      <c r="BT39" s="67"/>
      <c r="BU39" s="67"/>
      <c r="BV39" s="67"/>
      <c r="BW39" s="67"/>
      <c r="BX39" s="67"/>
      <c r="BY39" s="67"/>
    </row>
    <row r="40" spans="1:77">
      <c r="B40" s="73"/>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67"/>
      <c r="AD40" s="67"/>
      <c r="AE40" s="67"/>
      <c r="AF40" s="72"/>
      <c r="AG40" s="67"/>
      <c r="AH40" s="67"/>
      <c r="AI40" s="67"/>
      <c r="AJ40" s="72"/>
      <c r="AK40" s="67"/>
      <c r="AL40" s="67"/>
      <c r="AM40" s="67"/>
      <c r="AN40" s="67"/>
      <c r="AO40" s="67"/>
      <c r="AP40" s="67"/>
      <c r="AQ40" s="67"/>
      <c r="AR40" s="67"/>
      <c r="AS40" s="67"/>
      <c r="AT40" s="67"/>
      <c r="AU40" s="67"/>
      <c r="AV40" s="67"/>
      <c r="AW40" s="67"/>
      <c r="AX40" s="67"/>
      <c r="AY40" s="72"/>
      <c r="AZ40" s="67"/>
      <c r="BA40" s="67"/>
      <c r="BB40" s="67"/>
      <c r="BC40" s="72"/>
      <c r="BD40" s="67"/>
      <c r="BE40" s="67"/>
      <c r="BF40" s="67"/>
      <c r="BG40" s="72"/>
      <c r="BH40" s="67"/>
      <c r="BI40" s="67"/>
      <c r="BJ40" s="67"/>
      <c r="BK40" s="72"/>
      <c r="BL40" s="67"/>
      <c r="BM40" s="67"/>
      <c r="BN40" s="67"/>
      <c r="BO40" s="67"/>
      <c r="BP40" s="67"/>
      <c r="BQ40" s="67"/>
      <c r="BR40" s="67"/>
      <c r="BS40" s="67"/>
      <c r="BT40" s="67"/>
      <c r="BU40" s="67"/>
      <c r="BV40" s="67"/>
      <c r="BW40" s="67"/>
      <c r="BX40" s="67"/>
      <c r="BY40" s="67"/>
    </row>
    <row r="41" spans="1:77">
      <c r="B41" s="74" t="str">
        <f>BA41</f>
        <v>EBITDA - Domestic - Auckland</v>
      </c>
      <c r="C41" s="72" t="s">
        <v>72</v>
      </c>
      <c r="D41" s="224" t="s">
        <v>1342</v>
      </c>
      <c r="E41" s="223">
        <f t="shared" ref="E41:Z41" si="19">AC41</f>
        <v>131</v>
      </c>
      <c r="F41" s="223">
        <f t="shared" si="19"/>
        <v>129.69999999999999</v>
      </c>
      <c r="G41" s="223">
        <f t="shared" si="19"/>
        <v>138</v>
      </c>
      <c r="H41" s="223">
        <f t="shared" si="19"/>
        <v>129.9</v>
      </c>
      <c r="I41" s="223">
        <f t="shared" si="19"/>
        <v>137.4</v>
      </c>
      <c r="J41" s="223">
        <f t="shared" si="19"/>
        <v>56.5</v>
      </c>
      <c r="K41" s="223">
        <f t="shared" si="19"/>
        <v>94.9</v>
      </c>
      <c r="L41" s="223">
        <f t="shared" si="19"/>
        <v>108.5</v>
      </c>
      <c r="M41" s="223">
        <f t="shared" si="19"/>
        <v>16</v>
      </c>
      <c r="N41" s="223">
        <f t="shared" si="19"/>
        <v>84.9</v>
      </c>
      <c r="O41" s="223">
        <f t="shared" si="19"/>
        <v>127.8</v>
      </c>
      <c r="P41" s="223">
        <f t="shared" si="19"/>
        <v>124.8</v>
      </c>
      <c r="Q41" s="223">
        <f t="shared" si="19"/>
        <v>124.3682316174654</v>
      </c>
      <c r="R41" s="223">
        <f t="shared" si="19"/>
        <v>128.32337281861541</v>
      </c>
      <c r="S41" s="223">
        <f t="shared" si="19"/>
        <v>137.51292438871499</v>
      </c>
      <c r="T41" s="223">
        <f t="shared" si="19"/>
        <v>139.56266771311181</v>
      </c>
      <c r="U41" s="223">
        <f t="shared" si="19"/>
        <v>144.66408967309229</v>
      </c>
      <c r="V41" s="223">
        <f t="shared" si="19"/>
        <v>144.5561862760643</v>
      </c>
      <c r="W41" s="223">
        <f t="shared" si="19"/>
        <v>150.2260618786423</v>
      </c>
      <c r="X41" s="223">
        <f t="shared" si="19"/>
        <v>149.173164812528</v>
      </c>
      <c r="Y41" s="223">
        <f t="shared" si="19"/>
        <v>154.92009929186429</v>
      </c>
      <c r="Z41" s="223">
        <f t="shared" si="19"/>
        <v>154.20209185567629</v>
      </c>
      <c r="AA41" s="72"/>
      <c r="AB41" s="76"/>
      <c r="AC41" s="222">
        <v>131</v>
      </c>
      <c r="AD41" s="222">
        <v>129.69999999999999</v>
      </c>
      <c r="AE41" s="222">
        <v>138</v>
      </c>
      <c r="AF41" s="222">
        <v>129.9</v>
      </c>
      <c r="AG41" s="222">
        <v>137.4</v>
      </c>
      <c r="AH41" s="222">
        <v>56.5</v>
      </c>
      <c r="AI41" s="222">
        <v>94.9</v>
      </c>
      <c r="AJ41" s="222">
        <v>108.5</v>
      </c>
      <c r="AK41" s="222">
        <v>16</v>
      </c>
      <c r="AL41" s="222">
        <v>84.9</v>
      </c>
      <c r="AM41" s="222">
        <v>127.8</v>
      </c>
      <c r="AN41" s="222">
        <v>124.8</v>
      </c>
      <c r="AO41" s="222">
        <v>124.3682316174654</v>
      </c>
      <c r="AP41" s="222">
        <v>128.32337281861541</v>
      </c>
      <c r="AQ41" s="222">
        <v>137.51292438871499</v>
      </c>
      <c r="AR41" s="222">
        <v>139.56266771311181</v>
      </c>
      <c r="AS41" s="222">
        <v>144.66408967309229</v>
      </c>
      <c r="AT41" s="222">
        <v>144.5561862760643</v>
      </c>
      <c r="AU41" s="222">
        <v>150.2260618786423</v>
      </c>
      <c r="AV41" s="222">
        <v>149.173164812528</v>
      </c>
      <c r="AW41" s="222">
        <v>154.92009929186429</v>
      </c>
      <c r="AX41" s="222">
        <v>154.20209185567629</v>
      </c>
      <c r="AY41" s="76"/>
      <c r="AZ41" s="77" t="s">
        <v>1259</v>
      </c>
      <c r="BA41" s="77" t="s">
        <v>1283</v>
      </c>
      <c r="BB41" s="78" t="s">
        <v>1261</v>
      </c>
      <c r="BC41" s="76"/>
      <c r="BD41" s="79">
        <f>_xll.VAData($AZ41,BD$2,$BA41,$BB41)</f>
        <v>132.4992134170825</v>
      </c>
      <c r="BE41" s="79">
        <f>_xll.VAData($AZ41,BE$2,$BA41,$BB41)</f>
        <v>134.12343230658624</v>
      </c>
      <c r="BF41" s="79">
        <f>_xll.VAData($AZ41,BF$2,$BA41,$BB41)</f>
        <v>142.33635705474461</v>
      </c>
      <c r="BG41" s="79">
        <f>_xll.VAData($AZ41,BG$2,$BA41,$BB41)</f>
        <v>132.53471763300001</v>
      </c>
      <c r="BH41" s="79">
        <f>_xll.VAData($AZ41,BH$2,$BA41,$BB41)</f>
        <v>138.88606115021381</v>
      </c>
      <c r="BI41" s="79">
        <f>_xll.VAData($AZ41,BI$2,$BA41,$BB41)</f>
        <v>69.423976190720637</v>
      </c>
      <c r="BJ41" s="79">
        <f>_xll.VAData($AZ41,BJ$2,$BA41,$BB41)</f>
        <v>95.229192614556879</v>
      </c>
      <c r="BK41" s="79">
        <f>_xll.VAData($AZ41,BK$2,$BA41,$BB41)</f>
        <v>105.52801980842941</v>
      </c>
      <c r="BL41" s="79">
        <f>_xll.VAData($AZ41,BL$2,$BA41,$BB41)</f>
        <v>16</v>
      </c>
      <c r="BM41" s="79">
        <f>_xll.VAData($AZ41,BM$2,$BA41,$BB41)</f>
        <v>84.9</v>
      </c>
      <c r="BN41" s="79">
        <f>_xll.VAData($AZ41,BN$2,$BA41,$BB41)</f>
        <v>130.6</v>
      </c>
      <c r="BO41" s="79">
        <f>_xll.VAData($AZ41,BO$2,$BA41,$BB41)</f>
        <v>120.9</v>
      </c>
      <c r="BP41" s="79">
        <f>_xll.VAData($AZ41,BP$2,$BA41,$BB41)</f>
        <v>125.7</v>
      </c>
      <c r="BQ41" s="79">
        <f>_xll.VAData($AZ41,BQ$2,$BA41,$BB41)</f>
        <v>111.3</v>
      </c>
      <c r="BR41" s="79">
        <f>_xll.VAData($AZ41,BR$2,$BA41,$BB41)</f>
        <v>107.7</v>
      </c>
      <c r="BS41" s="79">
        <f>_xll.VAData($AZ41,BS$2,$BA41,$BB41)</f>
        <v>101.9</v>
      </c>
      <c r="BT41" s="79">
        <f>_xll.VAData($AZ41,BT$2,$BA41,$BB41)</f>
        <v>89.6</v>
      </c>
      <c r="BU41" s="79">
        <f>_xll.VAData($AZ41,BU$2,$BA41,$BB41)</f>
        <v>90.2</v>
      </c>
      <c r="BV41" s="79">
        <f>_xll.VAData($AZ41,BV$2,$BA41,$BB41)</f>
        <v>87.553912535193462</v>
      </c>
      <c r="BW41" s="79">
        <f>_xll.VAData($AZ41,BW$2,$BA41,$BB41)</f>
        <v>91.345114531913225</v>
      </c>
      <c r="BX41" s="79">
        <f>_xll.VAData($AZ41,BX$2,$BA41,$BB41)</f>
        <v>98.69798120794178</v>
      </c>
      <c r="BY41" s="79">
        <f>_xll.VAData($AZ41,BY$2,$BA41,$BB41)</f>
        <v>96.225447203940703</v>
      </c>
    </row>
    <row r="42" spans="1:77">
      <c r="B42" s="74"/>
      <c r="C42" s="72" t="s">
        <v>72</v>
      </c>
      <c r="D42" s="225" t="s">
        <v>1343</v>
      </c>
      <c r="E42" s="226" t="e">
        <f>HY!#REF!</f>
        <v>#REF!</v>
      </c>
      <c r="F42" s="226" t="e">
        <f>HY!#REF!</f>
        <v>#REF!</v>
      </c>
      <c r="G42" s="226" t="e">
        <f>HY!#REF!</f>
        <v>#REF!</v>
      </c>
      <c r="H42" s="226" t="e">
        <f>HY!#REF!</f>
        <v>#REF!</v>
      </c>
      <c r="I42" s="226" t="e">
        <f>HY!#REF!</f>
        <v>#REF!</v>
      </c>
      <c r="J42" s="226" t="e">
        <f>HY!#REF!</f>
        <v>#REF!</v>
      </c>
      <c r="K42" s="226" t="e">
        <f>HY!#REF!</f>
        <v>#REF!</v>
      </c>
      <c r="L42" s="226" t="e">
        <f>HY!#REF!</f>
        <v>#REF!</v>
      </c>
      <c r="M42" s="226" t="e">
        <f>HY!#REF!</f>
        <v>#REF!</v>
      </c>
      <c r="N42" s="226" t="e">
        <f>HY!#REF!</f>
        <v>#REF!</v>
      </c>
      <c r="O42" s="226" t="e">
        <f>HY!#REF!</f>
        <v>#REF!</v>
      </c>
      <c r="P42" s="226" t="e">
        <f>HY!#REF!</f>
        <v>#REF!</v>
      </c>
      <c r="Q42" s="226" t="e">
        <f>HY!#REF!</f>
        <v>#REF!</v>
      </c>
      <c r="R42" s="226" t="e">
        <f>HY!#REF!</f>
        <v>#REF!</v>
      </c>
      <c r="S42" s="226" t="e">
        <f>HY!#REF!</f>
        <v>#REF!</v>
      </c>
      <c r="T42" s="226" t="e">
        <f>HY!#REF!</f>
        <v>#REF!</v>
      </c>
      <c r="U42" s="226" t="e">
        <f>HY!#REF!</f>
        <v>#REF!</v>
      </c>
      <c r="V42" s="226" t="e">
        <f>HY!#REF!</f>
        <v>#REF!</v>
      </c>
      <c r="W42" s="226" t="e">
        <f>HY!#REF!</f>
        <v>#REF!</v>
      </c>
      <c r="X42" s="226" t="e">
        <f>HY!#REF!</f>
        <v>#REF!</v>
      </c>
      <c r="Y42" s="226" t="e">
        <f>HY!#REF!</f>
        <v>#REF!</v>
      </c>
      <c r="Z42" s="226" t="e">
        <f>HY!#REF!</f>
        <v>#REF!</v>
      </c>
      <c r="AA42" s="72"/>
      <c r="AB42" s="76"/>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76"/>
      <c r="AZ42" s="77"/>
      <c r="BA42" s="77"/>
      <c r="BB42" s="78"/>
      <c r="BC42" s="76"/>
      <c r="BD42" s="221"/>
      <c r="BE42" s="221"/>
      <c r="BF42" s="221"/>
      <c r="BG42" s="221"/>
      <c r="BH42" s="221"/>
      <c r="BI42" s="221"/>
      <c r="BJ42" s="221"/>
      <c r="BK42" s="221"/>
      <c r="BL42" s="221"/>
      <c r="BM42" s="221"/>
      <c r="BN42" s="221"/>
      <c r="BO42" s="221"/>
      <c r="BP42" s="221"/>
      <c r="BQ42" s="221"/>
      <c r="BR42" s="221"/>
      <c r="BS42" s="221"/>
      <c r="BT42" s="221"/>
      <c r="BU42" s="221"/>
      <c r="BV42" s="221"/>
      <c r="BW42" s="221"/>
      <c r="BX42" s="221"/>
      <c r="BY42" s="221"/>
    </row>
    <row r="43" spans="1:77">
      <c r="B43" s="74"/>
      <c r="C43" s="81" t="s">
        <v>88</v>
      </c>
      <c r="D43" s="72" t="s">
        <v>1344</v>
      </c>
      <c r="E43" s="227" t="str">
        <f t="shared" ref="E43:Z43" si="20">IFERROR(ROUND(E41/E42-1,3),"")</f>
        <v/>
      </c>
      <c r="F43" s="227" t="str">
        <f t="shared" si="20"/>
        <v/>
      </c>
      <c r="G43" s="227" t="str">
        <f t="shared" si="20"/>
        <v/>
      </c>
      <c r="H43" s="227" t="str">
        <f t="shared" si="20"/>
        <v/>
      </c>
      <c r="I43" s="227" t="str">
        <f t="shared" si="20"/>
        <v/>
      </c>
      <c r="J43" s="227" t="str">
        <f t="shared" si="20"/>
        <v/>
      </c>
      <c r="K43" s="227" t="str">
        <f t="shared" si="20"/>
        <v/>
      </c>
      <c r="L43" s="227" t="str">
        <f t="shared" si="20"/>
        <v/>
      </c>
      <c r="M43" s="227" t="str">
        <f t="shared" si="20"/>
        <v/>
      </c>
      <c r="N43" s="227" t="str">
        <f t="shared" si="20"/>
        <v/>
      </c>
      <c r="O43" s="227" t="str">
        <f t="shared" si="20"/>
        <v/>
      </c>
      <c r="P43" s="227" t="str">
        <f t="shared" si="20"/>
        <v/>
      </c>
      <c r="Q43" s="227" t="str">
        <f t="shared" si="20"/>
        <v/>
      </c>
      <c r="R43" s="227" t="str">
        <f t="shared" si="20"/>
        <v/>
      </c>
      <c r="S43" s="227" t="str">
        <f t="shared" si="20"/>
        <v/>
      </c>
      <c r="T43" s="227" t="str">
        <f t="shared" si="20"/>
        <v/>
      </c>
      <c r="U43" s="227" t="str">
        <f t="shared" si="20"/>
        <v/>
      </c>
      <c r="V43" s="227" t="str">
        <f t="shared" si="20"/>
        <v/>
      </c>
      <c r="W43" s="227" t="str">
        <f t="shared" si="20"/>
        <v/>
      </c>
      <c r="X43" s="227" t="str">
        <f t="shared" si="20"/>
        <v/>
      </c>
      <c r="Y43" s="227" t="str">
        <f t="shared" si="20"/>
        <v/>
      </c>
      <c r="Z43" s="227" t="str">
        <f t="shared" si="20"/>
        <v/>
      </c>
      <c r="AA43" s="72"/>
      <c r="AB43" s="76"/>
      <c r="AC43" s="221"/>
      <c r="AD43" s="221"/>
      <c r="AE43" s="221"/>
      <c r="AF43" s="221"/>
      <c r="AG43" s="221"/>
      <c r="AH43" s="221"/>
      <c r="AI43" s="221"/>
      <c r="AJ43" s="221"/>
      <c r="AK43" s="221"/>
      <c r="AL43" s="221"/>
      <c r="AM43" s="221"/>
      <c r="AN43" s="221"/>
      <c r="AO43" s="221"/>
      <c r="AP43" s="221"/>
      <c r="AQ43" s="221"/>
      <c r="AR43" s="221"/>
      <c r="AS43" s="221"/>
      <c r="AT43" s="221"/>
      <c r="AU43" s="221"/>
      <c r="AV43" s="221"/>
      <c r="AW43" s="221"/>
      <c r="AX43" s="221"/>
      <c r="AY43" s="76"/>
      <c r="AZ43" s="77"/>
      <c r="BA43" s="77"/>
      <c r="BB43" s="78"/>
      <c r="BC43" s="76"/>
      <c r="BD43" s="221"/>
      <c r="BE43" s="221"/>
      <c r="BF43" s="221"/>
      <c r="BG43" s="221"/>
      <c r="BH43" s="221"/>
      <c r="BI43" s="221"/>
      <c r="BJ43" s="221"/>
      <c r="BK43" s="221"/>
      <c r="BL43" s="221"/>
      <c r="BM43" s="221"/>
      <c r="BN43" s="221"/>
      <c r="BO43" s="221"/>
      <c r="BP43" s="221"/>
      <c r="BQ43" s="221"/>
      <c r="BR43" s="221"/>
      <c r="BS43" s="221"/>
      <c r="BT43" s="221"/>
      <c r="BU43" s="221"/>
      <c r="BV43" s="221"/>
      <c r="BW43" s="221"/>
      <c r="BX43" s="221"/>
      <c r="BY43" s="221"/>
    </row>
    <row r="44" spans="1:77">
      <c r="B44" s="74"/>
      <c r="C44" s="72"/>
      <c r="D44" s="72"/>
      <c r="E44" s="75"/>
      <c r="F44" s="75"/>
      <c r="G44" s="75"/>
      <c r="H44" s="75"/>
      <c r="I44" s="75"/>
      <c r="J44" s="75"/>
      <c r="K44" s="75"/>
      <c r="L44" s="75"/>
      <c r="M44" s="75"/>
      <c r="N44" s="75"/>
      <c r="O44" s="75"/>
      <c r="P44" s="75"/>
      <c r="Q44" s="75"/>
      <c r="R44" s="75"/>
      <c r="S44" s="75"/>
      <c r="T44" s="75"/>
      <c r="U44" s="75"/>
      <c r="V44" s="75"/>
      <c r="W44" s="75"/>
      <c r="X44" s="75"/>
      <c r="Y44" s="75"/>
      <c r="Z44" s="75"/>
      <c r="AA44" s="72"/>
      <c r="AB44" s="76"/>
      <c r="AC44" s="221"/>
      <c r="AD44" s="221"/>
      <c r="AE44" s="221"/>
      <c r="AF44" s="221"/>
      <c r="AG44" s="221"/>
      <c r="AH44" s="221"/>
      <c r="AI44" s="221"/>
      <c r="AJ44" s="221"/>
      <c r="AK44" s="221"/>
      <c r="AL44" s="221"/>
      <c r="AM44" s="221"/>
      <c r="AN44" s="221"/>
      <c r="AO44" s="221"/>
      <c r="AP44" s="221"/>
      <c r="AQ44" s="221"/>
      <c r="AR44" s="221"/>
      <c r="AS44" s="221"/>
      <c r="AT44" s="221"/>
      <c r="AU44" s="221"/>
      <c r="AV44" s="221"/>
      <c r="AW44" s="221"/>
      <c r="AX44" s="221"/>
      <c r="AY44" s="76"/>
      <c r="AZ44" s="77"/>
      <c r="BA44" s="77"/>
      <c r="BB44" s="78"/>
      <c r="BC44" s="76"/>
      <c r="BD44" s="221"/>
      <c r="BE44" s="221"/>
      <c r="BF44" s="221"/>
      <c r="BG44" s="221"/>
      <c r="BH44" s="221"/>
      <c r="BI44" s="221"/>
      <c r="BJ44" s="221"/>
      <c r="BK44" s="221"/>
      <c r="BL44" s="221"/>
      <c r="BM44" s="221"/>
      <c r="BN44" s="221"/>
      <c r="BO44" s="221"/>
      <c r="BP44" s="221"/>
      <c r="BQ44" s="221"/>
      <c r="BR44" s="221"/>
      <c r="BS44" s="221"/>
      <c r="BT44" s="221"/>
      <c r="BU44" s="221"/>
      <c r="BV44" s="221"/>
      <c r="BW44" s="221"/>
      <c r="BX44" s="221"/>
      <c r="BY44" s="221"/>
    </row>
    <row r="45" spans="1:77">
      <c r="B45" s="74" t="str">
        <f>BA45</f>
        <v>EBITDA - Hamilton</v>
      </c>
      <c r="C45" s="72" t="s">
        <v>72</v>
      </c>
      <c r="D45" s="224" t="s">
        <v>1342</v>
      </c>
      <c r="E45" s="223">
        <f t="shared" ref="E45:Z45" si="21">AC45</f>
        <v>13.670534330600001</v>
      </c>
      <c r="F45" s="223">
        <f t="shared" si="21"/>
        <v>13.25133443146667</v>
      </c>
      <c r="G45" s="223">
        <f t="shared" si="21"/>
        <v>14</v>
      </c>
      <c r="H45" s="223">
        <f t="shared" si="21"/>
        <v>12.9</v>
      </c>
      <c r="I45" s="223">
        <f t="shared" si="21"/>
        <v>14.9</v>
      </c>
      <c r="J45" s="223">
        <f t="shared" si="21"/>
        <v>9.5</v>
      </c>
      <c r="K45" s="223">
        <f t="shared" si="21"/>
        <v>18.100000000000001</v>
      </c>
      <c r="L45" s="223">
        <f t="shared" si="21"/>
        <v>17.100000000000001</v>
      </c>
      <c r="M45" s="223">
        <f t="shared" si="21"/>
        <v>9.6</v>
      </c>
      <c r="N45" s="223">
        <f t="shared" si="21"/>
        <v>14.9</v>
      </c>
      <c r="O45" s="223">
        <f t="shared" si="21"/>
        <v>19.3</v>
      </c>
      <c r="P45" s="223">
        <f t="shared" si="21"/>
        <v>15.9</v>
      </c>
      <c r="Q45" s="223">
        <f t="shared" si="21"/>
        <v>17.797156001232558</v>
      </c>
      <c r="R45" s="223">
        <f t="shared" si="21"/>
        <v>16.197881466438542</v>
      </c>
      <c r="S45" s="223">
        <f t="shared" si="21"/>
        <v>18.58423987914443</v>
      </c>
      <c r="T45" s="223">
        <f t="shared" si="21"/>
        <v>16.6148514012344</v>
      </c>
      <c r="U45" s="223">
        <f t="shared" si="21"/>
        <v>19.342283539019402</v>
      </c>
      <c r="V45" s="223">
        <f t="shared" si="21"/>
        <v>17.267196922475069</v>
      </c>
      <c r="W45" s="223">
        <f t="shared" si="21"/>
        <v>19.880325136476198</v>
      </c>
      <c r="X45" s="223">
        <f t="shared" si="21"/>
        <v>17.745193713015329</v>
      </c>
      <c r="Y45" s="223">
        <f t="shared" si="21"/>
        <v>20.425941252758228</v>
      </c>
      <c r="Z45" s="223">
        <f t="shared" si="21"/>
        <v>18.273548658583099</v>
      </c>
      <c r="AA45" s="72"/>
      <c r="AB45" s="76"/>
      <c r="AC45" s="222">
        <v>13.670534330600001</v>
      </c>
      <c r="AD45" s="222">
        <v>13.25133443146667</v>
      </c>
      <c r="AE45" s="222">
        <v>14</v>
      </c>
      <c r="AF45" s="222">
        <v>12.9</v>
      </c>
      <c r="AG45" s="222">
        <v>14.9</v>
      </c>
      <c r="AH45" s="222">
        <v>9.5</v>
      </c>
      <c r="AI45" s="222">
        <v>18.100000000000001</v>
      </c>
      <c r="AJ45" s="222">
        <v>17.100000000000001</v>
      </c>
      <c r="AK45" s="222">
        <v>9.6</v>
      </c>
      <c r="AL45" s="222">
        <v>14.9</v>
      </c>
      <c r="AM45" s="222">
        <v>19.3</v>
      </c>
      <c r="AN45" s="222">
        <v>15.9</v>
      </c>
      <c r="AO45" s="222">
        <v>17.797156001232558</v>
      </c>
      <c r="AP45" s="222">
        <v>16.197881466438542</v>
      </c>
      <c r="AQ45" s="222">
        <v>18.58423987914443</v>
      </c>
      <c r="AR45" s="222">
        <v>16.6148514012344</v>
      </c>
      <c r="AS45" s="222">
        <v>19.342283539019402</v>
      </c>
      <c r="AT45" s="222">
        <v>17.267196922475069</v>
      </c>
      <c r="AU45" s="222">
        <v>19.880325136476198</v>
      </c>
      <c r="AV45" s="222">
        <v>17.745193713015329</v>
      </c>
      <c r="AW45" s="222">
        <v>20.425941252758228</v>
      </c>
      <c r="AX45" s="222">
        <v>18.273548658583099</v>
      </c>
      <c r="AY45" s="76"/>
      <c r="AZ45" s="77" t="s">
        <v>1259</v>
      </c>
      <c r="BA45" s="77" t="s">
        <v>1349</v>
      </c>
      <c r="BB45" s="78" t="s">
        <v>1261</v>
      </c>
      <c r="BC45" s="76"/>
      <c r="BD45" s="79">
        <f>_xll.VAData($AZ45,BD$2,$BA45,$BB45)</f>
        <v>13.695052991800001</v>
      </c>
      <c r="BE45" s="79">
        <f>_xll.VAData($AZ45,BE$2,$BA45,$BB45)</f>
        <v>13.3031782944</v>
      </c>
      <c r="BF45" s="79">
        <f>_xll.VAData($AZ45,BF$2,$BA45,$BB45)</f>
        <v>14.119133202614</v>
      </c>
      <c r="BG45" s="79">
        <f>_xll.VAData($AZ45,BG$2,$BA45,$BB45)</f>
        <v>12.982080534572001</v>
      </c>
      <c r="BH45" s="79">
        <f>_xll.VAData($AZ45,BH$2,$BA45,$BB45)</f>
        <v>14.91713312206735</v>
      </c>
      <c r="BI45" s="79">
        <f>_xll.VAData($AZ45,BI$2,$BA45,$BB45)</f>
        <v>9.4828668779326701</v>
      </c>
      <c r="BJ45" s="79">
        <f>_xll.VAData($AZ45,BJ$2,$BA45,$BB45)</f>
        <v>18.100000000000001</v>
      </c>
      <c r="BK45" s="79">
        <f>_xll.VAData($AZ45,BK$2,$BA45,$BB45)</f>
        <v>17.079400195500899</v>
      </c>
      <c r="BL45" s="79">
        <f>_xll.VAData($AZ45,BL$2,$BA45,$BB45)</f>
        <v>9.6</v>
      </c>
      <c r="BM45" s="79">
        <f>_xll.VAData($AZ45,BM$2,$BA45,$BB45)</f>
        <v>14.9</v>
      </c>
      <c r="BN45" s="79">
        <f>_xll.VAData($AZ45,BN$2,$BA45,$BB45)</f>
        <v>19.3</v>
      </c>
      <c r="BO45" s="79">
        <f>_xll.VAData($AZ45,BO$2,$BA45,$BB45)</f>
        <v>15.9</v>
      </c>
      <c r="BP45" s="79">
        <f>_xll.VAData($AZ45,BP$2,$BA45,$BB45)</f>
        <v>16.399999999999999</v>
      </c>
      <c r="BQ45" s="79">
        <f>_xll.VAData($AZ45,BQ$2,$BA45,$BB45)</f>
        <v>16.100000000000001</v>
      </c>
      <c r="BR45" s="79">
        <f>_xll.VAData($AZ45,BR$2,$BA45,$BB45)</f>
        <v>17.501895399999999</v>
      </c>
      <c r="BS45" s="79">
        <f>_xll.VAData($AZ45,BS$2,$BA45,$BB45)</f>
        <v>16.212800000000001</v>
      </c>
      <c r="BT45" s="79">
        <f>_xll.VAData($AZ45,BT$2,$BA45,$BB45)</f>
        <v>15.521100000000001</v>
      </c>
      <c r="BU45" s="79">
        <f>_xll.VAData($AZ45,BU$2,$BA45,$BB45)</f>
        <v>15.921099999999999</v>
      </c>
      <c r="BV45" s="79">
        <f>_xll.VAData($AZ45,BV$2,$BA45,$BB45)</f>
        <v>15.9091275</v>
      </c>
      <c r="BW45" s="79">
        <f>_xll.VAData($AZ45,BW$2,$BA45,$BB45)</f>
        <v>16.214732999999999</v>
      </c>
      <c r="BX45" s="79">
        <f>_xll.VAData($AZ45,BX$2,$BA45,$BB45)</f>
        <v>16.306855687500001</v>
      </c>
      <c r="BY45" s="79">
        <f>_xll.VAData($AZ45,BY$2,$BA45,$BB45)</f>
        <v>16.535641325</v>
      </c>
    </row>
    <row r="46" spans="1:77">
      <c r="B46" s="74"/>
      <c r="C46" s="72" t="s">
        <v>72</v>
      </c>
      <c r="D46" s="225" t="s">
        <v>1343</v>
      </c>
      <c r="E46" s="226" t="e">
        <f>HY!#REF!</f>
        <v>#REF!</v>
      </c>
      <c r="F46" s="226" t="e">
        <f>HY!#REF!</f>
        <v>#REF!</v>
      </c>
      <c r="G46" s="226" t="e">
        <f>HY!#REF!</f>
        <v>#REF!</v>
      </c>
      <c r="H46" s="226" t="e">
        <f>HY!#REF!</f>
        <v>#REF!</v>
      </c>
      <c r="I46" s="226" t="e">
        <f>HY!#REF!</f>
        <v>#REF!</v>
      </c>
      <c r="J46" s="226" t="e">
        <f>HY!#REF!</f>
        <v>#REF!</v>
      </c>
      <c r="K46" s="226" t="e">
        <f>HY!#REF!</f>
        <v>#REF!</v>
      </c>
      <c r="L46" s="226" t="e">
        <f>HY!#REF!</f>
        <v>#REF!</v>
      </c>
      <c r="M46" s="226" t="e">
        <f>HY!#REF!</f>
        <v>#REF!</v>
      </c>
      <c r="N46" s="226" t="e">
        <f>HY!#REF!</f>
        <v>#REF!</v>
      </c>
      <c r="O46" s="226" t="e">
        <f>HY!#REF!</f>
        <v>#REF!</v>
      </c>
      <c r="P46" s="226" t="e">
        <f>HY!#REF!</f>
        <v>#REF!</v>
      </c>
      <c r="Q46" s="226" t="e">
        <f>HY!#REF!</f>
        <v>#REF!</v>
      </c>
      <c r="R46" s="226" t="e">
        <f>HY!#REF!</f>
        <v>#REF!</v>
      </c>
      <c r="S46" s="226" t="e">
        <f>HY!#REF!</f>
        <v>#REF!</v>
      </c>
      <c r="T46" s="226" t="e">
        <f>HY!#REF!</f>
        <v>#REF!</v>
      </c>
      <c r="U46" s="226" t="e">
        <f>HY!#REF!</f>
        <v>#REF!</v>
      </c>
      <c r="V46" s="226" t="e">
        <f>HY!#REF!</f>
        <v>#REF!</v>
      </c>
      <c r="W46" s="226" t="e">
        <f>HY!#REF!</f>
        <v>#REF!</v>
      </c>
      <c r="X46" s="226" t="e">
        <f>HY!#REF!</f>
        <v>#REF!</v>
      </c>
      <c r="Y46" s="226" t="e">
        <f>HY!#REF!</f>
        <v>#REF!</v>
      </c>
      <c r="Z46" s="226" t="e">
        <f>HY!#REF!</f>
        <v>#REF!</v>
      </c>
      <c r="AA46" s="72"/>
      <c r="AB46" s="76"/>
      <c r="AC46" s="221"/>
      <c r="AD46" s="221"/>
      <c r="AE46" s="221"/>
      <c r="AF46" s="221"/>
      <c r="AG46" s="221"/>
      <c r="AH46" s="221"/>
      <c r="AI46" s="221"/>
      <c r="AJ46" s="221"/>
      <c r="AK46" s="221"/>
      <c r="AL46" s="221"/>
      <c r="AM46" s="221"/>
      <c r="AN46" s="221"/>
      <c r="AO46" s="221"/>
      <c r="AP46" s="221"/>
      <c r="AQ46" s="221"/>
      <c r="AR46" s="221"/>
      <c r="AS46" s="221"/>
      <c r="AT46" s="221"/>
      <c r="AU46" s="221"/>
      <c r="AV46" s="221"/>
      <c r="AW46" s="221"/>
      <c r="AX46" s="221"/>
      <c r="AY46" s="76"/>
      <c r="AZ46" s="77"/>
      <c r="BA46" s="77"/>
      <c r="BB46" s="78"/>
      <c r="BC46" s="76"/>
      <c r="BD46" s="221"/>
      <c r="BE46" s="221"/>
      <c r="BF46" s="221"/>
      <c r="BG46" s="221"/>
      <c r="BH46" s="221"/>
      <c r="BI46" s="221"/>
      <c r="BJ46" s="221"/>
      <c r="BK46" s="221"/>
      <c r="BL46" s="221"/>
      <c r="BM46" s="221"/>
      <c r="BN46" s="221"/>
      <c r="BO46" s="221"/>
      <c r="BP46" s="221"/>
      <c r="BQ46" s="221"/>
      <c r="BR46" s="221"/>
      <c r="BS46" s="221"/>
      <c r="BT46" s="221"/>
      <c r="BU46" s="221"/>
      <c r="BV46" s="221"/>
      <c r="BW46" s="221"/>
      <c r="BX46" s="221"/>
      <c r="BY46" s="221"/>
    </row>
    <row r="47" spans="1:77">
      <c r="B47" s="74"/>
      <c r="C47" s="81" t="s">
        <v>88</v>
      </c>
      <c r="D47" s="72" t="s">
        <v>1344</v>
      </c>
      <c r="E47" s="227" t="str">
        <f t="shared" ref="E47:Z47" si="22">IFERROR(ROUND(E45/E46-1,3),"")</f>
        <v/>
      </c>
      <c r="F47" s="227" t="str">
        <f t="shared" si="22"/>
        <v/>
      </c>
      <c r="G47" s="227" t="str">
        <f t="shared" si="22"/>
        <v/>
      </c>
      <c r="H47" s="227" t="str">
        <f t="shared" si="22"/>
        <v/>
      </c>
      <c r="I47" s="227" t="str">
        <f t="shared" si="22"/>
        <v/>
      </c>
      <c r="J47" s="227" t="str">
        <f t="shared" si="22"/>
        <v/>
      </c>
      <c r="K47" s="227" t="str">
        <f t="shared" si="22"/>
        <v/>
      </c>
      <c r="L47" s="227" t="str">
        <f t="shared" si="22"/>
        <v/>
      </c>
      <c r="M47" s="227" t="str">
        <f t="shared" si="22"/>
        <v/>
      </c>
      <c r="N47" s="227" t="str">
        <f t="shared" si="22"/>
        <v/>
      </c>
      <c r="O47" s="227" t="str">
        <f t="shared" si="22"/>
        <v/>
      </c>
      <c r="P47" s="227" t="str">
        <f t="shared" si="22"/>
        <v/>
      </c>
      <c r="Q47" s="227" t="str">
        <f t="shared" si="22"/>
        <v/>
      </c>
      <c r="R47" s="227" t="str">
        <f t="shared" si="22"/>
        <v/>
      </c>
      <c r="S47" s="227" t="str">
        <f t="shared" si="22"/>
        <v/>
      </c>
      <c r="T47" s="227" t="str">
        <f t="shared" si="22"/>
        <v/>
      </c>
      <c r="U47" s="227" t="str">
        <f t="shared" si="22"/>
        <v/>
      </c>
      <c r="V47" s="227" t="str">
        <f t="shared" si="22"/>
        <v/>
      </c>
      <c r="W47" s="227" t="str">
        <f t="shared" si="22"/>
        <v/>
      </c>
      <c r="X47" s="227" t="str">
        <f t="shared" si="22"/>
        <v/>
      </c>
      <c r="Y47" s="227" t="str">
        <f t="shared" si="22"/>
        <v/>
      </c>
      <c r="Z47" s="227" t="str">
        <f t="shared" si="22"/>
        <v/>
      </c>
      <c r="AA47" s="72"/>
      <c r="AB47" s="76"/>
      <c r="AC47" s="221"/>
      <c r="AD47" s="221"/>
      <c r="AE47" s="221"/>
      <c r="AF47" s="221"/>
      <c r="AG47" s="221"/>
      <c r="AH47" s="221"/>
      <c r="AI47" s="221"/>
      <c r="AJ47" s="221"/>
      <c r="AK47" s="221"/>
      <c r="AL47" s="221"/>
      <c r="AM47" s="221"/>
      <c r="AN47" s="221"/>
      <c r="AO47" s="221"/>
      <c r="AP47" s="221"/>
      <c r="AQ47" s="221"/>
      <c r="AR47" s="221"/>
      <c r="AS47" s="221"/>
      <c r="AT47" s="221"/>
      <c r="AU47" s="221"/>
      <c r="AV47" s="221"/>
      <c r="AW47" s="221"/>
      <c r="AX47" s="221"/>
      <c r="AY47" s="76"/>
      <c r="AZ47" s="77"/>
      <c r="BA47" s="77"/>
      <c r="BB47" s="78"/>
      <c r="BC47" s="76"/>
      <c r="BD47" s="221"/>
      <c r="BE47" s="221"/>
      <c r="BF47" s="221"/>
      <c r="BG47" s="221"/>
      <c r="BH47" s="221"/>
      <c r="BI47" s="221"/>
      <c r="BJ47" s="221"/>
      <c r="BK47" s="221"/>
      <c r="BL47" s="221"/>
      <c r="BM47" s="221"/>
      <c r="BN47" s="221"/>
      <c r="BO47" s="221"/>
      <c r="BP47" s="221"/>
      <c r="BQ47" s="221"/>
      <c r="BR47" s="221"/>
      <c r="BS47" s="221"/>
      <c r="BT47" s="221"/>
      <c r="BU47" s="221"/>
      <c r="BV47" s="221"/>
      <c r="BW47" s="221"/>
      <c r="BX47" s="221"/>
      <c r="BY47" s="221"/>
    </row>
    <row r="48" spans="1:77">
      <c r="B48" s="74"/>
      <c r="C48" s="72"/>
      <c r="D48" s="72"/>
      <c r="E48" s="75"/>
      <c r="F48" s="75"/>
      <c r="G48" s="75"/>
      <c r="H48" s="75"/>
      <c r="I48" s="75"/>
      <c r="J48" s="75"/>
      <c r="K48" s="75"/>
      <c r="L48" s="75"/>
      <c r="M48" s="75"/>
      <c r="N48" s="75"/>
      <c r="O48" s="75"/>
      <c r="P48" s="75"/>
      <c r="Q48" s="75"/>
      <c r="R48" s="75"/>
      <c r="S48" s="75"/>
      <c r="T48" s="75"/>
      <c r="U48" s="75"/>
      <c r="V48" s="75"/>
      <c r="W48" s="75"/>
      <c r="X48" s="75"/>
      <c r="Y48" s="75"/>
      <c r="Z48" s="75"/>
      <c r="AA48" s="72"/>
      <c r="AB48" s="76"/>
      <c r="AC48" s="221"/>
      <c r="AD48" s="221"/>
      <c r="AE48" s="221"/>
      <c r="AF48" s="221"/>
      <c r="AG48" s="221"/>
      <c r="AH48" s="221"/>
      <c r="AI48" s="221"/>
      <c r="AJ48" s="221"/>
      <c r="AK48" s="221"/>
      <c r="AL48" s="221"/>
      <c r="AM48" s="221"/>
      <c r="AN48" s="221"/>
      <c r="AO48" s="221"/>
      <c r="AP48" s="221"/>
      <c r="AQ48" s="221"/>
      <c r="AR48" s="221"/>
      <c r="AS48" s="221"/>
      <c r="AT48" s="221"/>
      <c r="AU48" s="221"/>
      <c r="AV48" s="221"/>
      <c r="AW48" s="221"/>
      <c r="AX48" s="221"/>
      <c r="AY48" s="76"/>
      <c r="AZ48" s="77"/>
      <c r="BA48" s="77"/>
      <c r="BB48" s="78"/>
      <c r="BC48" s="76"/>
      <c r="BD48" s="221"/>
      <c r="BE48" s="221"/>
      <c r="BF48" s="221"/>
      <c r="BG48" s="221"/>
      <c r="BH48" s="221"/>
      <c r="BI48" s="221"/>
      <c r="BJ48" s="221"/>
      <c r="BK48" s="221"/>
      <c r="BL48" s="221"/>
      <c r="BM48" s="221"/>
      <c r="BN48" s="221"/>
      <c r="BO48" s="221"/>
      <c r="BP48" s="221"/>
      <c r="BQ48" s="221"/>
      <c r="BR48" s="221"/>
      <c r="BS48" s="221"/>
      <c r="BT48" s="221"/>
      <c r="BU48" s="221"/>
      <c r="BV48" s="221"/>
      <c r="BW48" s="221"/>
      <c r="BX48" s="221"/>
      <c r="BY48" s="221"/>
    </row>
    <row r="49" spans="2:77">
      <c r="B49" s="74" t="str">
        <f>BA49</f>
        <v>EBITDA - Queenstown</v>
      </c>
      <c r="C49" s="72" t="s">
        <v>72</v>
      </c>
      <c r="D49" s="224" t="s">
        <v>1342</v>
      </c>
      <c r="E49" s="223">
        <f t="shared" ref="E49:Z49" si="23">AC49</f>
        <v>1</v>
      </c>
      <c r="F49" s="223">
        <f t="shared" si="23"/>
        <v>1.1000000000000001</v>
      </c>
      <c r="G49" s="223">
        <f t="shared" si="23"/>
        <v>1.2</v>
      </c>
      <c r="H49" s="223">
        <f t="shared" si="23"/>
        <v>1.1000000000000001</v>
      </c>
      <c r="I49" s="223">
        <f t="shared" si="23"/>
        <v>1.5</v>
      </c>
      <c r="J49" s="223">
        <f t="shared" si="23"/>
        <v>-0.8</v>
      </c>
      <c r="K49" s="223">
        <f t="shared" si="23"/>
        <v>2.2000000000000002</v>
      </c>
      <c r="L49" s="223">
        <f t="shared" si="23"/>
        <v>1</v>
      </c>
      <c r="M49" s="223">
        <f t="shared" si="23"/>
        <v>1.4</v>
      </c>
      <c r="N49" s="223">
        <f t="shared" si="23"/>
        <v>1.6</v>
      </c>
      <c r="O49" s="223">
        <f t="shared" si="23"/>
        <v>2.2999999999999998</v>
      </c>
      <c r="P49" s="223">
        <f t="shared" si="23"/>
        <v>1.8</v>
      </c>
      <c r="Q49" s="223">
        <f t="shared" si="23"/>
        <v>2.0704908686137942</v>
      </c>
      <c r="R49" s="223">
        <f t="shared" si="23"/>
        <v>1.7206776992372139</v>
      </c>
      <c r="S49" s="223">
        <f t="shared" si="23"/>
        <v>2.2249446300665552</v>
      </c>
      <c r="T49" s="223">
        <f t="shared" si="23"/>
        <v>1.783701229096198</v>
      </c>
      <c r="U49" s="223">
        <f t="shared" si="23"/>
        <v>2.3400394100608271</v>
      </c>
      <c r="V49" s="223">
        <f t="shared" si="23"/>
        <v>1.848398806390853</v>
      </c>
      <c r="W49" s="223">
        <f t="shared" si="23"/>
        <v>2.3976944608759729</v>
      </c>
      <c r="X49" s="223">
        <f t="shared" si="23"/>
        <v>1.8903783899552731</v>
      </c>
      <c r="Y49" s="223">
        <f t="shared" si="23"/>
        <v>2.4685808089758101</v>
      </c>
      <c r="Z49" s="223">
        <f t="shared" si="23"/>
        <v>1.952189885958207</v>
      </c>
      <c r="AA49" s="72"/>
      <c r="AB49" s="76"/>
      <c r="AC49" s="222">
        <v>1</v>
      </c>
      <c r="AD49" s="222">
        <v>1.1000000000000001</v>
      </c>
      <c r="AE49" s="222">
        <v>1.2</v>
      </c>
      <c r="AF49" s="222">
        <v>1.1000000000000001</v>
      </c>
      <c r="AG49" s="222">
        <v>1.5</v>
      </c>
      <c r="AH49" s="222">
        <v>-0.8</v>
      </c>
      <c r="AI49" s="222">
        <v>2.2000000000000002</v>
      </c>
      <c r="AJ49" s="222">
        <v>1</v>
      </c>
      <c r="AK49" s="222">
        <v>1.4</v>
      </c>
      <c r="AL49" s="222">
        <v>1.6</v>
      </c>
      <c r="AM49" s="222">
        <v>2.2999999999999998</v>
      </c>
      <c r="AN49" s="222">
        <v>1.8</v>
      </c>
      <c r="AO49" s="222">
        <v>2.0704908686137942</v>
      </c>
      <c r="AP49" s="222">
        <v>1.7206776992372139</v>
      </c>
      <c r="AQ49" s="222">
        <v>2.2249446300665552</v>
      </c>
      <c r="AR49" s="222">
        <v>1.783701229096198</v>
      </c>
      <c r="AS49" s="222">
        <v>2.3400394100608271</v>
      </c>
      <c r="AT49" s="222">
        <v>1.848398806390853</v>
      </c>
      <c r="AU49" s="222">
        <v>2.3976944608759729</v>
      </c>
      <c r="AV49" s="222">
        <v>1.8903783899552731</v>
      </c>
      <c r="AW49" s="222">
        <v>2.4685808089758101</v>
      </c>
      <c r="AX49" s="222">
        <v>1.952189885958207</v>
      </c>
      <c r="AY49" s="76"/>
      <c r="AZ49" s="77" t="s">
        <v>1259</v>
      </c>
      <c r="BA49" s="77" t="s">
        <v>1350</v>
      </c>
      <c r="BB49" s="78" t="s">
        <v>1261</v>
      </c>
      <c r="BC49" s="76"/>
      <c r="BD49" s="79">
        <f>_xll.VAData($AZ49,BD$2,$BA49,$BB49)</f>
        <v>0.971796675</v>
      </c>
      <c r="BE49" s="79">
        <f>_xll.VAData($AZ49,BE$2,$BA49,$BB49)</f>
        <v>1.1282033250000001</v>
      </c>
      <c r="BF49" s="79">
        <f>_xll.VAData($AZ49,BF$2,$BA49,$BB49)</f>
        <v>1.18474682350313</v>
      </c>
      <c r="BG49" s="79">
        <f>_xll.VAData($AZ49,BG$2,$BA49,$BB49)</f>
        <v>1.15461940725532</v>
      </c>
      <c r="BH49" s="79">
        <f>_xll.VAData($AZ49,BH$2,$BA49,$BB49)</f>
        <v>1.494820147</v>
      </c>
      <c r="BI49" s="79">
        <f>_xll.VAData($AZ49,BI$2,$BA49,$BB49)</f>
        <v>-0.79482014699999948</v>
      </c>
      <c r="BJ49" s="79">
        <f>_xll.VAData($AZ49,BJ$2,$BA49,$BB49)</f>
        <v>2.1950462764956802</v>
      </c>
      <c r="BK49" s="79">
        <f>_xll.VAData($AZ49,BK$2,$BA49,$BB49)</f>
        <v>0.98587246819368501</v>
      </c>
      <c r="BL49" s="79">
        <f>_xll.VAData($AZ49,BL$2,$BA49,$BB49)</f>
        <v>1.4</v>
      </c>
      <c r="BM49" s="79">
        <f>_xll.VAData($AZ49,BM$2,$BA49,$BB49)</f>
        <v>1.6</v>
      </c>
      <c r="BN49" s="79">
        <f>_xll.VAData($AZ49,BN$2,$BA49,$BB49)</f>
        <v>3.6</v>
      </c>
      <c r="BO49" s="79">
        <f>_xll.VAData($AZ49,BO$2,$BA49,$BB49)</f>
        <v>0.4</v>
      </c>
      <c r="BP49" s="79">
        <f>_xll.VAData($AZ49,BP$2,$BA49,$BB49)</f>
        <v>0.4</v>
      </c>
      <c r="BQ49" s="79">
        <f>_xll.VAData($AZ49,BQ$2,$BA49,$BB49)</f>
        <v>2.1</v>
      </c>
      <c r="BR49" s="79">
        <f>_xll.VAData($AZ49,BR$2,$BA49,$BB49)</f>
        <v>1.36299282748207</v>
      </c>
      <c r="BS49" s="79">
        <f>_xll.VAData($AZ49,BS$2,$BA49,$BB49)</f>
        <v>1.2476640996602499</v>
      </c>
      <c r="BT49" s="79" t="str">
        <f>_xll.VAData($AZ49,BT$2,$BA49,$BB49)</f>
        <v>-</v>
      </c>
      <c r="BU49" s="79" t="str">
        <f>_xll.VAData($AZ49,BU$2,$BA49,$BB49)</f>
        <v>-</v>
      </c>
      <c r="BV49" s="79" t="str">
        <f>_xll.VAData($AZ49,BV$2,$BA49,$BB49)</f>
        <v>-</v>
      </c>
      <c r="BW49" s="79" t="str">
        <f>_xll.VAData($AZ49,BW$2,$BA49,$BB49)</f>
        <v>-</v>
      </c>
      <c r="BX49" s="79" t="str">
        <f>_xll.VAData($AZ49,BX$2,$BA49,$BB49)</f>
        <v>-</v>
      </c>
      <c r="BY49" s="79" t="str">
        <f>_xll.VAData($AZ49,BY$2,$BA49,$BB49)</f>
        <v>-</v>
      </c>
    </row>
    <row r="50" spans="2:77">
      <c r="B50" s="74"/>
      <c r="C50" s="72" t="s">
        <v>72</v>
      </c>
      <c r="D50" s="225" t="s">
        <v>1343</v>
      </c>
      <c r="E50" s="226" t="e">
        <f>HY!#REF!</f>
        <v>#REF!</v>
      </c>
      <c r="F50" s="226" t="e">
        <f>HY!#REF!</f>
        <v>#REF!</v>
      </c>
      <c r="G50" s="226" t="e">
        <f>HY!#REF!</f>
        <v>#REF!</v>
      </c>
      <c r="H50" s="226" t="e">
        <f>HY!#REF!</f>
        <v>#REF!</v>
      </c>
      <c r="I50" s="226" t="e">
        <f>HY!#REF!</f>
        <v>#REF!</v>
      </c>
      <c r="J50" s="226" t="e">
        <f>HY!#REF!</f>
        <v>#REF!</v>
      </c>
      <c r="K50" s="226" t="e">
        <f>HY!#REF!</f>
        <v>#REF!</v>
      </c>
      <c r="L50" s="226" t="e">
        <f>HY!#REF!</f>
        <v>#REF!</v>
      </c>
      <c r="M50" s="226" t="e">
        <f>HY!#REF!</f>
        <v>#REF!</v>
      </c>
      <c r="N50" s="226" t="e">
        <f>HY!#REF!</f>
        <v>#REF!</v>
      </c>
      <c r="O50" s="226" t="e">
        <f>HY!#REF!</f>
        <v>#REF!</v>
      </c>
      <c r="P50" s="226" t="e">
        <f>HY!#REF!</f>
        <v>#REF!</v>
      </c>
      <c r="Q50" s="226" t="e">
        <f>HY!#REF!</f>
        <v>#REF!</v>
      </c>
      <c r="R50" s="226" t="e">
        <f>HY!#REF!</f>
        <v>#REF!</v>
      </c>
      <c r="S50" s="226" t="e">
        <f>HY!#REF!</f>
        <v>#REF!</v>
      </c>
      <c r="T50" s="226" t="e">
        <f>HY!#REF!</f>
        <v>#REF!</v>
      </c>
      <c r="U50" s="226" t="e">
        <f>HY!#REF!</f>
        <v>#REF!</v>
      </c>
      <c r="V50" s="226" t="e">
        <f>HY!#REF!</f>
        <v>#REF!</v>
      </c>
      <c r="W50" s="226" t="e">
        <f>HY!#REF!</f>
        <v>#REF!</v>
      </c>
      <c r="X50" s="226" t="e">
        <f>HY!#REF!</f>
        <v>#REF!</v>
      </c>
      <c r="Y50" s="226" t="e">
        <f>HY!#REF!</f>
        <v>#REF!</v>
      </c>
      <c r="Z50" s="226" t="e">
        <f>HY!#REF!</f>
        <v>#REF!</v>
      </c>
      <c r="AA50" s="72"/>
      <c r="AB50" s="76"/>
      <c r="AC50" s="221"/>
      <c r="AD50" s="221"/>
      <c r="AE50" s="221"/>
      <c r="AF50" s="221"/>
      <c r="AG50" s="221"/>
      <c r="AH50" s="221"/>
      <c r="AI50" s="221"/>
      <c r="AJ50" s="221"/>
      <c r="AK50" s="221"/>
      <c r="AL50" s="221"/>
      <c r="AM50" s="221"/>
      <c r="AN50" s="221"/>
      <c r="AO50" s="221"/>
      <c r="AP50" s="221"/>
      <c r="AQ50" s="221"/>
      <c r="AR50" s="221"/>
      <c r="AS50" s="221"/>
      <c r="AT50" s="221"/>
      <c r="AU50" s="221"/>
      <c r="AV50" s="221"/>
      <c r="AW50" s="221"/>
      <c r="AX50" s="221"/>
      <c r="AY50" s="76"/>
      <c r="AZ50" s="77"/>
      <c r="BA50" s="77"/>
      <c r="BB50" s="78"/>
      <c r="BC50" s="76"/>
      <c r="BD50" s="221"/>
      <c r="BE50" s="221"/>
      <c r="BF50" s="221"/>
      <c r="BG50" s="221"/>
      <c r="BH50" s="221"/>
      <c r="BI50" s="221"/>
      <c r="BJ50" s="221"/>
      <c r="BK50" s="221"/>
      <c r="BL50" s="221"/>
      <c r="BM50" s="221"/>
      <c r="BN50" s="221"/>
      <c r="BO50" s="221"/>
      <c r="BP50" s="221"/>
      <c r="BQ50" s="221"/>
      <c r="BR50" s="221"/>
      <c r="BS50" s="221"/>
      <c r="BT50" s="221"/>
      <c r="BU50" s="221"/>
      <c r="BV50" s="221"/>
      <c r="BW50" s="221"/>
      <c r="BX50" s="221"/>
      <c r="BY50" s="221"/>
    </row>
    <row r="51" spans="2:77">
      <c r="B51" s="74"/>
      <c r="C51" s="81" t="s">
        <v>88</v>
      </c>
      <c r="D51" s="72" t="s">
        <v>1344</v>
      </c>
      <c r="E51" s="227" t="str">
        <f t="shared" ref="E51:Z51" si="24">IFERROR(ROUND(E49/E50-1,3),"")</f>
        <v/>
      </c>
      <c r="F51" s="227" t="str">
        <f t="shared" si="24"/>
        <v/>
      </c>
      <c r="G51" s="227" t="str">
        <f t="shared" si="24"/>
        <v/>
      </c>
      <c r="H51" s="227" t="str">
        <f t="shared" si="24"/>
        <v/>
      </c>
      <c r="I51" s="227" t="str">
        <f t="shared" si="24"/>
        <v/>
      </c>
      <c r="J51" s="227" t="str">
        <f t="shared" si="24"/>
        <v/>
      </c>
      <c r="K51" s="227" t="str">
        <f t="shared" si="24"/>
        <v/>
      </c>
      <c r="L51" s="227" t="str">
        <f t="shared" si="24"/>
        <v/>
      </c>
      <c r="M51" s="227" t="str">
        <f t="shared" si="24"/>
        <v/>
      </c>
      <c r="N51" s="227" t="str">
        <f t="shared" si="24"/>
        <v/>
      </c>
      <c r="O51" s="227" t="str">
        <f t="shared" si="24"/>
        <v/>
      </c>
      <c r="P51" s="227" t="str">
        <f t="shared" si="24"/>
        <v/>
      </c>
      <c r="Q51" s="227" t="str">
        <f t="shared" si="24"/>
        <v/>
      </c>
      <c r="R51" s="227" t="str">
        <f t="shared" si="24"/>
        <v/>
      </c>
      <c r="S51" s="227" t="str">
        <f t="shared" si="24"/>
        <v/>
      </c>
      <c r="T51" s="227" t="str">
        <f t="shared" si="24"/>
        <v/>
      </c>
      <c r="U51" s="227" t="str">
        <f t="shared" si="24"/>
        <v/>
      </c>
      <c r="V51" s="227" t="str">
        <f t="shared" si="24"/>
        <v/>
      </c>
      <c r="W51" s="227" t="str">
        <f t="shared" si="24"/>
        <v/>
      </c>
      <c r="X51" s="227" t="str">
        <f t="shared" si="24"/>
        <v/>
      </c>
      <c r="Y51" s="227" t="str">
        <f t="shared" si="24"/>
        <v/>
      </c>
      <c r="Z51" s="227" t="str">
        <f t="shared" si="24"/>
        <v/>
      </c>
      <c r="AA51" s="72"/>
      <c r="AB51" s="76"/>
      <c r="AC51" s="221"/>
      <c r="AD51" s="221"/>
      <c r="AE51" s="221"/>
      <c r="AF51" s="221"/>
      <c r="AG51" s="221"/>
      <c r="AH51" s="221"/>
      <c r="AI51" s="221"/>
      <c r="AJ51" s="221"/>
      <c r="AK51" s="221"/>
      <c r="AL51" s="221"/>
      <c r="AM51" s="221"/>
      <c r="AN51" s="221"/>
      <c r="AO51" s="221"/>
      <c r="AP51" s="221"/>
      <c r="AQ51" s="221"/>
      <c r="AR51" s="221"/>
      <c r="AS51" s="221"/>
      <c r="AT51" s="221"/>
      <c r="AU51" s="221"/>
      <c r="AV51" s="221"/>
      <c r="AW51" s="221"/>
      <c r="AX51" s="221"/>
      <c r="AY51" s="76"/>
      <c r="AZ51" s="77"/>
      <c r="BA51" s="77"/>
      <c r="BB51" s="78"/>
      <c r="BC51" s="76"/>
      <c r="BD51" s="221"/>
      <c r="BE51" s="221"/>
      <c r="BF51" s="221"/>
      <c r="BG51" s="221"/>
      <c r="BH51" s="221"/>
      <c r="BI51" s="221"/>
      <c r="BJ51" s="221"/>
      <c r="BK51" s="221"/>
      <c r="BL51" s="221"/>
      <c r="BM51" s="221"/>
      <c r="BN51" s="221"/>
      <c r="BO51" s="221"/>
      <c r="BP51" s="221"/>
      <c r="BQ51" s="221"/>
      <c r="BR51" s="221"/>
      <c r="BS51" s="221"/>
      <c r="BT51" s="221"/>
      <c r="BU51" s="221"/>
      <c r="BV51" s="221"/>
      <c r="BW51" s="221"/>
      <c r="BX51" s="221"/>
      <c r="BY51" s="221"/>
    </row>
    <row r="52" spans="2:77">
      <c r="B52" s="74"/>
      <c r="C52" s="72"/>
      <c r="D52" s="72"/>
      <c r="E52" s="75"/>
      <c r="F52" s="75"/>
      <c r="G52" s="75"/>
      <c r="H52" s="75"/>
      <c r="I52" s="75"/>
      <c r="J52" s="75"/>
      <c r="K52" s="75"/>
      <c r="L52" s="75"/>
      <c r="M52" s="75"/>
      <c r="N52" s="75"/>
      <c r="O52" s="75"/>
      <c r="P52" s="75"/>
      <c r="Q52" s="75"/>
      <c r="R52" s="75"/>
      <c r="S52" s="75"/>
      <c r="T52" s="75"/>
      <c r="U52" s="75"/>
      <c r="V52" s="75"/>
      <c r="W52" s="75"/>
      <c r="X52" s="75"/>
      <c r="Y52" s="75"/>
      <c r="Z52" s="75"/>
      <c r="AA52" s="72"/>
      <c r="AB52" s="76"/>
      <c r="AC52" s="221"/>
      <c r="AD52" s="221"/>
      <c r="AE52" s="221"/>
      <c r="AF52" s="221"/>
      <c r="AG52" s="221"/>
      <c r="AH52" s="221"/>
      <c r="AI52" s="221"/>
      <c r="AJ52" s="221"/>
      <c r="AK52" s="221"/>
      <c r="AL52" s="221"/>
      <c r="AM52" s="221"/>
      <c r="AN52" s="221"/>
      <c r="AO52" s="221"/>
      <c r="AP52" s="221"/>
      <c r="AQ52" s="221"/>
      <c r="AR52" s="221"/>
      <c r="AS52" s="221"/>
      <c r="AT52" s="221"/>
      <c r="AU52" s="221"/>
      <c r="AV52" s="221"/>
      <c r="AW52" s="221"/>
      <c r="AX52" s="221"/>
      <c r="AY52" s="76"/>
      <c r="AZ52" s="77"/>
      <c r="BA52" s="77"/>
      <c r="BB52" s="78"/>
      <c r="BC52" s="76"/>
      <c r="BD52" s="221"/>
      <c r="BE52" s="221"/>
      <c r="BF52" s="221"/>
      <c r="BG52" s="221"/>
      <c r="BH52" s="221"/>
      <c r="BI52" s="221"/>
      <c r="BJ52" s="221"/>
      <c r="BK52" s="221"/>
      <c r="BL52" s="221"/>
      <c r="BM52" s="221"/>
      <c r="BN52" s="221"/>
      <c r="BO52" s="221"/>
      <c r="BP52" s="221"/>
      <c r="BQ52" s="221"/>
      <c r="BR52" s="221"/>
      <c r="BS52" s="221"/>
      <c r="BT52" s="221"/>
      <c r="BU52" s="221"/>
      <c r="BV52" s="221"/>
      <c r="BW52" s="221"/>
      <c r="BX52" s="221"/>
      <c r="BY52" s="221"/>
    </row>
    <row r="53" spans="2:77">
      <c r="B53" s="74" t="str">
        <f>BA53</f>
        <v>EBITDA - Domestic - Adelaide</v>
      </c>
      <c r="C53" s="72" t="s">
        <v>72</v>
      </c>
      <c r="D53" s="224" t="s">
        <v>1342</v>
      </c>
      <c r="E53" s="223">
        <f t="shared" ref="E53:Z53" si="25">AC53</f>
        <v>14.22163877037527</v>
      </c>
      <c r="F53" s="223">
        <f t="shared" si="25"/>
        <v>10.21110561010884</v>
      </c>
      <c r="G53" s="223">
        <f t="shared" si="25"/>
        <v>13.0054742634906</v>
      </c>
      <c r="H53" s="223">
        <f t="shared" si="25"/>
        <v>8.9654293524762458</v>
      </c>
      <c r="I53" s="223">
        <f t="shared" si="25"/>
        <v>13.52168132511399</v>
      </c>
      <c r="J53" s="223">
        <f t="shared" si="25"/>
        <v>-1.7723441324312661</v>
      </c>
      <c r="K53" s="223">
        <f t="shared" si="25"/>
        <v>26.390187004024689</v>
      </c>
      <c r="L53" s="223">
        <f t="shared" si="25"/>
        <v>19.33863554837296</v>
      </c>
      <c r="M53" s="223">
        <f t="shared" si="25"/>
        <v>11.47168332137139</v>
      </c>
      <c r="N53" s="223">
        <f t="shared" si="25"/>
        <v>11.191630701469849</v>
      </c>
      <c r="O53" s="223">
        <f t="shared" si="25"/>
        <v>22.079667369853691</v>
      </c>
      <c r="P53" s="223">
        <f t="shared" si="25"/>
        <v>15.41420714928207</v>
      </c>
      <c r="Q53" s="223">
        <f t="shared" si="25"/>
        <v>16.683529742515201</v>
      </c>
      <c r="R53" s="223">
        <f t="shared" si="25"/>
        <v>16.272017259433269</v>
      </c>
      <c r="S53" s="223">
        <f t="shared" si="25"/>
        <v>18.201852119729729</v>
      </c>
      <c r="T53" s="223">
        <f t="shared" si="25"/>
        <v>18.04362031650043</v>
      </c>
      <c r="U53" s="223">
        <f t="shared" si="25"/>
        <v>18.440718962769989</v>
      </c>
      <c r="V53" s="223">
        <f t="shared" si="25"/>
        <v>19.17358706567618</v>
      </c>
      <c r="W53" s="223">
        <f t="shared" si="25"/>
        <v>19.548947594605501</v>
      </c>
      <c r="X53" s="223">
        <f t="shared" si="25"/>
        <v>20.197188837288142</v>
      </c>
      <c r="Y53" s="223">
        <f t="shared" si="25"/>
        <v>20.303779122922968</v>
      </c>
      <c r="Z53" s="223">
        <f t="shared" si="25"/>
        <v>21.371387351118312</v>
      </c>
      <c r="AA53" s="72"/>
      <c r="AB53" s="76"/>
      <c r="AC53" s="222">
        <v>14.22163877037527</v>
      </c>
      <c r="AD53" s="222">
        <v>10.21110561010884</v>
      </c>
      <c r="AE53" s="222">
        <v>13.0054742634906</v>
      </c>
      <c r="AF53" s="222">
        <v>8.9654293524762458</v>
      </c>
      <c r="AG53" s="222">
        <v>13.52168132511399</v>
      </c>
      <c r="AH53" s="222">
        <v>-1.7723441324312661</v>
      </c>
      <c r="AI53" s="222">
        <v>26.390187004024689</v>
      </c>
      <c r="AJ53" s="222">
        <v>19.33863554837296</v>
      </c>
      <c r="AK53" s="222">
        <v>11.47168332137139</v>
      </c>
      <c r="AL53" s="222">
        <v>11.191630701469849</v>
      </c>
      <c r="AM53" s="222">
        <v>22.079667369853691</v>
      </c>
      <c r="AN53" s="222">
        <v>15.41420714928207</v>
      </c>
      <c r="AO53" s="222">
        <v>16.683529742515201</v>
      </c>
      <c r="AP53" s="222">
        <v>16.272017259433269</v>
      </c>
      <c r="AQ53" s="222">
        <v>18.201852119729729</v>
      </c>
      <c r="AR53" s="222">
        <v>18.04362031650043</v>
      </c>
      <c r="AS53" s="222">
        <v>18.440718962769989</v>
      </c>
      <c r="AT53" s="222">
        <v>19.17358706567618</v>
      </c>
      <c r="AU53" s="222">
        <v>19.548947594605501</v>
      </c>
      <c r="AV53" s="222">
        <v>20.197188837288142</v>
      </c>
      <c r="AW53" s="222">
        <v>20.303779122922968</v>
      </c>
      <c r="AX53" s="222">
        <v>21.371387351118312</v>
      </c>
      <c r="AY53" s="76"/>
      <c r="AZ53" s="77" t="s">
        <v>1259</v>
      </c>
      <c r="BA53" s="77" t="s">
        <v>1286</v>
      </c>
      <c r="BB53" s="78" t="s">
        <v>1261</v>
      </c>
      <c r="BC53" s="76"/>
      <c r="BD53" s="79">
        <f>_xll.VAData($AZ53,BD$2,$BA53,$BB53)</f>
        <v>14.535945937588114</v>
      </c>
      <c r="BE53" s="79">
        <f>_xll.VAData($AZ53,BE$2,$BA53,$BB53)</f>
        <v>10.888384952198994</v>
      </c>
      <c r="BF53" s="79">
        <f>_xll.VAData($AZ53,BF$2,$BA53,$BB53)</f>
        <v>13.442425617230242</v>
      </c>
      <c r="BG53" s="79">
        <f>_xll.VAData($AZ53,BG$2,$BA53,$BB53)</f>
        <v>9.1616282332122179</v>
      </c>
      <c r="BH53" s="79">
        <f>_xll.VAData($AZ53,BH$2,$BA53,$BB53)</f>
        <v>13.630261491030959</v>
      </c>
      <c r="BI53" s="79">
        <f>_xll.VAData($AZ53,BI$2,$BA53,$BB53)</f>
        <v>-1.9358377683438341</v>
      </c>
      <c r="BJ53" s="79">
        <f>_xll.VAData($AZ53,BJ$2,$BA53,$BB53)</f>
        <v>25.994818322173977</v>
      </c>
      <c r="BK53" s="79">
        <f>_xll.VAData($AZ53,BK$2,$BA53,$BB53)</f>
        <v>18.481468242886333</v>
      </c>
      <c r="BL53" s="79">
        <f>_xll.VAData($AZ53,BL$2,$BA53,$BB53)</f>
        <v>11.338582677165361</v>
      </c>
      <c r="BM53" s="79">
        <f>_xll.VAData($AZ53,BM$2,$BA53,$BB53)</f>
        <v>11.191630701469848</v>
      </c>
      <c r="BN53" s="79">
        <f>_xll.VAData($AZ53,BN$2,$BA53,$BB53)</f>
        <v>20.7</v>
      </c>
      <c r="BO53" s="79">
        <f>_xll.VAData($AZ53,BO$2,$BA53,$BB53)</f>
        <v>15.282071737991103</v>
      </c>
      <c r="BP53" s="79">
        <f>_xll.VAData($AZ53,BP$2,$BA53,$BB53)</f>
        <v>18.2</v>
      </c>
      <c r="BQ53" s="79">
        <f>_xll.VAData($AZ53,BQ$2,$BA53,$BB53)</f>
        <v>21.4</v>
      </c>
      <c r="BR53" s="79">
        <f>_xll.VAData($AZ53,BR$2,$BA53,$BB53)</f>
        <v>21.6</v>
      </c>
      <c r="BS53" s="79">
        <f>_xll.VAData($AZ53,BS$2,$BA53,$BB53)</f>
        <v>9.5</v>
      </c>
      <c r="BT53" s="79">
        <f>_xll.VAData($AZ53,BT$2,$BA53,$BB53)</f>
        <v>9.6999999999999993</v>
      </c>
      <c r="BU53" s="79">
        <f>_xll.VAData($AZ53,BU$2,$BA53,$BB53)</f>
        <v>13.1</v>
      </c>
      <c r="BV53" s="79">
        <f>_xll.VAData($AZ53,BV$2,$BA53,$BB53)</f>
        <v>13.174635344332028</v>
      </c>
      <c r="BW53" s="79">
        <f>_xll.VAData($AZ53,BW$2,$BA53,$BB53)</f>
        <v>8.1437418504498247</v>
      </c>
      <c r="BX53" s="79">
        <f>_xll.VAData($AZ53,BX$2,$BA53,$BB53)</f>
        <v>9.4081524437557409</v>
      </c>
      <c r="BY53" s="79">
        <f>_xll.VAData($AZ53,BY$2,$BA53,$BB53)</f>
        <v>8.9327698059672898</v>
      </c>
    </row>
    <row r="54" spans="2:77">
      <c r="B54" s="228" t="s">
        <v>1347</v>
      </c>
      <c r="C54" s="72" t="s">
        <v>72</v>
      </c>
      <c r="D54" s="225" t="s">
        <v>1343</v>
      </c>
      <c r="E54" s="226" t="e">
        <f>HY!#REF!</f>
        <v>#REF!</v>
      </c>
      <c r="F54" s="226" t="e">
        <f>HY!#REF!</f>
        <v>#REF!</v>
      </c>
      <c r="G54" s="226" t="e">
        <f>HY!#REF!</f>
        <v>#REF!</v>
      </c>
      <c r="H54" s="226" t="e">
        <f>HY!#REF!</f>
        <v>#REF!</v>
      </c>
      <c r="I54" s="226" t="e">
        <f>HY!#REF!</f>
        <v>#REF!</v>
      </c>
      <c r="J54" s="226" t="e">
        <f>HY!#REF!</f>
        <v>#REF!</v>
      </c>
      <c r="K54" s="226" t="e">
        <f>HY!#REF!</f>
        <v>#REF!</v>
      </c>
      <c r="L54" s="226" t="e">
        <f>HY!#REF!</f>
        <v>#REF!</v>
      </c>
      <c r="M54" s="226" t="e">
        <f>HY!#REF!</f>
        <v>#REF!</v>
      </c>
      <c r="N54" s="226" t="e">
        <f>HY!#REF!</f>
        <v>#REF!</v>
      </c>
      <c r="O54" s="226" t="e">
        <f>HY!#REF!</f>
        <v>#REF!</v>
      </c>
      <c r="P54" s="226" t="e">
        <f>HY!#REF!</f>
        <v>#REF!</v>
      </c>
      <c r="Q54" s="226" t="e">
        <f>HY!#REF!</f>
        <v>#REF!</v>
      </c>
      <c r="R54" s="226" t="e">
        <f>HY!#REF!</f>
        <v>#REF!</v>
      </c>
      <c r="S54" s="226" t="e">
        <f>HY!#REF!</f>
        <v>#REF!</v>
      </c>
      <c r="T54" s="226" t="e">
        <f>HY!#REF!</f>
        <v>#REF!</v>
      </c>
      <c r="U54" s="226" t="e">
        <f>HY!#REF!</f>
        <v>#REF!</v>
      </c>
      <c r="V54" s="226" t="e">
        <f>HY!#REF!</f>
        <v>#REF!</v>
      </c>
      <c r="W54" s="226" t="e">
        <f>HY!#REF!</f>
        <v>#REF!</v>
      </c>
      <c r="X54" s="226" t="e">
        <f>HY!#REF!</f>
        <v>#REF!</v>
      </c>
      <c r="Y54" s="226" t="e">
        <f>HY!#REF!</f>
        <v>#REF!</v>
      </c>
      <c r="Z54" s="226" t="e">
        <f>HY!#REF!</f>
        <v>#REF!</v>
      </c>
      <c r="AA54" s="72"/>
      <c r="AB54" s="76"/>
      <c r="AC54" s="221"/>
      <c r="AD54" s="221"/>
      <c r="AE54" s="221"/>
      <c r="AF54" s="221"/>
      <c r="AG54" s="221"/>
      <c r="AH54" s="221"/>
      <c r="AI54" s="221"/>
      <c r="AJ54" s="221"/>
      <c r="AK54" s="221"/>
      <c r="AL54" s="221"/>
      <c r="AM54" s="221"/>
      <c r="AN54" s="221"/>
      <c r="AO54" s="221"/>
      <c r="AP54" s="221"/>
      <c r="AQ54" s="221"/>
      <c r="AR54" s="221"/>
      <c r="AS54" s="221"/>
      <c r="AT54" s="221"/>
      <c r="AU54" s="221"/>
      <c r="AV54" s="221"/>
      <c r="AW54" s="221"/>
      <c r="AX54" s="221"/>
      <c r="AY54" s="76"/>
      <c r="AZ54" s="77"/>
      <c r="BA54" s="77"/>
      <c r="BB54" s="78"/>
      <c r="BC54" s="76"/>
      <c r="BD54" s="221"/>
      <c r="BE54" s="221"/>
      <c r="BF54" s="221"/>
      <c r="BG54" s="221"/>
      <c r="BH54" s="221"/>
      <c r="BI54" s="221"/>
      <c r="BJ54" s="221"/>
      <c r="BK54" s="221"/>
      <c r="BL54" s="221"/>
      <c r="BM54" s="221"/>
      <c r="BN54" s="221"/>
      <c r="BO54" s="221"/>
      <c r="BP54" s="221"/>
      <c r="BQ54" s="221"/>
      <c r="BR54" s="221"/>
      <c r="BS54" s="221"/>
      <c r="BT54" s="221"/>
      <c r="BU54" s="221"/>
      <c r="BV54" s="221"/>
      <c r="BW54" s="221"/>
      <c r="BX54" s="221"/>
      <c r="BY54" s="221"/>
    </row>
    <row r="55" spans="2:77">
      <c r="B55" s="74"/>
      <c r="C55" s="81" t="s">
        <v>88</v>
      </c>
      <c r="D55" s="72" t="s">
        <v>1344</v>
      </c>
      <c r="E55" s="227" t="str">
        <f t="shared" ref="E55:Z55" si="26">IFERROR(ROUND(E53/E54-1,3),"")</f>
        <v/>
      </c>
      <c r="F55" s="227" t="str">
        <f t="shared" si="26"/>
        <v/>
      </c>
      <c r="G55" s="227" t="str">
        <f t="shared" si="26"/>
        <v/>
      </c>
      <c r="H55" s="227" t="str">
        <f t="shared" si="26"/>
        <v/>
      </c>
      <c r="I55" s="227" t="str">
        <f t="shared" si="26"/>
        <v/>
      </c>
      <c r="J55" s="227" t="str">
        <f t="shared" si="26"/>
        <v/>
      </c>
      <c r="K55" s="227" t="str">
        <f t="shared" si="26"/>
        <v/>
      </c>
      <c r="L55" s="227" t="str">
        <f t="shared" si="26"/>
        <v/>
      </c>
      <c r="M55" s="227" t="str">
        <f t="shared" si="26"/>
        <v/>
      </c>
      <c r="N55" s="227" t="str">
        <f t="shared" si="26"/>
        <v/>
      </c>
      <c r="O55" s="227" t="str">
        <f t="shared" si="26"/>
        <v/>
      </c>
      <c r="P55" s="227" t="str">
        <f t="shared" si="26"/>
        <v/>
      </c>
      <c r="Q55" s="227" t="str">
        <f t="shared" si="26"/>
        <v/>
      </c>
      <c r="R55" s="227" t="str">
        <f t="shared" si="26"/>
        <v/>
      </c>
      <c r="S55" s="227" t="str">
        <f t="shared" si="26"/>
        <v/>
      </c>
      <c r="T55" s="227" t="str">
        <f t="shared" si="26"/>
        <v/>
      </c>
      <c r="U55" s="227" t="str">
        <f t="shared" si="26"/>
        <v/>
      </c>
      <c r="V55" s="227" t="str">
        <f t="shared" si="26"/>
        <v/>
      </c>
      <c r="W55" s="227" t="str">
        <f t="shared" si="26"/>
        <v/>
      </c>
      <c r="X55" s="227" t="str">
        <f t="shared" si="26"/>
        <v/>
      </c>
      <c r="Y55" s="227" t="str">
        <f t="shared" si="26"/>
        <v/>
      </c>
      <c r="Z55" s="227" t="str">
        <f t="shared" si="26"/>
        <v/>
      </c>
      <c r="AA55" s="72"/>
      <c r="AB55" s="76"/>
      <c r="AC55" s="221"/>
      <c r="AD55" s="221"/>
      <c r="AE55" s="221"/>
      <c r="AF55" s="221"/>
      <c r="AG55" s="221"/>
      <c r="AH55" s="221"/>
      <c r="AI55" s="221"/>
      <c r="AJ55" s="221"/>
      <c r="AK55" s="221"/>
      <c r="AL55" s="221"/>
      <c r="AM55" s="221"/>
      <c r="AN55" s="221"/>
      <c r="AO55" s="221"/>
      <c r="AP55" s="221"/>
      <c r="AQ55" s="221"/>
      <c r="AR55" s="221"/>
      <c r="AS55" s="221"/>
      <c r="AT55" s="221"/>
      <c r="AU55" s="221"/>
      <c r="AV55" s="221"/>
      <c r="AW55" s="221"/>
      <c r="AX55" s="221"/>
      <c r="AY55" s="76"/>
      <c r="AZ55" s="77"/>
      <c r="BA55" s="77"/>
      <c r="BB55" s="78"/>
      <c r="BC55" s="76"/>
      <c r="BD55" s="221"/>
      <c r="BE55" s="221"/>
      <c r="BF55" s="221"/>
      <c r="BG55" s="221"/>
      <c r="BH55" s="221"/>
      <c r="BI55" s="221"/>
      <c r="BJ55" s="221"/>
      <c r="BK55" s="221"/>
      <c r="BL55" s="221"/>
      <c r="BM55" s="221"/>
      <c r="BN55" s="221"/>
      <c r="BO55" s="221"/>
      <c r="BP55" s="221"/>
      <c r="BQ55" s="221"/>
      <c r="BR55" s="221"/>
      <c r="BS55" s="221"/>
      <c r="BT55" s="221"/>
      <c r="BU55" s="221"/>
      <c r="BV55" s="221"/>
      <c r="BW55" s="221"/>
      <c r="BX55" s="221"/>
      <c r="BY55" s="221"/>
    </row>
    <row r="56" spans="2:77">
      <c r="B56" s="74"/>
      <c r="C56" s="72"/>
      <c r="D56" s="72"/>
      <c r="E56" s="75"/>
      <c r="F56" s="75"/>
      <c r="G56" s="75"/>
      <c r="H56" s="75"/>
      <c r="I56" s="75"/>
      <c r="J56" s="75"/>
      <c r="K56" s="75"/>
      <c r="L56" s="75"/>
      <c r="M56" s="75"/>
      <c r="N56" s="75"/>
      <c r="O56" s="75"/>
      <c r="P56" s="75"/>
      <c r="Q56" s="75"/>
      <c r="R56" s="75"/>
      <c r="S56" s="75"/>
      <c r="T56" s="75"/>
      <c r="U56" s="75"/>
      <c r="V56" s="75"/>
      <c r="W56" s="75"/>
      <c r="X56" s="75"/>
      <c r="Y56" s="75"/>
      <c r="Z56" s="75"/>
      <c r="AA56" s="72"/>
      <c r="AB56" s="76"/>
      <c r="AC56" s="221"/>
      <c r="AD56" s="221"/>
      <c r="AE56" s="221"/>
      <c r="AF56" s="221"/>
      <c r="AG56" s="221"/>
      <c r="AH56" s="221"/>
      <c r="AI56" s="221"/>
      <c r="AJ56" s="221"/>
      <c r="AK56" s="221"/>
      <c r="AL56" s="221"/>
      <c r="AM56" s="221"/>
      <c r="AN56" s="221"/>
      <c r="AO56" s="221"/>
      <c r="AP56" s="221"/>
      <c r="AQ56" s="221"/>
      <c r="AR56" s="221"/>
      <c r="AS56" s="221"/>
      <c r="AT56" s="221"/>
      <c r="AU56" s="221"/>
      <c r="AV56" s="221"/>
      <c r="AW56" s="221"/>
      <c r="AX56" s="221"/>
      <c r="AY56" s="76"/>
      <c r="AZ56" s="77"/>
      <c r="BA56" s="77"/>
      <c r="BB56" s="78"/>
      <c r="BC56" s="76"/>
      <c r="BD56" s="221"/>
      <c r="BE56" s="221"/>
      <c r="BF56" s="221"/>
      <c r="BG56" s="221"/>
      <c r="BH56" s="221"/>
      <c r="BI56" s="221"/>
      <c r="BJ56" s="221"/>
      <c r="BK56" s="221"/>
      <c r="BL56" s="221"/>
      <c r="BM56" s="221"/>
      <c r="BN56" s="221"/>
      <c r="BO56" s="221"/>
      <c r="BP56" s="221"/>
      <c r="BQ56" s="221"/>
      <c r="BR56" s="221"/>
      <c r="BS56" s="221"/>
      <c r="BT56" s="221"/>
      <c r="BU56" s="221"/>
      <c r="BV56" s="221"/>
      <c r="BW56" s="221"/>
      <c r="BX56" s="221"/>
      <c r="BY56" s="221"/>
    </row>
    <row r="57" spans="2:77">
      <c r="B57" s="74" t="str">
        <f>BA57</f>
        <v>EBITDA - International - Operating</v>
      </c>
      <c r="C57" s="72" t="s">
        <v>72</v>
      </c>
      <c r="D57" s="224" t="s">
        <v>1342</v>
      </c>
      <c r="E57" s="223">
        <f t="shared" ref="E57:Z57" si="27">AC57</f>
        <v>11.23795052224</v>
      </c>
      <c r="F57" s="223">
        <f t="shared" si="27"/>
        <v>21.362049477759999</v>
      </c>
      <c r="G57" s="223">
        <f t="shared" si="27"/>
        <v>24.7</v>
      </c>
      <c r="H57" s="223">
        <f t="shared" si="27"/>
        <v>17</v>
      </c>
      <c r="I57" s="223">
        <f t="shared" si="27"/>
        <v>8.1999999999999904</v>
      </c>
      <c r="J57" s="223">
        <f t="shared" si="27"/>
        <v>-3.7</v>
      </c>
      <c r="K57" s="223">
        <f t="shared" si="27"/>
        <v>-2.8</v>
      </c>
      <c r="L57" s="223">
        <f t="shared" si="27"/>
        <v>0.999999999999999</v>
      </c>
      <c r="M57" s="223">
        <f t="shared" si="27"/>
        <v>-1.9</v>
      </c>
      <c r="N57" s="223">
        <f t="shared" si="27"/>
        <v>1.8</v>
      </c>
      <c r="O57" s="223">
        <f t="shared" si="27"/>
        <v>2.6</v>
      </c>
      <c r="P57" s="223">
        <f t="shared" si="27"/>
        <v>3.2</v>
      </c>
      <c r="Q57" s="223">
        <f t="shared" si="27"/>
        <v>3.237789319535977</v>
      </c>
      <c r="R57" s="223">
        <f t="shared" si="27"/>
        <v>3.867206198148577</v>
      </c>
      <c r="S57" s="223">
        <f t="shared" si="27"/>
        <v>4.3558046590153934</v>
      </c>
      <c r="T57" s="223">
        <f t="shared" si="27"/>
        <v>4.8474460897176437</v>
      </c>
      <c r="U57" s="223">
        <f t="shared" si="27"/>
        <v>4.7735845034658997</v>
      </c>
      <c r="V57" s="223">
        <f t="shared" si="27"/>
        <v>5.3299418972864698</v>
      </c>
      <c r="W57" s="223">
        <f t="shared" si="27"/>
        <v>5.2248376697672398</v>
      </c>
      <c r="X57" s="223">
        <f t="shared" si="27"/>
        <v>5.8453539402519574</v>
      </c>
      <c r="Y57" s="223">
        <f t="shared" si="27"/>
        <v>5.5054029568720502</v>
      </c>
      <c r="Z57" s="223">
        <f t="shared" si="27"/>
        <v>6.1567524642427198</v>
      </c>
      <c r="AA57" s="72"/>
      <c r="AB57" s="76"/>
      <c r="AC57" s="222">
        <v>11.23795052224</v>
      </c>
      <c r="AD57" s="222">
        <v>21.362049477759999</v>
      </c>
      <c r="AE57" s="222">
        <v>24.7</v>
      </c>
      <c r="AF57" s="222">
        <v>17</v>
      </c>
      <c r="AG57" s="222">
        <v>8.1999999999999904</v>
      </c>
      <c r="AH57" s="222">
        <v>-3.7</v>
      </c>
      <c r="AI57" s="222">
        <v>-2.8</v>
      </c>
      <c r="AJ57" s="222">
        <v>0.999999999999999</v>
      </c>
      <c r="AK57" s="222">
        <v>-1.9</v>
      </c>
      <c r="AL57" s="222">
        <v>1.8</v>
      </c>
      <c r="AM57" s="222">
        <v>2.6</v>
      </c>
      <c r="AN57" s="222">
        <v>3.2</v>
      </c>
      <c r="AO57" s="222">
        <v>3.237789319535977</v>
      </c>
      <c r="AP57" s="222">
        <v>3.867206198148577</v>
      </c>
      <c r="AQ57" s="222">
        <v>4.3558046590153934</v>
      </c>
      <c r="AR57" s="222">
        <v>4.8474460897176437</v>
      </c>
      <c r="AS57" s="222">
        <v>4.7735845034658997</v>
      </c>
      <c r="AT57" s="222">
        <v>5.3299418972864698</v>
      </c>
      <c r="AU57" s="222">
        <v>5.2248376697672398</v>
      </c>
      <c r="AV57" s="222">
        <v>5.8453539402519574</v>
      </c>
      <c r="AW57" s="222">
        <v>5.5054029568720502</v>
      </c>
      <c r="AX57" s="222">
        <v>6.1567524642427198</v>
      </c>
      <c r="AY57" s="76"/>
      <c r="AZ57" s="77" t="s">
        <v>1259</v>
      </c>
      <c r="BA57" s="77" t="s">
        <v>1351</v>
      </c>
      <c r="BB57" s="78" t="s">
        <v>1261</v>
      </c>
      <c r="BC57" s="76"/>
      <c r="BD57" s="79">
        <f>_xll.VAData($AZ57,BD$2,$BA57,$BB57)</f>
        <v>13.9897526112</v>
      </c>
      <c r="BE57" s="79">
        <f>_xll.VAData($AZ57,BE$2,$BA57,$BB57)</f>
        <v>18.610247388800001</v>
      </c>
      <c r="BF57" s="79">
        <f>_xll.VAData($AZ57,BF$2,$BA57,$BB57)</f>
        <v>33.051649240416502</v>
      </c>
      <c r="BG57" s="79">
        <f>_xll.VAData($AZ57,BG$2,$BA57,$BB57)</f>
        <v>18.877847801155649</v>
      </c>
      <c r="BH57" s="79">
        <f>_xll.VAData($AZ57,BH$2,$BA57,$BB57)</f>
        <v>8.1840187646816354</v>
      </c>
      <c r="BI57" s="79">
        <f>_xll.VAData($AZ57,BI$2,$BA57,$BB57)</f>
        <v>-3.6770372772484601</v>
      </c>
      <c r="BJ57" s="79">
        <f>_xll.VAData($AZ57,BJ$2,$BA57,$BB57)</f>
        <v>-2.7990858222644199</v>
      </c>
      <c r="BK57" s="79">
        <f>_xll.VAData($AZ57,BK$2,$BA57,$BB57)</f>
        <v>0.98480221705592896</v>
      </c>
      <c r="BL57" s="79">
        <f>_xll.VAData($AZ57,BL$2,$BA57,$BB57)</f>
        <v>-1.9</v>
      </c>
      <c r="BM57" s="79">
        <f>_xll.VAData($AZ57,BM$2,$BA57,$BB57)</f>
        <v>1.8</v>
      </c>
      <c r="BN57" s="79">
        <f>_xll.VAData($AZ57,BN$2,$BA57,$BB57)</f>
        <v>2.6</v>
      </c>
      <c r="BO57" s="79">
        <f>_xll.VAData($AZ57,BO$2,$BA57,$BB57)</f>
        <v>3.2</v>
      </c>
      <c r="BP57" s="79" t="str">
        <f>_xll.VAData($AZ57,BP$2,$BA57,$BB57)</f>
        <v>-</v>
      </c>
      <c r="BQ57" s="79" t="str">
        <f>_xll.VAData($AZ57,BQ$2,$BA57,$BB57)</f>
        <v>-</v>
      </c>
      <c r="BR57" s="79" t="str">
        <f>_xll.VAData($AZ57,BR$2,$BA57,$BB57)</f>
        <v>-</v>
      </c>
      <c r="BS57" s="79" t="str">
        <f>_xll.VAData($AZ57,BS$2,$BA57,$BB57)</f>
        <v>-</v>
      </c>
      <c r="BT57" s="79" t="str">
        <f>_xll.VAData($AZ57,BT$2,$BA57,$BB57)</f>
        <v>-</v>
      </c>
      <c r="BU57" s="79" t="str">
        <f>_xll.VAData($AZ57,BU$2,$BA57,$BB57)</f>
        <v>-</v>
      </c>
      <c r="BV57" s="79" t="str">
        <f>_xll.VAData($AZ57,BV$2,$BA57,$BB57)</f>
        <v>-</v>
      </c>
      <c r="BW57" s="79" t="str">
        <f>_xll.VAData($AZ57,BW$2,$BA57,$BB57)</f>
        <v>-</v>
      </c>
      <c r="BX57" s="79" t="str">
        <f>_xll.VAData($AZ57,BX$2,$BA57,$BB57)</f>
        <v>-</v>
      </c>
      <c r="BY57" s="79" t="str">
        <f>_xll.VAData($AZ57,BY$2,$BA57,$BB57)</f>
        <v>-</v>
      </c>
    </row>
    <row r="58" spans="2:77">
      <c r="B58" s="74"/>
      <c r="C58" s="72" t="s">
        <v>72</v>
      </c>
      <c r="D58" s="225" t="s">
        <v>1343</v>
      </c>
      <c r="E58" s="226" t="e">
        <f>HY!#REF!</f>
        <v>#REF!</v>
      </c>
      <c r="F58" s="226" t="e">
        <f>HY!#REF!</f>
        <v>#REF!</v>
      </c>
      <c r="G58" s="226" t="e">
        <f>HY!#REF!</f>
        <v>#REF!</v>
      </c>
      <c r="H58" s="226" t="e">
        <f>HY!#REF!</f>
        <v>#REF!</v>
      </c>
      <c r="I58" s="226" t="e">
        <f>HY!#REF!</f>
        <v>#REF!</v>
      </c>
      <c r="J58" s="226" t="e">
        <f>HY!#REF!</f>
        <v>#REF!</v>
      </c>
      <c r="K58" s="226" t="e">
        <f>HY!#REF!</f>
        <v>#REF!</v>
      </c>
      <c r="L58" s="226" t="e">
        <f>HY!#REF!</f>
        <v>#REF!</v>
      </c>
      <c r="M58" s="226" t="e">
        <f>HY!#REF!</f>
        <v>#REF!</v>
      </c>
      <c r="N58" s="226" t="e">
        <f>HY!#REF!</f>
        <v>#REF!</v>
      </c>
      <c r="O58" s="226" t="e">
        <f>HY!#REF!</f>
        <v>#REF!</v>
      </c>
      <c r="P58" s="226" t="e">
        <f>HY!#REF!</f>
        <v>#REF!</v>
      </c>
      <c r="Q58" s="226" t="e">
        <f>HY!#REF!</f>
        <v>#REF!</v>
      </c>
      <c r="R58" s="226" t="e">
        <f>HY!#REF!</f>
        <v>#REF!</v>
      </c>
      <c r="S58" s="226" t="e">
        <f>HY!#REF!</f>
        <v>#REF!</v>
      </c>
      <c r="T58" s="226" t="e">
        <f>HY!#REF!</f>
        <v>#REF!</v>
      </c>
      <c r="U58" s="226" t="e">
        <f>HY!#REF!</f>
        <v>#REF!</v>
      </c>
      <c r="V58" s="226" t="e">
        <f>HY!#REF!</f>
        <v>#REF!</v>
      </c>
      <c r="W58" s="226" t="e">
        <f>HY!#REF!</f>
        <v>#REF!</v>
      </c>
      <c r="X58" s="226" t="e">
        <f>HY!#REF!</f>
        <v>#REF!</v>
      </c>
      <c r="Y58" s="226" t="e">
        <f>HY!#REF!</f>
        <v>#REF!</v>
      </c>
      <c r="Z58" s="226" t="e">
        <f>HY!#REF!</f>
        <v>#REF!</v>
      </c>
      <c r="AA58" s="72"/>
      <c r="AB58" s="76"/>
      <c r="AC58" s="221"/>
      <c r="AD58" s="221"/>
      <c r="AE58" s="221"/>
      <c r="AF58" s="221"/>
      <c r="AG58" s="221"/>
      <c r="AH58" s="221"/>
      <c r="AI58" s="221"/>
      <c r="AJ58" s="221"/>
      <c r="AK58" s="221"/>
      <c r="AL58" s="221"/>
      <c r="AM58" s="221"/>
      <c r="AN58" s="221"/>
      <c r="AO58" s="221"/>
      <c r="AP58" s="221"/>
      <c r="AQ58" s="221"/>
      <c r="AR58" s="221"/>
      <c r="AS58" s="221"/>
      <c r="AT58" s="221"/>
      <c r="AU58" s="221"/>
      <c r="AV58" s="221"/>
      <c r="AW58" s="221"/>
      <c r="AX58" s="221"/>
      <c r="AY58" s="76"/>
      <c r="AZ58" s="77"/>
      <c r="BA58" s="77"/>
      <c r="BB58" s="78"/>
      <c r="BC58" s="76"/>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row>
    <row r="59" spans="2:77">
      <c r="B59" s="74"/>
      <c r="C59" s="81" t="s">
        <v>88</v>
      </c>
      <c r="D59" s="72" t="s">
        <v>1344</v>
      </c>
      <c r="E59" s="227" t="str">
        <f t="shared" ref="E59:Z59" si="28">IFERROR(ROUND(E57/E58-1,3),"")</f>
        <v/>
      </c>
      <c r="F59" s="227" t="str">
        <f t="shared" si="28"/>
        <v/>
      </c>
      <c r="G59" s="227" t="str">
        <f t="shared" si="28"/>
        <v/>
      </c>
      <c r="H59" s="227" t="str">
        <f t="shared" si="28"/>
        <v/>
      </c>
      <c r="I59" s="227" t="str">
        <f t="shared" si="28"/>
        <v/>
      </c>
      <c r="J59" s="227" t="str">
        <f t="shared" si="28"/>
        <v/>
      </c>
      <c r="K59" s="227" t="str">
        <f t="shared" si="28"/>
        <v/>
      </c>
      <c r="L59" s="227" t="str">
        <f t="shared" si="28"/>
        <v/>
      </c>
      <c r="M59" s="227" t="str">
        <f t="shared" si="28"/>
        <v/>
      </c>
      <c r="N59" s="227" t="str">
        <f t="shared" si="28"/>
        <v/>
      </c>
      <c r="O59" s="227" t="str">
        <f t="shared" si="28"/>
        <v/>
      </c>
      <c r="P59" s="227" t="str">
        <f t="shared" si="28"/>
        <v/>
      </c>
      <c r="Q59" s="227" t="str">
        <f t="shared" si="28"/>
        <v/>
      </c>
      <c r="R59" s="227" t="str">
        <f t="shared" si="28"/>
        <v/>
      </c>
      <c r="S59" s="227" t="str">
        <f t="shared" si="28"/>
        <v/>
      </c>
      <c r="T59" s="227" t="str">
        <f t="shared" si="28"/>
        <v/>
      </c>
      <c r="U59" s="227" t="str">
        <f t="shared" si="28"/>
        <v/>
      </c>
      <c r="V59" s="227" t="str">
        <f t="shared" si="28"/>
        <v/>
      </c>
      <c r="W59" s="227" t="str">
        <f t="shared" si="28"/>
        <v/>
      </c>
      <c r="X59" s="227" t="str">
        <f t="shared" si="28"/>
        <v/>
      </c>
      <c r="Y59" s="227" t="str">
        <f t="shared" si="28"/>
        <v/>
      </c>
      <c r="Z59" s="227" t="str">
        <f t="shared" si="28"/>
        <v/>
      </c>
      <c r="AA59" s="72"/>
      <c r="AB59" s="76"/>
      <c r="AC59" s="221"/>
      <c r="AD59" s="221"/>
      <c r="AE59" s="221"/>
      <c r="AF59" s="221"/>
      <c r="AG59" s="221"/>
      <c r="AH59" s="221"/>
      <c r="AI59" s="221"/>
      <c r="AJ59" s="221"/>
      <c r="AK59" s="221"/>
      <c r="AL59" s="221"/>
      <c r="AM59" s="221"/>
      <c r="AN59" s="221"/>
      <c r="AO59" s="221"/>
      <c r="AP59" s="221"/>
      <c r="AQ59" s="221"/>
      <c r="AR59" s="221"/>
      <c r="AS59" s="221"/>
      <c r="AT59" s="221"/>
      <c r="AU59" s="221"/>
      <c r="AV59" s="221"/>
      <c r="AW59" s="221"/>
      <c r="AX59" s="221"/>
      <c r="AY59" s="76"/>
      <c r="AZ59" s="77"/>
      <c r="BA59" s="77"/>
      <c r="BB59" s="78"/>
      <c r="BC59" s="76"/>
      <c r="BD59" s="221"/>
      <c r="BE59" s="221"/>
      <c r="BF59" s="221"/>
      <c r="BG59" s="221"/>
      <c r="BH59" s="221"/>
      <c r="BI59" s="221"/>
      <c r="BJ59" s="221"/>
      <c r="BK59" s="221"/>
      <c r="BL59" s="221"/>
      <c r="BM59" s="221"/>
      <c r="BN59" s="221"/>
      <c r="BO59" s="221"/>
      <c r="BP59" s="221"/>
      <c r="BQ59" s="221"/>
      <c r="BR59" s="221"/>
      <c r="BS59" s="221"/>
      <c r="BT59" s="221"/>
      <c r="BU59" s="221"/>
      <c r="BV59" s="221"/>
      <c r="BW59" s="221"/>
      <c r="BX59" s="221"/>
      <c r="BY59" s="221"/>
    </row>
    <row r="60" spans="2:77">
      <c r="B60" s="74"/>
      <c r="C60" s="72"/>
      <c r="D60" s="72"/>
      <c r="E60" s="75"/>
      <c r="F60" s="75"/>
      <c r="G60" s="75"/>
      <c r="H60" s="75"/>
      <c r="I60" s="75"/>
      <c r="J60" s="75"/>
      <c r="K60" s="75"/>
      <c r="L60" s="75"/>
      <c r="M60" s="75"/>
      <c r="N60" s="75"/>
      <c r="O60" s="75"/>
      <c r="P60" s="75"/>
      <c r="Q60" s="75"/>
      <c r="R60" s="75"/>
      <c r="S60" s="75"/>
      <c r="T60" s="75"/>
      <c r="U60" s="75"/>
      <c r="V60" s="75"/>
      <c r="W60" s="75"/>
      <c r="X60" s="75"/>
      <c r="Y60" s="75"/>
      <c r="Z60" s="75"/>
      <c r="AA60" s="72"/>
      <c r="AB60" s="76"/>
      <c r="AC60" s="221"/>
      <c r="AD60" s="221"/>
      <c r="AE60" s="221"/>
      <c r="AF60" s="221"/>
      <c r="AG60" s="221"/>
      <c r="AH60" s="221"/>
      <c r="AI60" s="221"/>
      <c r="AJ60" s="221"/>
      <c r="AK60" s="221"/>
      <c r="AL60" s="221"/>
      <c r="AM60" s="221"/>
      <c r="AN60" s="221"/>
      <c r="AO60" s="221"/>
      <c r="AP60" s="221"/>
      <c r="AQ60" s="221"/>
      <c r="AR60" s="221"/>
      <c r="AS60" s="221"/>
      <c r="AT60" s="221"/>
      <c r="AU60" s="221"/>
      <c r="AV60" s="221"/>
      <c r="AW60" s="221"/>
      <c r="AX60" s="221"/>
      <c r="AY60" s="76"/>
      <c r="AZ60" s="77"/>
      <c r="BA60" s="77"/>
      <c r="BB60" s="78"/>
      <c r="BC60" s="76"/>
      <c r="BD60" s="221"/>
      <c r="BE60" s="221"/>
      <c r="BF60" s="221"/>
      <c r="BG60" s="221"/>
      <c r="BH60" s="221"/>
      <c r="BI60" s="221"/>
      <c r="BJ60" s="221"/>
      <c r="BK60" s="221"/>
      <c r="BL60" s="221"/>
      <c r="BM60" s="221"/>
      <c r="BN60" s="221"/>
      <c r="BO60" s="221"/>
      <c r="BP60" s="221"/>
      <c r="BQ60" s="221"/>
      <c r="BR60" s="221"/>
      <c r="BS60" s="221"/>
      <c r="BT60" s="221"/>
      <c r="BU60" s="221"/>
      <c r="BV60" s="221"/>
      <c r="BW60" s="221"/>
      <c r="BX60" s="221"/>
      <c r="BY60" s="221"/>
    </row>
    <row r="61" spans="2:77">
      <c r="B61" s="74" t="str">
        <f>BA61</f>
        <v>EBITDA - Online &amp; e-sports</v>
      </c>
      <c r="C61" s="72" t="s">
        <v>72</v>
      </c>
      <c r="D61" s="224" t="s">
        <v>1342</v>
      </c>
      <c r="E61" s="223" t="str">
        <f t="shared" ref="E61:Z61" si="29">AC61</f>
        <v>-</v>
      </c>
      <c r="F61" s="223" t="str">
        <f t="shared" si="29"/>
        <v>-</v>
      </c>
      <c r="G61" s="223" t="str">
        <f t="shared" si="29"/>
        <v>-</v>
      </c>
      <c r="H61" s="223" t="str">
        <f t="shared" si="29"/>
        <v>-</v>
      </c>
      <c r="I61" s="223">
        <f t="shared" si="29"/>
        <v>-0.95</v>
      </c>
      <c r="J61" s="223">
        <f t="shared" si="29"/>
        <v>2.3250000000000002</v>
      </c>
      <c r="K61" s="223">
        <f t="shared" si="29"/>
        <v>5.1749999999999998</v>
      </c>
      <c r="L61" s="223">
        <f t="shared" si="29"/>
        <v>3.25</v>
      </c>
      <c r="M61" s="223">
        <f t="shared" si="29"/>
        <v>7</v>
      </c>
      <c r="N61" s="223">
        <f t="shared" si="29"/>
        <v>5.9</v>
      </c>
      <c r="O61" s="223">
        <f t="shared" si="29"/>
        <v>5.6</v>
      </c>
      <c r="P61" s="223">
        <f t="shared" si="29"/>
        <v>5.0999999999999996</v>
      </c>
      <c r="Q61" s="223">
        <f t="shared" si="29"/>
        <v>4.2270007793708597</v>
      </c>
      <c r="R61" s="223">
        <f t="shared" si="29"/>
        <v>4.5668495460029872</v>
      </c>
      <c r="S61" s="223">
        <f t="shared" si="29"/>
        <v>5.1800898698449434</v>
      </c>
      <c r="T61" s="223">
        <f t="shared" si="29"/>
        <v>4.9614787755505034</v>
      </c>
      <c r="U61" s="223">
        <f t="shared" si="29"/>
        <v>5.8623215774628434</v>
      </c>
      <c r="V61" s="223">
        <f t="shared" si="29"/>
        <v>5.6187751753728898</v>
      </c>
      <c r="W61" s="223">
        <f t="shared" si="29"/>
        <v>6.1067386747138297</v>
      </c>
      <c r="X61" s="223">
        <f t="shared" si="29"/>
        <v>5.8598188785770766</v>
      </c>
      <c r="Y61" s="223">
        <f t="shared" si="29"/>
        <v>6.6008880837695303</v>
      </c>
      <c r="Z61" s="223">
        <f t="shared" si="29"/>
        <v>6.3390613314274367</v>
      </c>
      <c r="AA61" s="72"/>
      <c r="AB61" s="76"/>
      <c r="AC61" s="222" t="s">
        <v>967</v>
      </c>
      <c r="AD61" s="222" t="s">
        <v>967</v>
      </c>
      <c r="AE61" s="222" t="s">
        <v>967</v>
      </c>
      <c r="AF61" s="222" t="s">
        <v>967</v>
      </c>
      <c r="AG61" s="222">
        <v>-0.95</v>
      </c>
      <c r="AH61" s="222">
        <v>2.3250000000000002</v>
      </c>
      <c r="AI61" s="222">
        <v>5.1749999999999998</v>
      </c>
      <c r="AJ61" s="222">
        <v>3.25</v>
      </c>
      <c r="AK61" s="222">
        <v>7</v>
      </c>
      <c r="AL61" s="222">
        <v>5.9</v>
      </c>
      <c r="AM61" s="222">
        <v>5.6</v>
      </c>
      <c r="AN61" s="222">
        <v>5.0999999999999996</v>
      </c>
      <c r="AO61" s="222">
        <v>4.2270007793708597</v>
      </c>
      <c r="AP61" s="222">
        <v>4.5668495460029872</v>
      </c>
      <c r="AQ61" s="222">
        <v>5.1800898698449434</v>
      </c>
      <c r="AR61" s="222">
        <v>4.9614787755505034</v>
      </c>
      <c r="AS61" s="222">
        <v>5.8623215774628434</v>
      </c>
      <c r="AT61" s="222">
        <v>5.6187751753728898</v>
      </c>
      <c r="AU61" s="222">
        <v>6.1067386747138297</v>
      </c>
      <c r="AV61" s="222">
        <v>5.8598188785770766</v>
      </c>
      <c r="AW61" s="222">
        <v>6.6008880837695303</v>
      </c>
      <c r="AX61" s="222">
        <v>6.3390613314274367</v>
      </c>
      <c r="AY61" s="76"/>
      <c r="AZ61" s="77" t="s">
        <v>1259</v>
      </c>
      <c r="BA61" s="77" t="s">
        <v>1288</v>
      </c>
      <c r="BB61" s="78" t="s">
        <v>1261</v>
      </c>
      <c r="BC61" s="76"/>
      <c r="BD61" s="79" t="str">
        <f>_xll.VAData($AZ61,BD$2,$BA61,$BB61)</f>
        <v>-</v>
      </c>
      <c r="BE61" s="79" t="str">
        <f>_xll.VAData($AZ61,BE$2,$BA61,$BB61)</f>
        <v>-</v>
      </c>
      <c r="BF61" s="79" t="str">
        <f>_xll.VAData($AZ61,BF$2,$BA61,$BB61)</f>
        <v>-</v>
      </c>
      <c r="BG61" s="79" t="str">
        <f>_xll.VAData($AZ61,BG$2,$BA61,$BB61)</f>
        <v>-</v>
      </c>
      <c r="BH61" s="79">
        <f>_xll.VAData($AZ61,BH$2,$BA61,$BB61)</f>
        <v>-0.9</v>
      </c>
      <c r="BI61" s="79">
        <f>_xll.VAData($AZ61,BI$2,$BA61,$BB61)</f>
        <v>2.0499999999999998</v>
      </c>
      <c r="BJ61" s="79">
        <f>_xll.VAData($AZ61,BJ$2,$BA61,$BB61)</f>
        <v>5.3250000000000002</v>
      </c>
      <c r="BK61" s="79">
        <f>_xll.VAData($AZ61,BK$2,$BA61,$BB61)</f>
        <v>3.3250000000000002</v>
      </c>
      <c r="BL61" s="79">
        <f>_xll.VAData($AZ61,BL$2,$BA61,$BB61)</f>
        <v>7</v>
      </c>
      <c r="BM61" s="79">
        <f>_xll.VAData($AZ61,BM$2,$BA61,$BB61)</f>
        <v>5.9</v>
      </c>
      <c r="BN61" s="79">
        <f>_xll.VAData($AZ61,BN$2,$BA61,$BB61)</f>
        <v>5.6</v>
      </c>
      <c r="BO61" s="79">
        <f>_xll.VAData($AZ61,BO$2,$BA61,$BB61)</f>
        <v>5.0999999999999996</v>
      </c>
      <c r="BP61" s="79">
        <f>_xll.VAData($AZ61,BP$2,$BA61,$BB61)</f>
        <v>3</v>
      </c>
      <c r="BQ61" s="79">
        <f>_xll.VAData($AZ61,BQ$2,$BA61,$BB61)</f>
        <v>0.6</v>
      </c>
      <c r="BR61" s="79">
        <f>_xll.VAData($AZ61,BR$2,$BA61,$BB61)</f>
        <v>-1.1000000000000001</v>
      </c>
      <c r="BS61" s="79">
        <f>_xll.VAData($AZ61,BS$2,$BA61,$BB61)</f>
        <v>-0.7</v>
      </c>
      <c r="BT61" s="79">
        <f>_xll.VAData($AZ61,BT$2,$BA61,$BB61)</f>
        <v>-2.1</v>
      </c>
      <c r="BU61" s="79">
        <f>_xll.VAData($AZ61,BU$2,$BA61,$BB61)</f>
        <v>-4.3</v>
      </c>
      <c r="BV61" s="79">
        <f>_xll.VAData($AZ61,BV$2,$BA61,$BB61)</f>
        <v>-4.9010687921098599</v>
      </c>
      <c r="BW61" s="79">
        <f>_xll.VAData($AZ61,BW$2,$BA61,$BB61)</f>
        <v>-5.5575639272867861</v>
      </c>
      <c r="BX61" s="79">
        <f>_xll.VAData($AZ61,BX$2,$BA61,$BB61)</f>
        <v>-0.3109298769731425</v>
      </c>
      <c r="BY61" s="79">
        <f>_xll.VAData($AZ61,BY$2,$BA61,$BB61)</f>
        <v>2.4973967276394031</v>
      </c>
    </row>
    <row r="62" spans="2:77">
      <c r="B62" s="228" t="s">
        <v>1352</v>
      </c>
      <c r="C62" s="72" t="s">
        <v>72</v>
      </c>
      <c r="D62" s="225" t="s">
        <v>1343</v>
      </c>
      <c r="E62" s="226" t="e">
        <f>HY!#REF!</f>
        <v>#REF!</v>
      </c>
      <c r="F62" s="226" t="e">
        <f>HY!#REF!</f>
        <v>#REF!</v>
      </c>
      <c r="G62" s="226" t="e">
        <f>HY!#REF!</f>
        <v>#REF!</v>
      </c>
      <c r="H62" s="226" t="e">
        <f>HY!#REF!</f>
        <v>#REF!</v>
      </c>
      <c r="I62" s="226" t="e">
        <f>HY!#REF!</f>
        <v>#REF!</v>
      </c>
      <c r="J62" s="226" t="e">
        <f>HY!#REF!</f>
        <v>#REF!</v>
      </c>
      <c r="K62" s="226" t="e">
        <f>HY!#REF!</f>
        <v>#REF!</v>
      </c>
      <c r="L62" s="226" t="e">
        <f>HY!#REF!</f>
        <v>#REF!</v>
      </c>
      <c r="M62" s="226" t="e">
        <f>HY!#REF!</f>
        <v>#REF!</v>
      </c>
      <c r="N62" s="226" t="e">
        <f>HY!#REF!</f>
        <v>#REF!</v>
      </c>
      <c r="O62" s="226" t="e">
        <f>HY!#REF!</f>
        <v>#REF!</v>
      </c>
      <c r="P62" s="226" t="e">
        <f>HY!#REF!</f>
        <v>#REF!</v>
      </c>
      <c r="Q62" s="226" t="e">
        <f>HY!#REF!</f>
        <v>#REF!</v>
      </c>
      <c r="R62" s="226" t="e">
        <f>HY!#REF!</f>
        <v>#REF!</v>
      </c>
      <c r="S62" s="226" t="e">
        <f>HY!#REF!</f>
        <v>#REF!</v>
      </c>
      <c r="T62" s="226" t="e">
        <f>HY!#REF!</f>
        <v>#REF!</v>
      </c>
      <c r="U62" s="226" t="e">
        <f>HY!#REF!</f>
        <v>#REF!</v>
      </c>
      <c r="V62" s="226" t="e">
        <f>HY!#REF!</f>
        <v>#REF!</v>
      </c>
      <c r="W62" s="226" t="e">
        <f>HY!#REF!</f>
        <v>#REF!</v>
      </c>
      <c r="X62" s="226" t="e">
        <f>HY!#REF!</f>
        <v>#REF!</v>
      </c>
      <c r="Y62" s="226" t="e">
        <f>HY!#REF!</f>
        <v>#REF!</v>
      </c>
      <c r="Z62" s="226" t="e">
        <f>HY!#REF!</f>
        <v>#REF!</v>
      </c>
      <c r="AA62" s="72"/>
      <c r="AB62" s="76"/>
      <c r="AC62" s="221"/>
      <c r="AD62" s="221"/>
      <c r="AE62" s="221"/>
      <c r="AF62" s="221"/>
      <c r="AG62" s="221"/>
      <c r="AH62" s="221"/>
      <c r="AI62" s="221"/>
      <c r="AJ62" s="221"/>
      <c r="AK62" s="221"/>
      <c r="AL62" s="221"/>
      <c r="AM62" s="221"/>
      <c r="AN62" s="221"/>
      <c r="AO62" s="221"/>
      <c r="AP62" s="221"/>
      <c r="AQ62" s="221"/>
      <c r="AR62" s="221"/>
      <c r="AS62" s="221"/>
      <c r="AT62" s="221"/>
      <c r="AU62" s="221"/>
      <c r="AV62" s="221"/>
      <c r="AW62" s="221"/>
      <c r="AX62" s="221"/>
      <c r="AY62" s="76"/>
      <c r="AZ62" s="77"/>
      <c r="BA62" s="77"/>
      <c r="BB62" s="78"/>
      <c r="BC62" s="76"/>
      <c r="BD62" s="221"/>
      <c r="BE62" s="221"/>
      <c r="BF62" s="221"/>
      <c r="BG62" s="221"/>
      <c r="BH62" s="221"/>
      <c r="BI62" s="221"/>
      <c r="BJ62" s="221"/>
      <c r="BK62" s="221"/>
      <c r="BL62" s="221"/>
      <c r="BM62" s="221"/>
      <c r="BN62" s="221"/>
      <c r="BO62" s="221"/>
      <c r="BP62" s="221"/>
      <c r="BQ62" s="221"/>
      <c r="BR62" s="221"/>
      <c r="BS62" s="221"/>
      <c r="BT62" s="221"/>
      <c r="BU62" s="221"/>
      <c r="BV62" s="221"/>
      <c r="BW62" s="221"/>
      <c r="BX62" s="221"/>
      <c r="BY62" s="221"/>
    </row>
    <row r="63" spans="2:77">
      <c r="B63" s="74"/>
      <c r="C63" s="81" t="s">
        <v>88</v>
      </c>
      <c r="D63" s="72" t="s">
        <v>1344</v>
      </c>
      <c r="E63" s="227" t="str">
        <f t="shared" ref="E63:Z63" si="30">IFERROR(ROUND(E61/E62-1,3),"")</f>
        <v/>
      </c>
      <c r="F63" s="227" t="str">
        <f t="shared" si="30"/>
        <v/>
      </c>
      <c r="G63" s="227" t="str">
        <f t="shared" si="30"/>
        <v/>
      </c>
      <c r="H63" s="227" t="str">
        <f t="shared" si="30"/>
        <v/>
      </c>
      <c r="I63" s="227" t="str">
        <f t="shared" si="30"/>
        <v/>
      </c>
      <c r="J63" s="227" t="str">
        <f t="shared" si="30"/>
        <v/>
      </c>
      <c r="K63" s="227" t="str">
        <f t="shared" si="30"/>
        <v/>
      </c>
      <c r="L63" s="227" t="str">
        <f t="shared" si="30"/>
        <v/>
      </c>
      <c r="M63" s="227" t="str">
        <f t="shared" si="30"/>
        <v/>
      </c>
      <c r="N63" s="227" t="str">
        <f t="shared" si="30"/>
        <v/>
      </c>
      <c r="O63" s="227" t="str">
        <f t="shared" si="30"/>
        <v/>
      </c>
      <c r="P63" s="227" t="str">
        <f t="shared" si="30"/>
        <v/>
      </c>
      <c r="Q63" s="227" t="str">
        <f t="shared" si="30"/>
        <v/>
      </c>
      <c r="R63" s="227" t="str">
        <f t="shared" si="30"/>
        <v/>
      </c>
      <c r="S63" s="227" t="str">
        <f t="shared" si="30"/>
        <v/>
      </c>
      <c r="T63" s="227" t="str">
        <f t="shared" si="30"/>
        <v/>
      </c>
      <c r="U63" s="227" t="str">
        <f t="shared" si="30"/>
        <v/>
      </c>
      <c r="V63" s="227" t="str">
        <f t="shared" si="30"/>
        <v/>
      </c>
      <c r="W63" s="227" t="str">
        <f t="shared" si="30"/>
        <v/>
      </c>
      <c r="X63" s="227" t="str">
        <f t="shared" si="30"/>
        <v/>
      </c>
      <c r="Y63" s="227" t="str">
        <f t="shared" si="30"/>
        <v/>
      </c>
      <c r="Z63" s="227" t="str">
        <f t="shared" si="30"/>
        <v/>
      </c>
      <c r="AA63" s="72"/>
      <c r="AB63" s="76"/>
      <c r="AC63" s="221"/>
      <c r="AD63" s="221"/>
      <c r="AE63" s="221"/>
      <c r="AF63" s="221"/>
      <c r="AG63" s="221"/>
      <c r="AH63" s="221"/>
      <c r="AI63" s="221"/>
      <c r="AJ63" s="221"/>
      <c r="AK63" s="221"/>
      <c r="AL63" s="221"/>
      <c r="AM63" s="221"/>
      <c r="AN63" s="221"/>
      <c r="AO63" s="221"/>
      <c r="AP63" s="221"/>
      <c r="AQ63" s="221"/>
      <c r="AR63" s="221"/>
      <c r="AS63" s="221"/>
      <c r="AT63" s="221"/>
      <c r="AU63" s="221"/>
      <c r="AV63" s="221"/>
      <c r="AW63" s="221"/>
      <c r="AX63" s="221"/>
      <c r="AY63" s="76"/>
      <c r="AZ63" s="77"/>
      <c r="BA63" s="77"/>
      <c r="BB63" s="78"/>
      <c r="BC63" s="76"/>
      <c r="BD63" s="221"/>
      <c r="BE63" s="221"/>
      <c r="BF63" s="221"/>
      <c r="BG63" s="221"/>
      <c r="BH63" s="221"/>
      <c r="BI63" s="221"/>
      <c r="BJ63" s="221"/>
      <c r="BK63" s="221"/>
      <c r="BL63" s="221"/>
      <c r="BM63" s="221"/>
      <c r="BN63" s="221"/>
      <c r="BO63" s="221"/>
      <c r="BP63" s="221"/>
      <c r="BQ63" s="221"/>
      <c r="BR63" s="221"/>
      <c r="BS63" s="221"/>
      <c r="BT63" s="221"/>
      <c r="BU63" s="221"/>
      <c r="BV63" s="221"/>
      <c r="BW63" s="221"/>
      <c r="BX63" s="221"/>
      <c r="BY63" s="221"/>
    </row>
    <row r="64" spans="2:77">
      <c r="B64" s="74"/>
      <c r="C64" s="72"/>
      <c r="D64" s="72"/>
      <c r="E64" s="75"/>
      <c r="F64" s="75"/>
      <c r="G64" s="75"/>
      <c r="H64" s="75"/>
      <c r="I64" s="75"/>
      <c r="J64" s="75"/>
      <c r="K64" s="75"/>
      <c r="L64" s="75"/>
      <c r="M64" s="75"/>
      <c r="N64" s="75"/>
      <c r="O64" s="75"/>
      <c r="P64" s="75"/>
      <c r="Q64" s="75"/>
      <c r="R64" s="75"/>
      <c r="S64" s="75"/>
      <c r="T64" s="75"/>
      <c r="U64" s="75"/>
      <c r="V64" s="75"/>
      <c r="W64" s="75"/>
      <c r="X64" s="75"/>
      <c r="Y64" s="75"/>
      <c r="Z64" s="75"/>
      <c r="AA64" s="72"/>
      <c r="AB64" s="76"/>
      <c r="AC64" s="221"/>
      <c r="AD64" s="221"/>
      <c r="AE64" s="221"/>
      <c r="AF64" s="221"/>
      <c r="AG64" s="221"/>
      <c r="AH64" s="221"/>
      <c r="AI64" s="221"/>
      <c r="AJ64" s="221"/>
      <c r="AK64" s="221"/>
      <c r="AL64" s="221"/>
      <c r="AM64" s="221"/>
      <c r="AN64" s="221"/>
      <c r="AO64" s="221"/>
      <c r="AP64" s="221"/>
      <c r="AQ64" s="221"/>
      <c r="AR64" s="221"/>
      <c r="AS64" s="221"/>
      <c r="AT64" s="221"/>
      <c r="AU64" s="221"/>
      <c r="AV64" s="221"/>
      <c r="AW64" s="221"/>
      <c r="AX64" s="221"/>
      <c r="AY64" s="76"/>
      <c r="AZ64" s="77"/>
      <c r="BA64" s="77"/>
      <c r="BB64" s="78"/>
      <c r="BC64" s="76"/>
      <c r="BD64" s="221"/>
      <c r="BE64" s="221"/>
      <c r="BF64" s="221"/>
      <c r="BG64" s="221"/>
      <c r="BH64" s="221"/>
      <c r="BI64" s="221"/>
      <c r="BJ64" s="221"/>
      <c r="BK64" s="221"/>
      <c r="BL64" s="221"/>
      <c r="BM64" s="221"/>
      <c r="BN64" s="221"/>
      <c r="BO64" s="221"/>
      <c r="BP64" s="221"/>
      <c r="BQ64" s="221"/>
      <c r="BR64" s="221"/>
      <c r="BS64" s="221"/>
      <c r="BT64" s="221"/>
      <c r="BU64" s="221"/>
      <c r="BV64" s="221"/>
      <c r="BW64" s="221"/>
      <c r="BX64" s="221"/>
      <c r="BY64" s="221"/>
    </row>
    <row r="65" spans="1:77">
      <c r="B65" s="74" t="str">
        <f>BA65</f>
        <v>EBITDA - Corporate costs</v>
      </c>
      <c r="C65" s="72" t="s">
        <v>72</v>
      </c>
      <c r="D65" s="224" t="s">
        <v>1342</v>
      </c>
      <c r="E65" s="223">
        <f t="shared" ref="E65:Z65" si="31">AC65</f>
        <v>-15.5</v>
      </c>
      <c r="F65" s="223">
        <f t="shared" si="31"/>
        <v>-18.5</v>
      </c>
      <c r="G65" s="223">
        <f t="shared" si="31"/>
        <v>-17.666666666666671</v>
      </c>
      <c r="H65" s="223">
        <f t="shared" si="31"/>
        <v>-18.43333333333333</v>
      </c>
      <c r="I65" s="223">
        <f t="shared" si="31"/>
        <v>-19.866666666666671</v>
      </c>
      <c r="J65" s="223">
        <f t="shared" si="31"/>
        <v>-18.649999999999999</v>
      </c>
      <c r="K65" s="223">
        <f t="shared" si="31"/>
        <v>-21.8</v>
      </c>
      <c r="L65" s="223">
        <f t="shared" si="31"/>
        <v>-18.100000000000001</v>
      </c>
      <c r="M65" s="223">
        <f t="shared" si="31"/>
        <v>-7.8</v>
      </c>
      <c r="N65" s="223">
        <f t="shared" si="31"/>
        <v>-17.100000000000001</v>
      </c>
      <c r="O65" s="223">
        <f t="shared" si="31"/>
        <v>-16.93369937093037</v>
      </c>
      <c r="P65" s="223">
        <f t="shared" si="31"/>
        <v>-17.150420901582329</v>
      </c>
      <c r="Q65" s="223">
        <f t="shared" si="31"/>
        <v>-18.437166611464772</v>
      </c>
      <c r="R65" s="223">
        <f t="shared" si="31"/>
        <v>-18.437166611464772</v>
      </c>
      <c r="S65" s="223">
        <f t="shared" si="31"/>
        <v>-19.315836054504349</v>
      </c>
      <c r="T65" s="223">
        <f t="shared" si="31"/>
        <v>-19.276928334683401</v>
      </c>
      <c r="U65" s="223">
        <f t="shared" si="31"/>
        <v>-19.8037134699027</v>
      </c>
      <c r="V65" s="223">
        <f t="shared" si="31"/>
        <v>-19.758951880697349</v>
      </c>
      <c r="W65" s="223">
        <f t="shared" si="31"/>
        <v>-20.29903719197625</v>
      </c>
      <c r="X65" s="223">
        <f t="shared" si="31"/>
        <v>-20.253252329909699</v>
      </c>
      <c r="Y65" s="223">
        <f t="shared" si="31"/>
        <v>-20.806981573634499</v>
      </c>
      <c r="Z65" s="223">
        <f t="shared" si="31"/>
        <v>-20.7601515077199</v>
      </c>
      <c r="AA65" s="72"/>
      <c r="AB65" s="76"/>
      <c r="AC65" s="222">
        <v>-15.5</v>
      </c>
      <c r="AD65" s="222">
        <v>-18.5</v>
      </c>
      <c r="AE65" s="222">
        <v>-17.666666666666671</v>
      </c>
      <c r="AF65" s="222">
        <v>-18.43333333333333</v>
      </c>
      <c r="AG65" s="222">
        <v>-19.866666666666671</v>
      </c>
      <c r="AH65" s="222">
        <v>-18.649999999999999</v>
      </c>
      <c r="AI65" s="222">
        <v>-21.8</v>
      </c>
      <c r="AJ65" s="222">
        <v>-18.100000000000001</v>
      </c>
      <c r="AK65" s="222">
        <v>-7.8</v>
      </c>
      <c r="AL65" s="222">
        <v>-17.100000000000001</v>
      </c>
      <c r="AM65" s="222">
        <v>-16.93369937093037</v>
      </c>
      <c r="AN65" s="222">
        <v>-17.150420901582329</v>
      </c>
      <c r="AO65" s="222">
        <v>-18.437166611464772</v>
      </c>
      <c r="AP65" s="222">
        <v>-18.437166611464772</v>
      </c>
      <c r="AQ65" s="222">
        <v>-19.315836054504349</v>
      </c>
      <c r="AR65" s="222">
        <v>-19.276928334683401</v>
      </c>
      <c r="AS65" s="222">
        <v>-19.8037134699027</v>
      </c>
      <c r="AT65" s="222">
        <v>-19.758951880697349</v>
      </c>
      <c r="AU65" s="222">
        <v>-20.29903719197625</v>
      </c>
      <c r="AV65" s="222">
        <v>-20.253252329909699</v>
      </c>
      <c r="AW65" s="222">
        <v>-20.806981573634499</v>
      </c>
      <c r="AX65" s="222">
        <v>-20.7601515077199</v>
      </c>
      <c r="AY65" s="76"/>
      <c r="AZ65" s="77" t="s">
        <v>1259</v>
      </c>
      <c r="BA65" s="77" t="s">
        <v>1289</v>
      </c>
      <c r="BB65" s="78" t="s">
        <v>1261</v>
      </c>
      <c r="BC65" s="76"/>
      <c r="BD65" s="79">
        <f>_xll.VAData($AZ65,BD$2,$BA65,$BB65)</f>
        <v>-15.680062356416149</v>
      </c>
      <c r="BE65" s="79">
        <f>_xll.VAData($AZ65,BE$2,$BA65,$BB65)</f>
        <v>-18.037781489656101</v>
      </c>
      <c r="BF65" s="79">
        <f>_xll.VAData($AZ65,BF$2,$BA65,$BB65)</f>
        <v>-20.472369416639751</v>
      </c>
      <c r="BG65" s="79">
        <f>_xll.VAData($AZ65,BG$2,$BA65,$BB65)</f>
        <v>-21.553676325002076</v>
      </c>
      <c r="BH65" s="79">
        <f>_xll.VAData($AZ65,BH$2,$BA65,$BB65)</f>
        <v>-20.615373350189376</v>
      </c>
      <c r="BI65" s="79">
        <f>_xll.VAData($AZ65,BI$2,$BA65,$BB65)</f>
        <v>-29.990094188170598</v>
      </c>
      <c r="BJ65" s="79">
        <f>_xll.VAData($AZ65,BJ$2,$BA65,$BB65)</f>
        <v>-21.805190265155275</v>
      </c>
      <c r="BK65" s="79">
        <f>_xll.VAData($AZ65,BK$2,$BA65,$BB65)</f>
        <v>-17.875907791597523</v>
      </c>
      <c r="BL65" s="79">
        <f>_xll.VAData($AZ65,BL$2,$BA65,$BB65)</f>
        <v>-7.6915933873114799</v>
      </c>
      <c r="BM65" s="79">
        <f>_xll.VAData($AZ65,BM$2,$BA65,$BB65)</f>
        <v>-17.5834061860572</v>
      </c>
      <c r="BN65" s="79">
        <f>_xll.VAData($AZ65,BN$2,$BA65,$BB65)</f>
        <v>-18.100000000000001</v>
      </c>
      <c r="BO65" s="79">
        <f>_xll.VAData($AZ65,BO$2,$BA65,$BB65)</f>
        <v>-17.816053163375649</v>
      </c>
      <c r="BP65" s="79">
        <f>_xll.VAData($AZ65,BP$2,$BA65,$BB65)</f>
        <v>-19.399999999999999</v>
      </c>
      <c r="BQ65" s="79">
        <f>_xll.VAData($AZ65,BQ$2,$BA65,$BB65)</f>
        <v>-17.899999999999999</v>
      </c>
      <c r="BR65" s="79">
        <f>_xll.VAData($AZ65,BR$2,$BA65,$BB65)</f>
        <v>-26.2</v>
      </c>
      <c r="BS65" s="79">
        <f>_xll.VAData($AZ65,BS$2,$BA65,$BB65)</f>
        <v>-12.7</v>
      </c>
      <c r="BT65" s="79">
        <f>_xll.VAData($AZ65,BT$2,$BA65,$BB65)</f>
        <v>-27.2</v>
      </c>
      <c r="BU65" s="79">
        <f>_xll.VAData($AZ65,BU$2,$BA65,$BB65)</f>
        <v>-18.8</v>
      </c>
      <c r="BV65" s="79">
        <f>_xll.VAData($AZ65,BV$2,$BA65,$BB65)</f>
        <v>-25.408884276076598</v>
      </c>
      <c r="BW65" s="79">
        <f>_xll.VAData($AZ65,BW$2,$BA65,$BB65)</f>
        <v>-19.514736880180966</v>
      </c>
      <c r="BX65" s="79">
        <f>_xll.VAData($AZ65,BX$2,$BA65,$BB65)</f>
        <v>-24.626678458548099</v>
      </c>
      <c r="BY65" s="79">
        <f>_xll.VAData($AZ65,BY$2,$BA65,$BB65)</f>
        <v>-20.120418063009701</v>
      </c>
    </row>
    <row r="66" spans="1:77">
      <c r="B66" s="74"/>
      <c r="C66" s="72" t="s">
        <v>72</v>
      </c>
      <c r="D66" s="225" t="s">
        <v>1343</v>
      </c>
      <c r="E66" s="226" t="e">
        <f>HY!#REF!</f>
        <v>#REF!</v>
      </c>
      <c r="F66" s="226" t="e">
        <f>HY!#REF!</f>
        <v>#REF!</v>
      </c>
      <c r="G66" s="226" t="e">
        <f>HY!#REF!</f>
        <v>#REF!</v>
      </c>
      <c r="H66" s="226" t="e">
        <f>HY!#REF!</f>
        <v>#REF!</v>
      </c>
      <c r="I66" s="226" t="e">
        <f>HY!#REF!</f>
        <v>#REF!</v>
      </c>
      <c r="J66" s="226" t="e">
        <f>HY!#REF!</f>
        <v>#REF!</v>
      </c>
      <c r="K66" s="226" t="e">
        <f>HY!#REF!</f>
        <v>#REF!</v>
      </c>
      <c r="L66" s="226" t="e">
        <f>HY!#REF!</f>
        <v>#REF!</v>
      </c>
      <c r="M66" s="226" t="e">
        <f>HY!#REF!</f>
        <v>#REF!</v>
      </c>
      <c r="N66" s="226" t="e">
        <f>HY!#REF!</f>
        <v>#REF!</v>
      </c>
      <c r="O66" s="226" t="e">
        <f>HY!#REF!</f>
        <v>#REF!</v>
      </c>
      <c r="P66" s="226" t="e">
        <f>HY!#REF!</f>
        <v>#REF!</v>
      </c>
      <c r="Q66" s="226" t="e">
        <f>HY!#REF!</f>
        <v>#REF!</v>
      </c>
      <c r="R66" s="226" t="e">
        <f>HY!#REF!</f>
        <v>#REF!</v>
      </c>
      <c r="S66" s="226" t="e">
        <f>HY!#REF!</f>
        <v>#REF!</v>
      </c>
      <c r="T66" s="226" t="e">
        <f>HY!#REF!</f>
        <v>#REF!</v>
      </c>
      <c r="U66" s="226" t="e">
        <f>HY!#REF!</f>
        <v>#REF!</v>
      </c>
      <c r="V66" s="226" t="e">
        <f>HY!#REF!</f>
        <v>#REF!</v>
      </c>
      <c r="W66" s="226" t="e">
        <f>HY!#REF!</f>
        <v>#REF!</v>
      </c>
      <c r="X66" s="226" t="e">
        <f>HY!#REF!</f>
        <v>#REF!</v>
      </c>
      <c r="Y66" s="226" t="e">
        <f>HY!#REF!</f>
        <v>#REF!</v>
      </c>
      <c r="Z66" s="226" t="e">
        <f>HY!#REF!</f>
        <v>#REF!</v>
      </c>
      <c r="AA66" s="72"/>
      <c r="AB66" s="76"/>
      <c r="AC66" s="221"/>
      <c r="AD66" s="221"/>
      <c r="AE66" s="221"/>
      <c r="AF66" s="221"/>
      <c r="AG66" s="221"/>
      <c r="AH66" s="221"/>
      <c r="AI66" s="221"/>
      <c r="AJ66" s="221"/>
      <c r="AK66" s="221"/>
      <c r="AL66" s="221"/>
      <c r="AM66" s="221"/>
      <c r="AN66" s="221"/>
      <c r="AO66" s="221"/>
      <c r="AP66" s="221"/>
      <c r="AQ66" s="221"/>
      <c r="AR66" s="221"/>
      <c r="AS66" s="221"/>
      <c r="AT66" s="221"/>
      <c r="AU66" s="221"/>
      <c r="AV66" s="221"/>
      <c r="AW66" s="221"/>
      <c r="AX66" s="221"/>
      <c r="AY66" s="76"/>
      <c r="AZ66" s="77"/>
      <c r="BA66" s="77"/>
      <c r="BB66" s="78"/>
      <c r="BC66" s="76"/>
      <c r="BD66" s="221"/>
      <c r="BE66" s="221"/>
      <c r="BF66" s="221"/>
      <c r="BG66" s="221"/>
      <c r="BH66" s="221"/>
      <c r="BI66" s="221"/>
      <c r="BJ66" s="221"/>
      <c r="BK66" s="221"/>
      <c r="BL66" s="221"/>
      <c r="BM66" s="221"/>
      <c r="BN66" s="221"/>
      <c r="BO66" s="221"/>
      <c r="BP66" s="221"/>
      <c r="BQ66" s="221"/>
      <c r="BR66" s="221"/>
      <c r="BS66" s="221"/>
      <c r="BT66" s="221"/>
      <c r="BU66" s="221"/>
      <c r="BV66" s="221"/>
      <c r="BW66" s="221"/>
      <c r="BX66" s="221"/>
      <c r="BY66" s="221"/>
    </row>
    <row r="67" spans="1:77">
      <c r="B67" s="74"/>
      <c r="C67" s="81" t="s">
        <v>88</v>
      </c>
      <c r="D67" s="72" t="s">
        <v>1344</v>
      </c>
      <c r="E67" s="227" t="str">
        <f t="shared" ref="E67:Z67" si="32">IFERROR(ROUND(E65/E66-1,3),"")</f>
        <v/>
      </c>
      <c r="F67" s="227" t="str">
        <f t="shared" si="32"/>
        <v/>
      </c>
      <c r="G67" s="227" t="str">
        <f t="shared" si="32"/>
        <v/>
      </c>
      <c r="H67" s="227" t="str">
        <f t="shared" si="32"/>
        <v/>
      </c>
      <c r="I67" s="227" t="str">
        <f t="shared" si="32"/>
        <v/>
      </c>
      <c r="J67" s="227" t="str">
        <f t="shared" si="32"/>
        <v/>
      </c>
      <c r="K67" s="227" t="str">
        <f t="shared" si="32"/>
        <v/>
      </c>
      <c r="L67" s="227" t="str">
        <f t="shared" si="32"/>
        <v/>
      </c>
      <c r="M67" s="227" t="str">
        <f t="shared" si="32"/>
        <v/>
      </c>
      <c r="N67" s="227" t="str">
        <f t="shared" si="32"/>
        <v/>
      </c>
      <c r="O67" s="227" t="str">
        <f t="shared" si="32"/>
        <v/>
      </c>
      <c r="P67" s="227" t="str">
        <f t="shared" si="32"/>
        <v/>
      </c>
      <c r="Q67" s="227" t="str">
        <f t="shared" si="32"/>
        <v/>
      </c>
      <c r="R67" s="227" t="str">
        <f t="shared" si="32"/>
        <v/>
      </c>
      <c r="S67" s="227" t="str">
        <f t="shared" si="32"/>
        <v/>
      </c>
      <c r="T67" s="227" t="str">
        <f t="shared" si="32"/>
        <v/>
      </c>
      <c r="U67" s="227" t="str">
        <f t="shared" si="32"/>
        <v/>
      </c>
      <c r="V67" s="227" t="str">
        <f t="shared" si="32"/>
        <v/>
      </c>
      <c r="W67" s="227" t="str">
        <f t="shared" si="32"/>
        <v/>
      </c>
      <c r="X67" s="227" t="str">
        <f t="shared" si="32"/>
        <v/>
      </c>
      <c r="Y67" s="227" t="str">
        <f t="shared" si="32"/>
        <v/>
      </c>
      <c r="Z67" s="227" t="str">
        <f t="shared" si="32"/>
        <v/>
      </c>
      <c r="AA67" s="72"/>
      <c r="AB67" s="76"/>
      <c r="AC67" s="221"/>
      <c r="AD67" s="221"/>
      <c r="AE67" s="221"/>
      <c r="AF67" s="221"/>
      <c r="AG67" s="221"/>
      <c r="AH67" s="221"/>
      <c r="AI67" s="221"/>
      <c r="AJ67" s="221"/>
      <c r="AK67" s="221"/>
      <c r="AL67" s="221"/>
      <c r="AM67" s="221"/>
      <c r="AN67" s="221"/>
      <c r="AO67" s="221"/>
      <c r="AP67" s="221"/>
      <c r="AQ67" s="221"/>
      <c r="AR67" s="221"/>
      <c r="AS67" s="221"/>
      <c r="AT67" s="221"/>
      <c r="AU67" s="221"/>
      <c r="AV67" s="221"/>
      <c r="AW67" s="221"/>
      <c r="AX67" s="221"/>
      <c r="AY67" s="76"/>
      <c r="AZ67" s="77"/>
      <c r="BA67" s="77"/>
      <c r="BB67" s="78"/>
      <c r="BC67" s="76"/>
      <c r="BD67" s="221"/>
      <c r="BE67" s="221"/>
      <c r="BF67" s="221"/>
      <c r="BG67" s="221"/>
      <c r="BH67" s="221"/>
      <c r="BI67" s="221"/>
      <c r="BJ67" s="221"/>
      <c r="BK67" s="221"/>
      <c r="BL67" s="221"/>
      <c r="BM67" s="221"/>
      <c r="BN67" s="221"/>
      <c r="BO67" s="221"/>
      <c r="BP67" s="221"/>
      <c r="BQ67" s="221"/>
      <c r="BR67" s="221"/>
      <c r="BS67" s="221"/>
      <c r="BT67" s="221"/>
      <c r="BU67" s="221"/>
      <c r="BV67" s="221"/>
      <c r="BW67" s="221"/>
      <c r="BX67" s="221"/>
      <c r="BY67" s="221"/>
    </row>
    <row r="68" spans="1:77">
      <c r="B68" s="74"/>
      <c r="C68" s="72"/>
      <c r="D68" s="72"/>
      <c r="E68" s="75"/>
      <c r="F68" s="75"/>
      <c r="G68" s="75"/>
      <c r="H68" s="75"/>
      <c r="I68" s="75"/>
      <c r="J68" s="75"/>
      <c r="K68" s="75"/>
      <c r="L68" s="75"/>
      <c r="M68" s="75"/>
      <c r="N68" s="75"/>
      <c r="O68" s="75"/>
      <c r="P68" s="75"/>
      <c r="Q68" s="75"/>
      <c r="R68" s="75"/>
      <c r="S68" s="75"/>
      <c r="T68" s="75"/>
      <c r="U68" s="75"/>
      <c r="V68" s="75"/>
      <c r="W68" s="75"/>
      <c r="X68" s="75"/>
      <c r="Y68" s="75"/>
      <c r="Z68" s="75"/>
      <c r="AA68" s="72"/>
      <c r="AB68" s="76"/>
      <c r="AC68" s="221"/>
      <c r="AD68" s="221"/>
      <c r="AE68" s="221"/>
      <c r="AF68" s="221"/>
      <c r="AG68" s="221"/>
      <c r="AH68" s="221"/>
      <c r="AI68" s="221"/>
      <c r="AJ68" s="221"/>
      <c r="AK68" s="221"/>
      <c r="AL68" s="221"/>
      <c r="AM68" s="221"/>
      <c r="AN68" s="221"/>
      <c r="AO68" s="221"/>
      <c r="AP68" s="221"/>
      <c r="AQ68" s="221"/>
      <c r="AR68" s="221"/>
      <c r="AS68" s="221"/>
      <c r="AT68" s="221"/>
      <c r="AU68" s="221"/>
      <c r="AV68" s="221"/>
      <c r="AW68" s="221"/>
      <c r="AX68" s="221"/>
      <c r="AY68" s="76"/>
      <c r="AZ68" s="77"/>
      <c r="BA68" s="77"/>
      <c r="BB68" s="78"/>
      <c r="BC68" s="76"/>
      <c r="BD68" s="221"/>
      <c r="BE68" s="221"/>
      <c r="BF68" s="221"/>
      <c r="BG68" s="221"/>
      <c r="BH68" s="221"/>
      <c r="BI68" s="221"/>
      <c r="BJ68" s="221"/>
      <c r="BK68" s="221"/>
      <c r="BL68" s="221"/>
      <c r="BM68" s="221"/>
      <c r="BN68" s="221"/>
      <c r="BO68" s="221"/>
      <c r="BP68" s="221"/>
      <c r="BQ68" s="221"/>
      <c r="BR68" s="221"/>
      <c r="BS68" s="221"/>
      <c r="BT68" s="221"/>
      <c r="BU68" s="221"/>
      <c r="BV68" s="221"/>
      <c r="BW68" s="221"/>
      <c r="BX68" s="221"/>
      <c r="BY68" s="221"/>
    </row>
    <row r="69" spans="1:77">
      <c r="B69" s="74" t="str">
        <f>BA69</f>
        <v>EBITDA - Operating</v>
      </c>
      <c r="C69" s="72" t="s">
        <v>72</v>
      </c>
      <c r="D69" s="224" t="s">
        <v>1342</v>
      </c>
      <c r="E69" s="223">
        <f t="shared" ref="E69:Z69" si="33">AC69</f>
        <v>172.19171274140601</v>
      </c>
      <c r="F69" s="223">
        <f t="shared" si="33"/>
        <v>166.97348725859399</v>
      </c>
      <c r="G69" s="223">
        <f t="shared" si="33"/>
        <v>171.7</v>
      </c>
      <c r="H69" s="223">
        <f t="shared" si="33"/>
        <v>150.5</v>
      </c>
      <c r="I69" s="223">
        <f t="shared" si="33"/>
        <v>153.30000000000001</v>
      </c>
      <c r="J69" s="223">
        <f t="shared" si="33"/>
        <v>47.399000000000001</v>
      </c>
      <c r="K69" s="223">
        <f t="shared" si="33"/>
        <v>117.8</v>
      </c>
      <c r="L69" s="223">
        <f t="shared" si="33"/>
        <v>130.80000000000001</v>
      </c>
      <c r="M69" s="223">
        <f t="shared" si="33"/>
        <v>36.200000000000003</v>
      </c>
      <c r="N69" s="223">
        <f t="shared" si="33"/>
        <v>101.7</v>
      </c>
      <c r="O69" s="223">
        <f t="shared" si="33"/>
        <v>162.4</v>
      </c>
      <c r="P69" s="223">
        <f t="shared" si="33"/>
        <v>147.9</v>
      </c>
      <c r="Q69" s="223">
        <f t="shared" si="33"/>
        <v>150.2900033260814</v>
      </c>
      <c r="R69" s="223">
        <f t="shared" si="33"/>
        <v>152.83680514007941</v>
      </c>
      <c r="S69" s="223">
        <f t="shared" si="33"/>
        <v>167.63176356325721</v>
      </c>
      <c r="T69" s="223">
        <f t="shared" si="33"/>
        <v>169.79839074686569</v>
      </c>
      <c r="U69" s="223">
        <f t="shared" si="33"/>
        <v>174.67918201926969</v>
      </c>
      <c r="V69" s="223">
        <f t="shared" si="33"/>
        <v>172.93447665530229</v>
      </c>
      <c r="W69" s="223">
        <f t="shared" si="33"/>
        <v>182.00887875376301</v>
      </c>
      <c r="X69" s="223">
        <f t="shared" si="33"/>
        <v>179.2149314274543</v>
      </c>
      <c r="Y69" s="223">
        <f t="shared" si="33"/>
        <v>188.19661386007371</v>
      </c>
      <c r="Z69" s="223">
        <f t="shared" si="33"/>
        <v>186.1414107570877</v>
      </c>
      <c r="AA69" s="72"/>
      <c r="AB69" s="76"/>
      <c r="AC69" s="222">
        <v>172.19171274140601</v>
      </c>
      <c r="AD69" s="222">
        <v>166.97348725859399</v>
      </c>
      <c r="AE69" s="222">
        <v>171.7</v>
      </c>
      <c r="AF69" s="222">
        <v>150.5</v>
      </c>
      <c r="AG69" s="222">
        <v>153.30000000000001</v>
      </c>
      <c r="AH69" s="222">
        <v>47.399000000000001</v>
      </c>
      <c r="AI69" s="222">
        <v>117.8</v>
      </c>
      <c r="AJ69" s="222">
        <v>130.80000000000001</v>
      </c>
      <c r="AK69" s="222">
        <v>36.200000000000003</v>
      </c>
      <c r="AL69" s="222">
        <v>101.7</v>
      </c>
      <c r="AM69" s="222">
        <v>162.4</v>
      </c>
      <c r="AN69" s="222">
        <v>147.9</v>
      </c>
      <c r="AO69" s="222">
        <v>150.2900033260814</v>
      </c>
      <c r="AP69" s="222">
        <v>152.83680514007941</v>
      </c>
      <c r="AQ69" s="222">
        <v>167.63176356325721</v>
      </c>
      <c r="AR69" s="222">
        <v>169.79839074686569</v>
      </c>
      <c r="AS69" s="222">
        <v>174.67918201926969</v>
      </c>
      <c r="AT69" s="222">
        <v>172.93447665530229</v>
      </c>
      <c r="AU69" s="222">
        <v>182.00887875376301</v>
      </c>
      <c r="AV69" s="222">
        <v>179.2149314274543</v>
      </c>
      <c r="AW69" s="222">
        <v>188.19661386007371</v>
      </c>
      <c r="AX69" s="222">
        <v>186.1414107570877</v>
      </c>
      <c r="AY69" s="76"/>
      <c r="AZ69" s="77" t="s">
        <v>1259</v>
      </c>
      <c r="BA69" s="77" t="s">
        <v>1262</v>
      </c>
      <c r="BB69" s="78" t="s">
        <v>1261</v>
      </c>
      <c r="BC69" s="76"/>
      <c r="BD69" s="79">
        <f>_xll.VAData($AZ69,BD$2,$BA69,$BB69)</f>
        <v>172.43964092675751</v>
      </c>
      <c r="BE69" s="79">
        <f>_xll.VAData($AZ69,BE$2,$BA69,$BB69)</f>
        <v>166.96685907324249</v>
      </c>
      <c r="BF69" s="79">
        <f>_xll.VAData($AZ69,BF$2,$BA69,$BB69)</f>
        <v>171.7</v>
      </c>
      <c r="BG69" s="79">
        <f>_xll.VAData($AZ69,BG$2,$BA69,$BB69)</f>
        <v>150.5</v>
      </c>
      <c r="BH69" s="79">
        <f>_xll.VAData($AZ69,BH$2,$BA69,$BB69)</f>
        <v>153.30000000000001</v>
      </c>
      <c r="BI69" s="79">
        <f>_xll.VAData($AZ69,BI$2,$BA69,$BB69)</f>
        <v>47.4</v>
      </c>
      <c r="BJ69" s="79">
        <f>_xll.VAData($AZ69,BJ$2,$BA69,$BB69)</f>
        <v>117.8</v>
      </c>
      <c r="BK69" s="79">
        <f>_xll.VAData($AZ69,BK$2,$BA69,$BB69)</f>
        <v>130.80000000000001</v>
      </c>
      <c r="BL69" s="79">
        <f>_xll.VAData($AZ69,BL$2,$BA69,$BB69)</f>
        <v>36.200000000000003</v>
      </c>
      <c r="BM69" s="79">
        <f>_xll.VAData($AZ69,BM$2,$BA69,$BB69)</f>
        <v>101.7</v>
      </c>
      <c r="BN69" s="79">
        <f>_xll.VAData($AZ69,BN$2,$BA69,$BB69)</f>
        <v>161.80000000000001</v>
      </c>
      <c r="BO69" s="79">
        <f>_xll.VAData($AZ69,BO$2,$BA69,$BB69)</f>
        <v>140</v>
      </c>
      <c r="BP69" s="79">
        <f>_xll.VAData($AZ69,BP$2,$BA69,$BB69)</f>
        <v>144.25346462505101</v>
      </c>
      <c r="BQ69" s="79">
        <f>_xll.VAData($AZ69,BQ$2,$BA69,$BB69)</f>
        <v>133.5</v>
      </c>
      <c r="BR69" s="79">
        <f>_xll.VAData($AZ69,BR$2,$BA69,$BB69)</f>
        <v>119.529</v>
      </c>
      <c r="BS69" s="79">
        <f>_xll.VAData($AZ69,BS$2,$BA69,$BB69)</f>
        <v>114.2</v>
      </c>
      <c r="BT69" s="79">
        <f>_xll.VAData($AZ69,BT$2,$BA69,$BB69)</f>
        <v>85.5</v>
      </c>
      <c r="BU69" s="79">
        <f>_xll.VAData($AZ69,BU$2,$BA69,$BB69)</f>
        <v>96.1</v>
      </c>
      <c r="BV69" s="79">
        <f>_xll.VAData($AZ69,BV$2,$BA69,$BB69)</f>
        <v>88.991616558548074</v>
      </c>
      <c r="BW69" s="79">
        <f>_xll.VAData($AZ69,BW$2,$BA69,$BB69)</f>
        <v>93.164145194990581</v>
      </c>
      <c r="BX69" s="79">
        <f>_xll.VAData($AZ69,BX$2,$BA69,$BB69)</f>
        <v>101.74954976223093</v>
      </c>
      <c r="BY69" s="79">
        <f>_xll.VAData($AZ69,BY$2,$BA69,$BB69)</f>
        <v>107.66073749423234</v>
      </c>
    </row>
    <row r="70" spans="1:77">
      <c r="B70" s="74"/>
      <c r="C70" s="72" t="s">
        <v>72</v>
      </c>
      <c r="D70" s="225" t="s">
        <v>1343</v>
      </c>
      <c r="E70" s="226" t="e">
        <f>HY!#REF!</f>
        <v>#REF!</v>
      </c>
      <c r="F70" s="226" t="e">
        <f>HY!#REF!</f>
        <v>#REF!</v>
      </c>
      <c r="G70" s="226" t="e">
        <f>HY!#REF!</f>
        <v>#REF!</v>
      </c>
      <c r="H70" s="226" t="e">
        <f>HY!#REF!</f>
        <v>#REF!</v>
      </c>
      <c r="I70" s="226" t="e">
        <f>HY!#REF!</f>
        <v>#REF!</v>
      </c>
      <c r="J70" s="226" t="e">
        <f>HY!#REF!</f>
        <v>#REF!</v>
      </c>
      <c r="K70" s="226" t="e">
        <f>HY!#REF!</f>
        <v>#REF!</v>
      </c>
      <c r="L70" s="226" t="e">
        <f>HY!#REF!</f>
        <v>#REF!</v>
      </c>
      <c r="M70" s="226" t="e">
        <f>HY!#REF!</f>
        <v>#REF!</v>
      </c>
      <c r="N70" s="226" t="e">
        <f>HY!#REF!</f>
        <v>#REF!</v>
      </c>
      <c r="O70" s="226" t="e">
        <f>HY!#REF!</f>
        <v>#REF!</v>
      </c>
      <c r="P70" s="226" t="e">
        <f>HY!#REF!</f>
        <v>#REF!</v>
      </c>
      <c r="Q70" s="226" t="e">
        <f>HY!#REF!</f>
        <v>#REF!</v>
      </c>
      <c r="R70" s="226" t="e">
        <f>HY!#REF!</f>
        <v>#REF!</v>
      </c>
      <c r="S70" s="226" t="e">
        <f>HY!#REF!</f>
        <v>#REF!</v>
      </c>
      <c r="T70" s="226" t="e">
        <f>HY!#REF!</f>
        <v>#REF!</v>
      </c>
      <c r="U70" s="226" t="e">
        <f>HY!#REF!</f>
        <v>#REF!</v>
      </c>
      <c r="V70" s="226" t="e">
        <f>HY!#REF!</f>
        <v>#REF!</v>
      </c>
      <c r="W70" s="226" t="e">
        <f>HY!#REF!</f>
        <v>#REF!</v>
      </c>
      <c r="X70" s="226" t="e">
        <f>HY!#REF!</f>
        <v>#REF!</v>
      </c>
      <c r="Y70" s="226" t="e">
        <f>HY!#REF!</f>
        <v>#REF!</v>
      </c>
      <c r="Z70" s="226" t="e">
        <f>HY!#REF!</f>
        <v>#REF!</v>
      </c>
      <c r="AA70" s="72"/>
      <c r="AB70" s="76"/>
      <c r="AC70" s="221"/>
      <c r="AD70" s="221"/>
      <c r="AE70" s="221"/>
      <c r="AF70" s="221"/>
      <c r="AG70" s="221"/>
      <c r="AH70" s="221"/>
      <c r="AI70" s="221"/>
      <c r="AJ70" s="221"/>
      <c r="AK70" s="221"/>
      <c r="AL70" s="221"/>
      <c r="AM70" s="221"/>
      <c r="AN70" s="221"/>
      <c r="AO70" s="221"/>
      <c r="AP70" s="221"/>
      <c r="AQ70" s="221"/>
      <c r="AR70" s="221"/>
      <c r="AS70" s="221"/>
      <c r="AT70" s="221"/>
      <c r="AU70" s="221"/>
      <c r="AV70" s="221"/>
      <c r="AW70" s="221"/>
      <c r="AX70" s="221"/>
      <c r="AY70" s="76"/>
      <c r="AZ70" s="77"/>
      <c r="BA70" s="77"/>
      <c r="BB70" s="78"/>
      <c r="BC70" s="76"/>
      <c r="BD70" s="221"/>
      <c r="BE70" s="221"/>
      <c r="BF70" s="221"/>
      <c r="BG70" s="221"/>
      <c r="BH70" s="221"/>
      <c r="BI70" s="221"/>
      <c r="BJ70" s="221"/>
      <c r="BK70" s="221"/>
      <c r="BL70" s="221"/>
      <c r="BM70" s="221"/>
      <c r="BN70" s="221"/>
      <c r="BO70" s="221"/>
      <c r="BP70" s="221"/>
      <c r="BQ70" s="221"/>
      <c r="BR70" s="221"/>
      <c r="BS70" s="221"/>
      <c r="BT70" s="221"/>
      <c r="BU70" s="221"/>
      <c r="BV70" s="221"/>
      <c r="BW70" s="221"/>
      <c r="BX70" s="221"/>
      <c r="BY70" s="221"/>
    </row>
    <row r="71" spans="1:77">
      <c r="B71" s="74"/>
      <c r="C71" s="81" t="s">
        <v>88</v>
      </c>
      <c r="D71" s="72" t="s">
        <v>1344</v>
      </c>
      <c r="E71" s="227" t="str">
        <f t="shared" ref="E71:Z71" si="34">IFERROR(ROUND(E69/E70-1,3),"")</f>
        <v/>
      </c>
      <c r="F71" s="227" t="str">
        <f t="shared" si="34"/>
        <v/>
      </c>
      <c r="G71" s="227" t="str">
        <f t="shared" si="34"/>
        <v/>
      </c>
      <c r="H71" s="227" t="str">
        <f t="shared" si="34"/>
        <v/>
      </c>
      <c r="I71" s="227" t="str">
        <f t="shared" si="34"/>
        <v/>
      </c>
      <c r="J71" s="227" t="str">
        <f t="shared" si="34"/>
        <v/>
      </c>
      <c r="K71" s="227" t="str">
        <f t="shared" si="34"/>
        <v/>
      </c>
      <c r="L71" s="227" t="str">
        <f t="shared" si="34"/>
        <v/>
      </c>
      <c r="M71" s="227" t="str">
        <f t="shared" si="34"/>
        <v/>
      </c>
      <c r="N71" s="227" t="str">
        <f t="shared" si="34"/>
        <v/>
      </c>
      <c r="O71" s="227" t="str">
        <f t="shared" si="34"/>
        <v/>
      </c>
      <c r="P71" s="227" t="str">
        <f t="shared" si="34"/>
        <v/>
      </c>
      <c r="Q71" s="227" t="str">
        <f t="shared" si="34"/>
        <v/>
      </c>
      <c r="R71" s="227" t="str">
        <f t="shared" si="34"/>
        <v/>
      </c>
      <c r="S71" s="227" t="str">
        <f t="shared" si="34"/>
        <v/>
      </c>
      <c r="T71" s="227" t="str">
        <f t="shared" si="34"/>
        <v/>
      </c>
      <c r="U71" s="227" t="str">
        <f t="shared" si="34"/>
        <v/>
      </c>
      <c r="V71" s="227" t="str">
        <f t="shared" si="34"/>
        <v/>
      </c>
      <c r="W71" s="227" t="str">
        <f t="shared" si="34"/>
        <v/>
      </c>
      <c r="X71" s="227" t="str">
        <f t="shared" si="34"/>
        <v/>
      </c>
      <c r="Y71" s="227" t="str">
        <f t="shared" si="34"/>
        <v/>
      </c>
      <c r="Z71" s="227" t="str">
        <f t="shared" si="34"/>
        <v/>
      </c>
      <c r="AA71" s="72"/>
      <c r="AB71" s="76"/>
      <c r="AC71" s="221"/>
      <c r="AD71" s="221"/>
      <c r="AE71" s="221"/>
      <c r="AF71" s="221"/>
      <c r="AG71" s="221"/>
      <c r="AH71" s="221"/>
      <c r="AI71" s="221"/>
      <c r="AJ71" s="221"/>
      <c r="AK71" s="221"/>
      <c r="AL71" s="221"/>
      <c r="AM71" s="221"/>
      <c r="AN71" s="221"/>
      <c r="AO71" s="221"/>
      <c r="AP71" s="221"/>
      <c r="AQ71" s="221"/>
      <c r="AR71" s="221"/>
      <c r="AS71" s="221"/>
      <c r="AT71" s="221"/>
      <c r="AU71" s="221"/>
      <c r="AV71" s="221"/>
      <c r="AW71" s="221"/>
      <c r="AX71" s="221"/>
      <c r="AY71" s="76"/>
      <c r="AZ71" s="77"/>
      <c r="BA71" s="77"/>
      <c r="BB71" s="78"/>
      <c r="BC71" s="76"/>
      <c r="BD71" s="221"/>
      <c r="BE71" s="221"/>
      <c r="BF71" s="221"/>
      <c r="BG71" s="221"/>
      <c r="BH71" s="221"/>
      <c r="BI71" s="221"/>
      <c r="BJ71" s="221"/>
      <c r="BK71" s="221"/>
      <c r="BL71" s="221"/>
      <c r="BM71" s="221"/>
      <c r="BN71" s="221"/>
      <c r="BO71" s="221"/>
      <c r="BP71" s="221"/>
      <c r="BQ71" s="221"/>
      <c r="BR71" s="221"/>
      <c r="BS71" s="221"/>
      <c r="BT71" s="221"/>
      <c r="BU71" s="221"/>
      <c r="BV71" s="221"/>
      <c r="BW71" s="221"/>
      <c r="BX71" s="221"/>
      <c r="BY71" s="221"/>
    </row>
    <row r="72" spans="1:77">
      <c r="B72" s="74"/>
      <c r="C72" s="72"/>
      <c r="D72" s="72"/>
      <c r="E72" s="75"/>
      <c r="F72" s="75"/>
      <c r="G72" s="75"/>
      <c r="H72" s="75"/>
      <c r="I72" s="75"/>
      <c r="J72" s="75"/>
      <c r="K72" s="75"/>
      <c r="L72" s="75"/>
      <c r="M72" s="75"/>
      <c r="N72" s="75"/>
      <c r="O72" s="75"/>
      <c r="P72" s="75"/>
      <c r="Q72" s="75"/>
      <c r="R72" s="75"/>
      <c r="S72" s="75"/>
      <c r="T72" s="75"/>
      <c r="U72" s="75"/>
      <c r="V72" s="75"/>
      <c r="W72" s="75"/>
      <c r="X72" s="75"/>
      <c r="Y72" s="75"/>
      <c r="Z72" s="75"/>
      <c r="AA72" s="72"/>
      <c r="AB72" s="76"/>
      <c r="AC72" s="221"/>
      <c r="AD72" s="221"/>
      <c r="AE72" s="221"/>
      <c r="AF72" s="221"/>
      <c r="AG72" s="221"/>
      <c r="AH72" s="221"/>
      <c r="AI72" s="221"/>
      <c r="AJ72" s="221"/>
      <c r="AK72" s="221"/>
      <c r="AL72" s="221"/>
      <c r="AM72" s="221"/>
      <c r="AN72" s="221"/>
      <c r="AO72" s="221"/>
      <c r="AP72" s="221"/>
      <c r="AQ72" s="221"/>
      <c r="AR72" s="221"/>
      <c r="AS72" s="221"/>
      <c r="AT72" s="221"/>
      <c r="AU72" s="221"/>
      <c r="AV72" s="221"/>
      <c r="AW72" s="221"/>
      <c r="AX72" s="221"/>
      <c r="AY72" s="76"/>
      <c r="AZ72" s="77"/>
      <c r="BA72" s="77"/>
      <c r="BB72" s="78"/>
      <c r="BC72" s="76"/>
      <c r="BD72" s="221"/>
      <c r="BE72" s="221"/>
      <c r="BF72" s="221"/>
      <c r="BG72" s="221"/>
      <c r="BH72" s="221"/>
      <c r="BI72" s="221"/>
      <c r="BJ72" s="221"/>
      <c r="BK72" s="221"/>
      <c r="BL72" s="221"/>
      <c r="BM72" s="221"/>
      <c r="BN72" s="221"/>
      <c r="BO72" s="221"/>
      <c r="BP72" s="221"/>
      <c r="BQ72" s="221"/>
      <c r="BR72" s="221"/>
      <c r="BS72" s="221"/>
      <c r="BT72" s="221"/>
      <c r="BU72" s="221"/>
      <c r="BV72" s="221"/>
      <c r="BW72" s="221"/>
      <c r="BX72" s="221"/>
      <c r="BY72" s="221"/>
    </row>
    <row r="73" spans="1:77">
      <c r="A73" s="229"/>
      <c r="B73" s="229" t="s">
        <v>33</v>
      </c>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c r="AA73" s="72"/>
      <c r="AB73" s="72"/>
      <c r="AC73" s="67"/>
      <c r="AD73" s="67"/>
      <c r="AE73" s="67"/>
      <c r="AF73" s="72"/>
      <c r="AG73" s="67"/>
      <c r="AH73" s="67"/>
      <c r="AI73" s="67"/>
      <c r="AJ73" s="72"/>
      <c r="AK73" s="67"/>
      <c r="AL73" s="67"/>
      <c r="AM73" s="67"/>
      <c r="AN73" s="67"/>
      <c r="AO73" s="67"/>
      <c r="AP73" s="67"/>
      <c r="AQ73" s="67"/>
      <c r="AR73" s="67"/>
      <c r="AS73" s="67"/>
      <c r="AT73" s="67"/>
      <c r="AU73" s="67"/>
      <c r="AV73" s="67"/>
      <c r="AW73" s="67"/>
      <c r="AX73" s="67"/>
      <c r="AY73" s="72"/>
      <c r="AZ73" s="67"/>
      <c r="BA73" s="67"/>
      <c r="BB73" s="67"/>
      <c r="BC73" s="72"/>
      <c r="BD73" s="67"/>
      <c r="BE73" s="67"/>
      <c r="BF73" s="67"/>
      <c r="BG73" s="72"/>
      <c r="BH73" s="67"/>
      <c r="BI73" s="67"/>
      <c r="BJ73" s="67"/>
      <c r="BK73" s="72"/>
      <c r="BL73" s="67"/>
      <c r="BM73" s="67"/>
      <c r="BN73" s="67"/>
      <c r="BO73" s="67"/>
      <c r="BP73" s="67"/>
      <c r="BQ73" s="67"/>
      <c r="BR73" s="67"/>
      <c r="BS73" s="67"/>
      <c r="BT73" s="67"/>
      <c r="BU73" s="67"/>
      <c r="BV73" s="67"/>
      <c r="BW73" s="67"/>
      <c r="BX73" s="67"/>
      <c r="BY73" s="67"/>
    </row>
    <row r="74" spans="1:77">
      <c r="B74" s="73"/>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67"/>
      <c r="AD74" s="67"/>
      <c r="AE74" s="67"/>
      <c r="AF74" s="72"/>
      <c r="AG74" s="67"/>
      <c r="AH74" s="67"/>
      <c r="AI74" s="67"/>
      <c r="AJ74" s="72"/>
      <c r="AK74" s="67"/>
      <c r="AL74" s="67"/>
      <c r="AM74" s="67"/>
      <c r="AN74" s="67"/>
      <c r="AO74" s="67"/>
      <c r="AP74" s="67"/>
      <c r="AQ74" s="67"/>
      <c r="AR74" s="67"/>
      <c r="AS74" s="67"/>
      <c r="AT74" s="67"/>
      <c r="AU74" s="67"/>
      <c r="AV74" s="67"/>
      <c r="AW74" s="67"/>
      <c r="AX74" s="67"/>
      <c r="AY74" s="72"/>
      <c r="AZ74" s="67"/>
      <c r="BA74" s="67"/>
      <c r="BB74" s="67"/>
      <c r="BC74" s="72"/>
      <c r="BD74" s="67"/>
      <c r="BE74" s="67"/>
      <c r="BF74" s="67"/>
      <c r="BG74" s="72"/>
      <c r="BH74" s="67"/>
      <c r="BI74" s="67"/>
      <c r="BJ74" s="67"/>
      <c r="BK74" s="72"/>
      <c r="BL74" s="67"/>
      <c r="BM74" s="67"/>
      <c r="BN74" s="67"/>
      <c r="BO74" s="67"/>
      <c r="BP74" s="67"/>
      <c r="BQ74" s="67"/>
      <c r="BR74" s="67"/>
      <c r="BS74" s="67"/>
      <c r="BT74" s="67"/>
      <c r="BU74" s="67"/>
      <c r="BV74" s="67"/>
      <c r="BW74" s="67"/>
      <c r="BX74" s="67"/>
      <c r="BY74" s="67"/>
    </row>
    <row r="75" spans="1:77">
      <c r="B75" s="237" t="s">
        <v>1353</v>
      </c>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67"/>
      <c r="AD75" s="67"/>
      <c r="AE75" s="67"/>
      <c r="AF75" s="72"/>
      <c r="AG75" s="67"/>
      <c r="AH75" s="67"/>
      <c r="AI75" s="67"/>
      <c r="AJ75" s="72"/>
      <c r="AK75" s="67"/>
      <c r="AL75" s="67"/>
      <c r="AM75" s="67"/>
      <c r="AN75" s="67"/>
      <c r="AO75" s="67"/>
      <c r="AP75" s="67"/>
      <c r="AQ75" s="67"/>
      <c r="AR75" s="67"/>
      <c r="AS75" s="67"/>
      <c r="AT75" s="67"/>
      <c r="AU75" s="67"/>
      <c r="AV75" s="67"/>
      <c r="AW75" s="67"/>
      <c r="AX75" s="67"/>
      <c r="AY75" s="72"/>
      <c r="AZ75" s="67"/>
      <c r="BA75" s="67"/>
      <c r="BB75" s="67"/>
      <c r="BC75" s="72"/>
      <c r="BD75" s="67"/>
      <c r="BE75" s="67"/>
      <c r="BF75" s="67"/>
      <c r="BG75" s="72"/>
      <c r="BH75" s="67"/>
      <c r="BI75" s="67"/>
      <c r="BJ75" s="67"/>
      <c r="BK75" s="72"/>
      <c r="BL75" s="67"/>
      <c r="BM75" s="67"/>
      <c r="BN75" s="67"/>
      <c r="BO75" s="67"/>
      <c r="BP75" s="67"/>
      <c r="BQ75" s="67"/>
      <c r="BR75" s="67"/>
      <c r="BS75" s="67"/>
      <c r="BT75" s="67"/>
      <c r="BU75" s="67"/>
      <c r="BV75" s="67"/>
      <c r="BW75" s="67"/>
      <c r="BX75" s="67"/>
      <c r="BY75" s="67"/>
    </row>
    <row r="76" spans="1:77">
      <c r="B76" s="73"/>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67"/>
      <c r="AD76" s="67"/>
      <c r="AE76" s="67"/>
      <c r="AF76" s="72"/>
      <c r="AG76" s="67"/>
      <c r="AH76" s="67"/>
      <c r="AI76" s="67"/>
      <c r="AJ76" s="72"/>
      <c r="AK76" s="67"/>
      <c r="AL76" s="67"/>
      <c r="AM76" s="67"/>
      <c r="AN76" s="67"/>
      <c r="AO76" s="67"/>
      <c r="AP76" s="67"/>
      <c r="AQ76" s="67"/>
      <c r="AR76" s="67"/>
      <c r="AS76" s="67"/>
      <c r="AT76" s="67"/>
      <c r="AU76" s="67"/>
      <c r="AV76" s="67"/>
      <c r="AW76" s="67"/>
      <c r="AX76" s="67"/>
      <c r="AY76" s="72"/>
      <c r="AZ76" s="67"/>
      <c r="BA76" s="67"/>
      <c r="BB76" s="67"/>
      <c r="BC76" s="72"/>
      <c r="BD76" s="67"/>
      <c r="BE76" s="67"/>
      <c r="BF76" s="67"/>
      <c r="BG76" s="72"/>
      <c r="BH76" s="67"/>
      <c r="BI76" s="67"/>
      <c r="BJ76" s="67"/>
      <c r="BK76" s="72"/>
      <c r="BL76" s="67"/>
      <c r="BM76" s="67"/>
      <c r="BN76" s="67"/>
      <c r="BO76" s="67"/>
      <c r="BP76" s="67"/>
      <c r="BQ76" s="67"/>
      <c r="BR76" s="67"/>
      <c r="BS76" s="67"/>
      <c r="BT76" s="67"/>
      <c r="BU76" s="67"/>
      <c r="BV76" s="67"/>
      <c r="BW76" s="67"/>
      <c r="BX76" s="67"/>
      <c r="BY76" s="67"/>
    </row>
    <row r="77" spans="1:77">
      <c r="B77" s="74" t="str">
        <f>BA77</f>
        <v>Total revenue - Slot - Auckland</v>
      </c>
      <c r="C77" s="72" t="s">
        <v>72</v>
      </c>
      <c r="D77" s="224" t="s">
        <v>1342</v>
      </c>
      <c r="E77" s="223">
        <f t="shared" ref="E77:Z77" si="35">AC77</f>
        <v>125.7</v>
      </c>
      <c r="F77" s="223">
        <f t="shared" si="35"/>
        <v>126.5</v>
      </c>
      <c r="G77" s="223">
        <f t="shared" si="35"/>
        <v>134.69999999999999</v>
      </c>
      <c r="H77" s="223">
        <f t="shared" si="35"/>
        <v>136.30000000000001</v>
      </c>
      <c r="I77" s="223">
        <f t="shared" si="35"/>
        <v>139.4</v>
      </c>
      <c r="J77" s="223">
        <f t="shared" si="35"/>
        <v>91.4</v>
      </c>
      <c r="K77" s="223">
        <f t="shared" si="35"/>
        <v>120.8</v>
      </c>
      <c r="L77" s="223">
        <f t="shared" si="35"/>
        <v>143.5</v>
      </c>
      <c r="M77" s="223">
        <f t="shared" si="35"/>
        <v>60</v>
      </c>
      <c r="N77" s="223">
        <f t="shared" si="35"/>
        <v>125.5</v>
      </c>
      <c r="O77" s="223">
        <f t="shared" si="35"/>
        <v>156.1</v>
      </c>
      <c r="P77" s="223">
        <f t="shared" si="35"/>
        <v>149.19999999999999</v>
      </c>
      <c r="Q77" s="223">
        <f t="shared" si="35"/>
        <v>152.52914228775239</v>
      </c>
      <c r="R77" s="223">
        <f t="shared" si="35"/>
        <v>149.60748101260839</v>
      </c>
      <c r="S77" s="223">
        <f t="shared" si="35"/>
        <v>160.17494420020569</v>
      </c>
      <c r="T77" s="223">
        <f t="shared" si="35"/>
        <v>155.79094594747099</v>
      </c>
      <c r="U77" s="223">
        <f t="shared" si="35"/>
        <v>166.84723794110471</v>
      </c>
      <c r="V77" s="223">
        <f t="shared" si="35"/>
        <v>161.52849881007171</v>
      </c>
      <c r="W77" s="223">
        <f t="shared" si="35"/>
        <v>172.0704460765003</v>
      </c>
      <c r="X77" s="223">
        <f t="shared" si="35"/>
        <v>165.78903437002629</v>
      </c>
      <c r="Y77" s="223">
        <f t="shared" si="35"/>
        <v>177.15801840897331</v>
      </c>
      <c r="Z77" s="223">
        <f t="shared" si="35"/>
        <v>170.97729068695571</v>
      </c>
      <c r="AA77" s="72"/>
      <c r="AB77" s="76"/>
      <c r="AC77" s="222">
        <v>125.7</v>
      </c>
      <c r="AD77" s="222">
        <v>126.5</v>
      </c>
      <c r="AE77" s="222">
        <v>134.69999999999999</v>
      </c>
      <c r="AF77" s="222">
        <v>136.30000000000001</v>
      </c>
      <c r="AG77" s="222">
        <v>139.4</v>
      </c>
      <c r="AH77" s="222">
        <v>91.4</v>
      </c>
      <c r="AI77" s="222">
        <v>120.8</v>
      </c>
      <c r="AJ77" s="222">
        <v>143.5</v>
      </c>
      <c r="AK77" s="222">
        <v>60</v>
      </c>
      <c r="AL77" s="222">
        <v>125.5</v>
      </c>
      <c r="AM77" s="222">
        <v>156.1</v>
      </c>
      <c r="AN77" s="222">
        <v>149.19999999999999</v>
      </c>
      <c r="AO77" s="222">
        <v>152.52914228775239</v>
      </c>
      <c r="AP77" s="222">
        <v>149.60748101260839</v>
      </c>
      <c r="AQ77" s="222">
        <v>160.17494420020569</v>
      </c>
      <c r="AR77" s="222">
        <v>155.79094594747099</v>
      </c>
      <c r="AS77" s="222">
        <v>166.84723794110471</v>
      </c>
      <c r="AT77" s="222">
        <v>161.52849881007171</v>
      </c>
      <c r="AU77" s="222">
        <v>172.0704460765003</v>
      </c>
      <c r="AV77" s="222">
        <v>165.78903437002629</v>
      </c>
      <c r="AW77" s="222">
        <v>177.15801840897331</v>
      </c>
      <c r="AX77" s="222">
        <v>170.97729068695571</v>
      </c>
      <c r="AY77" s="76"/>
      <c r="AZ77" s="77" t="s">
        <v>1259</v>
      </c>
      <c r="BA77" s="77" t="s">
        <v>1293</v>
      </c>
      <c r="BB77" s="78" t="s">
        <v>1261</v>
      </c>
      <c r="BC77" s="76"/>
      <c r="BD77" s="79">
        <f>_xll.VAData($AZ77,BD$2,$BA77,$BB77)</f>
        <v>121.5892603687865</v>
      </c>
      <c r="BE77" s="79">
        <f>_xll.VAData($AZ77,BE$2,$BA77,$BB77)</f>
        <v>122.385085533439</v>
      </c>
      <c r="BF77" s="79">
        <f>_xll.VAData($AZ77,BF$2,$BA77,$BB77)</f>
        <v>127.68382447488</v>
      </c>
      <c r="BG77" s="79">
        <f>_xll.VAData($AZ77,BG$2,$BA77,$BB77)</f>
        <v>132.244251521698</v>
      </c>
      <c r="BH77" s="79">
        <f>_xll.VAData($AZ77,BH$2,$BA77,$BB77)</f>
        <v>132.1419135923704</v>
      </c>
      <c r="BI77" s="79">
        <f>_xll.VAData($AZ77,BI$2,$BA77,$BB77)</f>
        <v>89.788157664820204</v>
      </c>
      <c r="BJ77" s="79">
        <f>_xll.VAData($AZ77,BJ$2,$BA77,$BB77)</f>
        <v>114.50000761632</v>
      </c>
      <c r="BK77" s="79">
        <f>_xll.VAData($AZ77,BK$2,$BA77,$BB77)</f>
        <v>136.55775010094581</v>
      </c>
      <c r="BL77" s="79">
        <f>_xll.VAData($AZ77,BL$2,$BA77,$BB77)</f>
        <v>60</v>
      </c>
      <c r="BM77" s="79">
        <f>_xll.VAData($AZ77,BM$2,$BA77,$BB77)</f>
        <v>125.51</v>
      </c>
      <c r="BN77" s="79">
        <f>_xll.VAData($AZ77,BN$2,$BA77,$BB77)</f>
        <v>135.6</v>
      </c>
      <c r="BO77" s="79">
        <f>_xll.VAData($AZ77,BO$2,$BA77,$BB77)</f>
        <v>129.69999999999999</v>
      </c>
      <c r="BP77" s="79">
        <f>_xll.VAData($AZ77,BP$2,$BA77,$BB77)</f>
        <v>127.9</v>
      </c>
      <c r="BQ77" s="79">
        <f>_xll.VAData($AZ77,BQ$2,$BA77,$BB77)</f>
        <v>119.8</v>
      </c>
      <c r="BR77" s="79">
        <f>_xll.VAData($AZ77,BR$2,$BA77,$BB77)</f>
        <v>118.3</v>
      </c>
      <c r="BS77" s="79">
        <f>_xll.VAData($AZ77,BS$2,$BA77,$BB77)</f>
        <v>115.6</v>
      </c>
      <c r="BT77" s="79">
        <f>_xll.VAData($AZ77,BT$2,$BA77,$BB77)</f>
        <v>110.9</v>
      </c>
      <c r="BU77" s="79">
        <f>_xll.VAData($AZ77,BU$2,$BA77,$BB77)</f>
        <v>103.1</v>
      </c>
      <c r="BV77" s="79">
        <f>_xll.VAData($AZ77,BV$2,$BA77,$BB77)</f>
        <v>97.380876614262135</v>
      </c>
      <c r="BW77" s="79">
        <f>_xll.VAData($AZ77,BW$2,$BA77,$BB77)</f>
        <v>102.81270020108592</v>
      </c>
      <c r="BX77" s="79">
        <f>_xll.VAData($AZ77,BX$2,$BA77,$BB77)</f>
        <v>104.46332795847613</v>
      </c>
      <c r="BY77" s="79">
        <f>_xll.VAData($AZ77,BY$2,$BA77,$BB77)</f>
        <v>103.62094935165167</v>
      </c>
    </row>
    <row r="78" spans="1:77">
      <c r="B78" s="74"/>
      <c r="C78" s="72" t="s">
        <v>72</v>
      </c>
      <c r="D78" s="225" t="s">
        <v>1343</v>
      </c>
      <c r="E78" s="226">
        <f>HY!E125</f>
        <v>109.35899999999999</v>
      </c>
      <c r="F78" s="226">
        <f>HY!F125</f>
        <v>124.27167</v>
      </c>
      <c r="G78" s="226">
        <f>HY!G125</f>
        <v>117.18899999999999</v>
      </c>
      <c r="H78" s="226">
        <f>HY!H125</f>
        <v>133.81557000000001</v>
      </c>
      <c r="I78" s="226">
        <f>HY!I125</f>
        <v>121.27800000000001</v>
      </c>
      <c r="J78" s="226">
        <f>HY!J125</f>
        <v>95.284140000000008</v>
      </c>
      <c r="K78" s="226">
        <f>HY!K125</f>
        <v>105.096</v>
      </c>
      <c r="L78" s="226">
        <f>HY!L125</f>
        <v>138.50748000000002</v>
      </c>
      <c r="M78" s="226">
        <f>HY!M125</f>
        <v>52.2</v>
      </c>
      <c r="N78" s="226">
        <f>HY!N125</f>
        <v>109.185</v>
      </c>
      <c r="O78" s="226">
        <f>HY!O125</f>
        <v>135.6</v>
      </c>
      <c r="P78" s="226">
        <f>HY!P125</f>
        <v>129.70000000000002</v>
      </c>
      <c r="Q78" s="226">
        <f>HY!Q125</f>
        <v>127.9</v>
      </c>
      <c r="R78" s="226">
        <f>HY!R125</f>
        <v>119.79999999999998</v>
      </c>
      <c r="S78" s="226">
        <f>HY!S125</f>
        <v>118.3</v>
      </c>
      <c r="T78" s="226">
        <f>HY!T125</f>
        <v>115.60000000000001</v>
      </c>
      <c r="U78" s="226">
        <f>HY!U125</f>
        <v>110.9</v>
      </c>
      <c r="V78" s="226">
        <f>HY!V125</f>
        <v>103.1</v>
      </c>
      <c r="W78" s="226">
        <f>HY!W125</f>
        <v>99</v>
      </c>
      <c r="X78" s="226">
        <f>HY!X125</f>
        <v>103</v>
      </c>
      <c r="Y78" s="226">
        <f>HY!Y125</f>
        <v>110</v>
      </c>
      <c r="Z78" s="226">
        <f>HY!Z125</f>
        <v>108.66499999999999</v>
      </c>
      <c r="AA78" s="72"/>
      <c r="AB78" s="76"/>
      <c r="AC78" s="221"/>
      <c r="AD78" s="221"/>
      <c r="AE78" s="221"/>
      <c r="AF78" s="221"/>
      <c r="AG78" s="221"/>
      <c r="AH78" s="221"/>
      <c r="AI78" s="221"/>
      <c r="AJ78" s="221"/>
      <c r="AK78" s="221"/>
      <c r="AL78" s="221"/>
      <c r="AM78" s="221"/>
      <c r="AN78" s="221"/>
      <c r="AO78" s="221"/>
      <c r="AP78" s="221"/>
      <c r="AQ78" s="221"/>
      <c r="AR78" s="221"/>
      <c r="AS78" s="221"/>
      <c r="AT78" s="221"/>
      <c r="AU78" s="221"/>
      <c r="AV78" s="221"/>
      <c r="AW78" s="221"/>
      <c r="AX78" s="221"/>
      <c r="AY78" s="76"/>
      <c r="AZ78" s="77"/>
      <c r="BA78" s="77"/>
      <c r="BB78" s="78"/>
      <c r="BC78" s="76"/>
      <c r="BD78" s="221"/>
      <c r="BE78" s="221"/>
      <c r="BF78" s="221"/>
      <c r="BG78" s="221"/>
      <c r="BH78" s="221"/>
      <c r="BI78" s="221"/>
      <c r="BJ78" s="221"/>
      <c r="BK78" s="221"/>
      <c r="BL78" s="221"/>
      <c r="BM78" s="221"/>
      <c r="BN78" s="221"/>
      <c r="BO78" s="221"/>
      <c r="BP78" s="221"/>
      <c r="BQ78" s="221"/>
      <c r="BR78" s="221"/>
      <c r="BS78" s="221"/>
      <c r="BT78" s="221"/>
      <c r="BU78" s="221"/>
      <c r="BV78" s="221"/>
      <c r="BW78" s="221"/>
      <c r="BX78" s="221"/>
      <c r="BY78" s="221"/>
    </row>
    <row r="79" spans="1:77">
      <c r="B79" s="74"/>
      <c r="C79" s="81" t="s">
        <v>88</v>
      </c>
      <c r="D79" s="72" t="s">
        <v>1344</v>
      </c>
      <c r="E79" s="227">
        <f t="shared" ref="E79:Z79" si="36">IFERROR(ROUND(E77/E78-1,3),"")</f>
        <v>0.14899999999999999</v>
      </c>
      <c r="F79" s="227">
        <f t="shared" si="36"/>
        <v>1.7999999999999999E-2</v>
      </c>
      <c r="G79" s="227">
        <f t="shared" si="36"/>
        <v>0.14899999999999999</v>
      </c>
      <c r="H79" s="227">
        <f t="shared" si="36"/>
        <v>1.9E-2</v>
      </c>
      <c r="I79" s="227">
        <f t="shared" si="36"/>
        <v>0.14899999999999999</v>
      </c>
      <c r="J79" s="227">
        <f t="shared" si="36"/>
        <v>-4.1000000000000002E-2</v>
      </c>
      <c r="K79" s="227">
        <f t="shared" si="36"/>
        <v>0.14899999999999999</v>
      </c>
      <c r="L79" s="227">
        <f t="shared" si="36"/>
        <v>3.5999999999999997E-2</v>
      </c>
      <c r="M79" s="227">
        <f t="shared" si="36"/>
        <v>0.14899999999999999</v>
      </c>
      <c r="N79" s="227">
        <f t="shared" si="36"/>
        <v>0.14899999999999999</v>
      </c>
      <c r="O79" s="227">
        <f t="shared" si="36"/>
        <v>0.151</v>
      </c>
      <c r="P79" s="227">
        <f t="shared" si="36"/>
        <v>0.15</v>
      </c>
      <c r="Q79" s="227">
        <f t="shared" si="36"/>
        <v>0.193</v>
      </c>
      <c r="R79" s="227">
        <f t="shared" si="36"/>
        <v>0.249</v>
      </c>
      <c r="S79" s="227">
        <f t="shared" si="36"/>
        <v>0.35399999999999998</v>
      </c>
      <c r="T79" s="227">
        <f t="shared" si="36"/>
        <v>0.34799999999999998</v>
      </c>
      <c r="U79" s="227">
        <f t="shared" si="36"/>
        <v>0.504</v>
      </c>
      <c r="V79" s="227">
        <f t="shared" si="36"/>
        <v>0.56699999999999995</v>
      </c>
      <c r="W79" s="227">
        <f t="shared" si="36"/>
        <v>0.73799999999999999</v>
      </c>
      <c r="X79" s="227">
        <f t="shared" si="36"/>
        <v>0.61</v>
      </c>
      <c r="Y79" s="227">
        <f t="shared" si="36"/>
        <v>0.61099999999999999</v>
      </c>
      <c r="Z79" s="227">
        <f t="shared" si="36"/>
        <v>0.57299999999999995</v>
      </c>
      <c r="AA79" s="72"/>
      <c r="AB79" s="76"/>
      <c r="AC79" s="221"/>
      <c r="AD79" s="221"/>
      <c r="AE79" s="221"/>
      <c r="AF79" s="221"/>
      <c r="AG79" s="221"/>
      <c r="AH79" s="221"/>
      <c r="AI79" s="221"/>
      <c r="AJ79" s="221"/>
      <c r="AK79" s="221"/>
      <c r="AL79" s="221"/>
      <c r="AM79" s="221"/>
      <c r="AN79" s="221"/>
      <c r="AO79" s="221"/>
      <c r="AP79" s="221"/>
      <c r="AQ79" s="221"/>
      <c r="AR79" s="221"/>
      <c r="AS79" s="221"/>
      <c r="AT79" s="221"/>
      <c r="AU79" s="221"/>
      <c r="AV79" s="221"/>
      <c r="AW79" s="221"/>
      <c r="AX79" s="221"/>
      <c r="AY79" s="76"/>
      <c r="AZ79" s="77"/>
      <c r="BA79" s="77"/>
      <c r="BB79" s="78"/>
      <c r="BC79" s="76"/>
      <c r="BD79" s="221"/>
      <c r="BE79" s="221"/>
      <c r="BF79" s="221"/>
      <c r="BG79" s="221"/>
      <c r="BH79" s="221"/>
      <c r="BI79" s="221"/>
      <c r="BJ79" s="221"/>
      <c r="BK79" s="221"/>
      <c r="BL79" s="221"/>
      <c r="BM79" s="221"/>
      <c r="BN79" s="221"/>
      <c r="BO79" s="221"/>
      <c r="BP79" s="221"/>
      <c r="BQ79" s="221"/>
      <c r="BR79" s="221"/>
      <c r="BS79" s="221"/>
      <c r="BT79" s="221"/>
      <c r="BU79" s="221"/>
      <c r="BV79" s="221"/>
      <c r="BW79" s="221"/>
      <c r="BX79" s="221"/>
      <c r="BY79" s="221"/>
    </row>
    <row r="80" spans="1:77">
      <c r="B80" s="74"/>
      <c r="C80" s="72"/>
      <c r="D80" s="72"/>
      <c r="E80" s="75"/>
      <c r="F80" s="75"/>
      <c r="G80" s="75"/>
      <c r="H80" s="75"/>
      <c r="I80" s="75"/>
      <c r="J80" s="75"/>
      <c r="K80" s="75"/>
      <c r="L80" s="75"/>
      <c r="M80" s="75"/>
      <c r="N80" s="75"/>
      <c r="O80" s="75"/>
      <c r="P80" s="75"/>
      <c r="Q80" s="75"/>
      <c r="R80" s="75"/>
      <c r="S80" s="75"/>
      <c r="T80" s="75"/>
      <c r="U80" s="75"/>
      <c r="V80" s="75"/>
      <c r="W80" s="75"/>
      <c r="X80" s="75"/>
      <c r="Y80" s="75"/>
      <c r="Z80" s="75"/>
      <c r="AA80" s="72"/>
      <c r="AB80" s="76"/>
      <c r="AC80" s="221"/>
      <c r="AD80" s="221"/>
      <c r="AE80" s="221"/>
      <c r="AF80" s="221"/>
      <c r="AG80" s="221"/>
      <c r="AH80" s="221"/>
      <c r="AI80" s="221"/>
      <c r="AJ80" s="221"/>
      <c r="AK80" s="221"/>
      <c r="AL80" s="221"/>
      <c r="AM80" s="221"/>
      <c r="AN80" s="221"/>
      <c r="AO80" s="221"/>
      <c r="AP80" s="221"/>
      <c r="AQ80" s="221"/>
      <c r="AR80" s="221"/>
      <c r="AS80" s="221"/>
      <c r="AT80" s="221"/>
      <c r="AU80" s="221"/>
      <c r="AV80" s="221"/>
      <c r="AW80" s="221"/>
      <c r="AX80" s="221"/>
      <c r="AY80" s="76"/>
      <c r="AZ80" s="77"/>
      <c r="BA80" s="77"/>
      <c r="BB80" s="78"/>
      <c r="BC80" s="76"/>
      <c r="BD80" s="221"/>
      <c r="BE80" s="221"/>
      <c r="BF80" s="221"/>
      <c r="BG80" s="221"/>
      <c r="BH80" s="221"/>
      <c r="BI80" s="221"/>
      <c r="BJ80" s="221"/>
      <c r="BK80" s="221"/>
      <c r="BL80" s="221"/>
      <c r="BM80" s="221"/>
      <c r="BN80" s="221"/>
      <c r="BO80" s="221"/>
      <c r="BP80" s="221"/>
      <c r="BQ80" s="221"/>
      <c r="BR80" s="221"/>
      <c r="BS80" s="221"/>
      <c r="BT80" s="221"/>
      <c r="BU80" s="221"/>
      <c r="BV80" s="221"/>
      <c r="BW80" s="221"/>
      <c r="BX80" s="221"/>
      <c r="BY80" s="221"/>
    </row>
    <row r="81" spans="2:77">
      <c r="B81" s="74" t="str">
        <f>BA81</f>
        <v>Number of slot machines - Auckland</v>
      </c>
      <c r="C81" s="72" t="s">
        <v>72</v>
      </c>
      <c r="D81" s="224" t="s">
        <v>1342</v>
      </c>
      <c r="E81" s="223">
        <f t="shared" ref="E81:Z81" si="37">AC81</f>
        <v>1877</v>
      </c>
      <c r="F81" s="223">
        <f t="shared" si="37"/>
        <v>1877</v>
      </c>
      <c r="G81" s="223">
        <f t="shared" si="37"/>
        <v>1877</v>
      </c>
      <c r="H81" s="223">
        <f t="shared" si="37"/>
        <v>1877</v>
      </c>
      <c r="I81" s="223">
        <f t="shared" si="37"/>
        <v>1877</v>
      </c>
      <c r="J81" s="223">
        <f t="shared" si="37"/>
        <v>1877</v>
      </c>
      <c r="K81" s="223">
        <f t="shared" si="37"/>
        <v>1877</v>
      </c>
      <c r="L81" s="223">
        <f t="shared" si="37"/>
        <v>1877</v>
      </c>
      <c r="M81" s="223">
        <f t="shared" si="37"/>
        <v>1877</v>
      </c>
      <c r="N81" s="223">
        <f t="shared" si="37"/>
        <v>1877</v>
      </c>
      <c r="O81" s="223">
        <f t="shared" si="37"/>
        <v>1877</v>
      </c>
      <c r="P81" s="223">
        <f t="shared" si="37"/>
        <v>1877</v>
      </c>
      <c r="Q81" s="223">
        <f t="shared" si="37"/>
        <v>1877</v>
      </c>
      <c r="R81" s="223">
        <f t="shared" si="37"/>
        <v>1877</v>
      </c>
      <c r="S81" s="223">
        <f t="shared" si="37"/>
        <v>1877</v>
      </c>
      <c r="T81" s="223">
        <f t="shared" si="37"/>
        <v>1877</v>
      </c>
      <c r="U81" s="223">
        <f t="shared" si="37"/>
        <v>1877</v>
      </c>
      <c r="V81" s="223">
        <f t="shared" si="37"/>
        <v>1877</v>
      </c>
      <c r="W81" s="223">
        <f t="shared" si="37"/>
        <v>1877</v>
      </c>
      <c r="X81" s="223">
        <f t="shared" si="37"/>
        <v>1877</v>
      </c>
      <c r="Y81" s="223">
        <f t="shared" si="37"/>
        <v>1877</v>
      </c>
      <c r="Z81" s="223">
        <f t="shared" si="37"/>
        <v>1877</v>
      </c>
      <c r="AA81" s="72"/>
      <c r="AB81" s="76"/>
      <c r="AC81" s="222">
        <v>1877</v>
      </c>
      <c r="AD81" s="222">
        <v>1877</v>
      </c>
      <c r="AE81" s="222">
        <v>1877</v>
      </c>
      <c r="AF81" s="222">
        <v>1877</v>
      </c>
      <c r="AG81" s="222">
        <v>1877</v>
      </c>
      <c r="AH81" s="222">
        <v>1877</v>
      </c>
      <c r="AI81" s="222">
        <v>1877</v>
      </c>
      <c r="AJ81" s="222">
        <v>1877</v>
      </c>
      <c r="AK81" s="222">
        <v>1877</v>
      </c>
      <c r="AL81" s="222">
        <v>1877</v>
      </c>
      <c r="AM81" s="222">
        <v>1877</v>
      </c>
      <c r="AN81" s="222">
        <v>1877</v>
      </c>
      <c r="AO81" s="222">
        <v>1877</v>
      </c>
      <c r="AP81" s="222">
        <v>1877</v>
      </c>
      <c r="AQ81" s="222">
        <v>1877</v>
      </c>
      <c r="AR81" s="222">
        <v>1877</v>
      </c>
      <c r="AS81" s="222">
        <v>1877</v>
      </c>
      <c r="AT81" s="222">
        <v>1877</v>
      </c>
      <c r="AU81" s="222">
        <v>1877</v>
      </c>
      <c r="AV81" s="222">
        <v>1877</v>
      </c>
      <c r="AW81" s="222">
        <v>1877</v>
      </c>
      <c r="AX81" s="222">
        <v>1877</v>
      </c>
      <c r="AY81" s="76"/>
      <c r="AZ81" s="77" t="s">
        <v>1259</v>
      </c>
      <c r="BA81" s="77" t="s">
        <v>1354</v>
      </c>
      <c r="BB81" s="78" t="s">
        <v>1261</v>
      </c>
      <c r="BC81" s="76"/>
      <c r="BD81" s="79">
        <f>_xll.VAData($AZ81,BD$2,$BA81,$BB81)</f>
        <v>1877</v>
      </c>
      <c r="BE81" s="79">
        <f>_xll.VAData($AZ81,BE$2,$BA81,$BB81)</f>
        <v>1877</v>
      </c>
      <c r="BF81" s="79">
        <f>_xll.VAData($AZ81,BF$2,$BA81,$BB81)</f>
        <v>1877</v>
      </c>
      <c r="BG81" s="79">
        <f>_xll.VAData($AZ81,BG$2,$BA81,$BB81)</f>
        <v>1877</v>
      </c>
      <c r="BH81" s="79">
        <f>_xll.VAData($AZ81,BH$2,$BA81,$BB81)</f>
        <v>1877</v>
      </c>
      <c r="BI81" s="79">
        <f>_xll.VAData($AZ81,BI$2,$BA81,$BB81)</f>
        <v>1877</v>
      </c>
      <c r="BJ81" s="79">
        <f>_xll.VAData($AZ81,BJ$2,$BA81,$BB81)</f>
        <v>1877</v>
      </c>
      <c r="BK81" s="79">
        <f>_xll.VAData($AZ81,BK$2,$BA81,$BB81)</f>
        <v>1877</v>
      </c>
      <c r="BL81" s="79">
        <f>_xll.VAData($AZ81,BL$2,$BA81,$BB81)</f>
        <v>1877</v>
      </c>
      <c r="BM81" s="79">
        <f>_xll.VAData($AZ81,BM$2,$BA81,$BB81)</f>
        <v>1877</v>
      </c>
      <c r="BN81" s="79">
        <f>_xll.VAData($AZ81,BN$2,$BA81,$BB81)</f>
        <v>1877</v>
      </c>
      <c r="BO81" s="79">
        <f>_xll.VAData($AZ81,BO$2,$BA81,$BB81)</f>
        <v>1877</v>
      </c>
      <c r="BP81" s="79">
        <f>_xll.VAData($AZ81,BP$2,$BA81,$BB81)</f>
        <v>1877</v>
      </c>
      <c r="BQ81" s="79">
        <f>_xll.VAData($AZ81,BQ$2,$BA81,$BB81)</f>
        <v>1877</v>
      </c>
      <c r="BR81" s="79">
        <f>_xll.VAData($AZ81,BR$2,$BA81,$BB81)</f>
        <v>1877</v>
      </c>
      <c r="BS81" s="79">
        <f>_xll.VAData($AZ81,BS$2,$BA81,$BB81)</f>
        <v>1877</v>
      </c>
      <c r="BT81" s="79">
        <f>_xll.VAData($AZ81,BT$2,$BA81,$BB81)</f>
        <v>1877</v>
      </c>
      <c r="BU81" s="79">
        <f>_xll.VAData($AZ81,BU$2,$BA81,$BB81)</f>
        <v>1877</v>
      </c>
      <c r="BV81" s="79">
        <f>_xll.VAData($AZ81,BV$2,$BA81,$BB81)</f>
        <v>1844.6</v>
      </c>
      <c r="BW81" s="79">
        <f>_xll.VAData($AZ81,BW$2,$BA81,$BB81)</f>
        <v>1844.6</v>
      </c>
      <c r="BX81" s="79">
        <f>_xll.VAData($AZ81,BX$2,$BA81,$BB81)</f>
        <v>1836.5</v>
      </c>
      <c r="BY81" s="79">
        <f>_xll.VAData($AZ81,BY$2,$BA81,$BB81)</f>
        <v>1836.5</v>
      </c>
    </row>
    <row r="82" spans="2:77">
      <c r="B82" s="74"/>
      <c r="C82" s="72" t="s">
        <v>72</v>
      </c>
      <c r="D82" s="225" t="s">
        <v>1343</v>
      </c>
      <c r="E82" s="226">
        <f>HY!E107</f>
        <v>1808</v>
      </c>
      <c r="F82" s="226">
        <f>HY!F107</f>
        <v>1808</v>
      </c>
      <c r="G82" s="226">
        <f>HY!G107</f>
        <v>1808</v>
      </c>
      <c r="H82" s="226">
        <f>HY!H107</f>
        <v>1808</v>
      </c>
      <c r="I82" s="226">
        <f>HY!I107</f>
        <v>1808</v>
      </c>
      <c r="J82" s="226">
        <f>HY!J107</f>
        <v>1808</v>
      </c>
      <c r="K82" s="226">
        <f>HY!K107</f>
        <v>1808</v>
      </c>
      <c r="L82" s="226">
        <f>HY!L107</f>
        <v>1808</v>
      </c>
      <c r="M82" s="226">
        <f>HY!M107</f>
        <v>1808</v>
      </c>
      <c r="N82" s="226">
        <f>HY!N107</f>
        <v>1808</v>
      </c>
      <c r="O82" s="226">
        <f>HY!O107</f>
        <v>1808</v>
      </c>
      <c r="P82" s="226">
        <f>HY!P107</f>
        <v>1808</v>
      </c>
      <c r="Q82" s="226">
        <f>HY!Q107</f>
        <v>1808</v>
      </c>
      <c r="R82" s="226">
        <f>HY!R107</f>
        <v>1808</v>
      </c>
      <c r="S82" s="226">
        <f>HY!S107</f>
        <v>1715</v>
      </c>
      <c r="T82" s="226">
        <f>HY!T107</f>
        <v>1715</v>
      </c>
      <c r="U82" s="226">
        <f>HY!U107</f>
        <v>1715</v>
      </c>
      <c r="V82" s="226">
        <f>HY!V107</f>
        <v>1715</v>
      </c>
      <c r="W82" s="226">
        <f>HY!W107</f>
        <v>1715</v>
      </c>
      <c r="X82" s="226">
        <f>HY!X107</f>
        <v>1715</v>
      </c>
      <c r="Y82" s="226">
        <f>HY!Y107</f>
        <v>1715</v>
      </c>
      <c r="Z82" s="226">
        <f>HY!Z107</f>
        <v>1715</v>
      </c>
      <c r="AA82" s="72"/>
      <c r="AB82" s="76"/>
      <c r="AC82" s="221"/>
      <c r="AD82" s="221"/>
      <c r="AE82" s="221"/>
      <c r="AF82" s="221"/>
      <c r="AG82" s="221"/>
      <c r="AH82" s="221"/>
      <c r="AI82" s="221"/>
      <c r="AJ82" s="221"/>
      <c r="AK82" s="221"/>
      <c r="AL82" s="221"/>
      <c r="AM82" s="221"/>
      <c r="AN82" s="221"/>
      <c r="AO82" s="221"/>
      <c r="AP82" s="221"/>
      <c r="AQ82" s="221"/>
      <c r="AR82" s="221"/>
      <c r="AS82" s="221"/>
      <c r="AT82" s="221"/>
      <c r="AU82" s="221"/>
      <c r="AV82" s="221"/>
      <c r="AW82" s="221"/>
      <c r="AX82" s="221"/>
      <c r="AY82" s="76"/>
      <c r="AZ82" s="77"/>
      <c r="BA82" s="77"/>
      <c r="BB82" s="78"/>
      <c r="BC82" s="76"/>
      <c r="BD82" s="221"/>
      <c r="BE82" s="221"/>
      <c r="BF82" s="221"/>
      <c r="BG82" s="221"/>
      <c r="BH82" s="221"/>
      <c r="BI82" s="221"/>
      <c r="BJ82" s="221"/>
      <c r="BK82" s="221"/>
      <c r="BL82" s="221"/>
      <c r="BM82" s="221"/>
      <c r="BN82" s="221"/>
      <c r="BO82" s="221"/>
      <c r="BP82" s="221"/>
      <c r="BQ82" s="221"/>
      <c r="BR82" s="221"/>
      <c r="BS82" s="221"/>
      <c r="BT82" s="221"/>
      <c r="BU82" s="221"/>
      <c r="BV82" s="221"/>
      <c r="BW82" s="221"/>
      <c r="BX82" s="221"/>
      <c r="BY82" s="221"/>
    </row>
    <row r="83" spans="2:77">
      <c r="B83" s="74"/>
      <c r="C83" s="81" t="s">
        <v>88</v>
      </c>
      <c r="D83" s="72" t="s">
        <v>1344</v>
      </c>
      <c r="E83" s="227">
        <f t="shared" ref="E83:Z83" si="38">IFERROR(ROUND(E81/E82-1,3),"")</f>
        <v>3.7999999999999999E-2</v>
      </c>
      <c r="F83" s="227">
        <f t="shared" si="38"/>
        <v>3.7999999999999999E-2</v>
      </c>
      <c r="G83" s="227">
        <f t="shared" si="38"/>
        <v>3.7999999999999999E-2</v>
      </c>
      <c r="H83" s="227">
        <f t="shared" si="38"/>
        <v>3.7999999999999999E-2</v>
      </c>
      <c r="I83" s="227">
        <f t="shared" si="38"/>
        <v>3.7999999999999999E-2</v>
      </c>
      <c r="J83" s="227">
        <f t="shared" si="38"/>
        <v>3.7999999999999999E-2</v>
      </c>
      <c r="K83" s="227">
        <f t="shared" si="38"/>
        <v>3.7999999999999999E-2</v>
      </c>
      <c r="L83" s="227">
        <f t="shared" si="38"/>
        <v>3.7999999999999999E-2</v>
      </c>
      <c r="M83" s="227">
        <f t="shared" si="38"/>
        <v>3.7999999999999999E-2</v>
      </c>
      <c r="N83" s="227">
        <f t="shared" si="38"/>
        <v>3.7999999999999999E-2</v>
      </c>
      <c r="O83" s="227">
        <f t="shared" si="38"/>
        <v>3.7999999999999999E-2</v>
      </c>
      <c r="P83" s="227">
        <f t="shared" si="38"/>
        <v>3.7999999999999999E-2</v>
      </c>
      <c r="Q83" s="227">
        <f t="shared" si="38"/>
        <v>3.7999999999999999E-2</v>
      </c>
      <c r="R83" s="227">
        <f t="shared" si="38"/>
        <v>3.7999999999999999E-2</v>
      </c>
      <c r="S83" s="227">
        <f t="shared" si="38"/>
        <v>9.4E-2</v>
      </c>
      <c r="T83" s="227">
        <f t="shared" si="38"/>
        <v>9.4E-2</v>
      </c>
      <c r="U83" s="227">
        <f t="shared" si="38"/>
        <v>9.4E-2</v>
      </c>
      <c r="V83" s="227">
        <f t="shared" si="38"/>
        <v>9.4E-2</v>
      </c>
      <c r="W83" s="227">
        <f t="shared" si="38"/>
        <v>9.4E-2</v>
      </c>
      <c r="X83" s="227">
        <f t="shared" si="38"/>
        <v>9.4E-2</v>
      </c>
      <c r="Y83" s="227">
        <f t="shared" si="38"/>
        <v>9.4E-2</v>
      </c>
      <c r="Z83" s="227">
        <f t="shared" si="38"/>
        <v>9.4E-2</v>
      </c>
      <c r="AA83" s="72"/>
      <c r="AB83" s="76"/>
      <c r="AC83" s="221"/>
      <c r="AD83" s="221"/>
      <c r="AE83" s="221"/>
      <c r="AF83" s="221"/>
      <c r="AG83" s="221"/>
      <c r="AH83" s="221"/>
      <c r="AI83" s="221"/>
      <c r="AJ83" s="221"/>
      <c r="AK83" s="221"/>
      <c r="AL83" s="221"/>
      <c r="AM83" s="221"/>
      <c r="AN83" s="221"/>
      <c r="AO83" s="221"/>
      <c r="AP83" s="221"/>
      <c r="AQ83" s="221"/>
      <c r="AR83" s="221"/>
      <c r="AS83" s="221"/>
      <c r="AT83" s="221"/>
      <c r="AU83" s="221"/>
      <c r="AV83" s="221"/>
      <c r="AW83" s="221"/>
      <c r="AX83" s="221"/>
      <c r="AY83" s="76"/>
      <c r="AZ83" s="77"/>
      <c r="BA83" s="77"/>
      <c r="BB83" s="78"/>
      <c r="BC83" s="76"/>
      <c r="BD83" s="221"/>
      <c r="BE83" s="221"/>
      <c r="BF83" s="221"/>
      <c r="BG83" s="221"/>
      <c r="BH83" s="221"/>
      <c r="BI83" s="221"/>
      <c r="BJ83" s="221"/>
      <c r="BK83" s="221"/>
      <c r="BL83" s="221"/>
      <c r="BM83" s="221"/>
      <c r="BN83" s="221"/>
      <c r="BO83" s="221"/>
      <c r="BP83" s="221"/>
      <c r="BQ83" s="221"/>
      <c r="BR83" s="221"/>
      <c r="BS83" s="221"/>
      <c r="BT83" s="221"/>
      <c r="BU83" s="221"/>
      <c r="BV83" s="221"/>
      <c r="BW83" s="221"/>
      <c r="BX83" s="221"/>
      <c r="BY83" s="221"/>
    </row>
    <row r="84" spans="2:77">
      <c r="B84" s="74"/>
      <c r="C84" s="72"/>
      <c r="D84" s="72"/>
      <c r="E84" s="75"/>
      <c r="F84" s="75"/>
      <c r="G84" s="75"/>
      <c r="H84" s="75"/>
      <c r="I84" s="75"/>
      <c r="J84" s="75"/>
      <c r="K84" s="75"/>
      <c r="L84" s="75"/>
      <c r="M84" s="75"/>
      <c r="N84" s="75"/>
      <c r="O84" s="75"/>
      <c r="P84" s="75"/>
      <c r="Q84" s="75"/>
      <c r="R84" s="75"/>
      <c r="S84" s="75"/>
      <c r="T84" s="75"/>
      <c r="U84" s="75"/>
      <c r="V84" s="75"/>
      <c r="W84" s="75"/>
      <c r="X84" s="75"/>
      <c r="Y84" s="75"/>
      <c r="Z84" s="75"/>
      <c r="AA84" s="72"/>
      <c r="AB84" s="76"/>
      <c r="AC84" s="221"/>
      <c r="AD84" s="221"/>
      <c r="AE84" s="221"/>
      <c r="AF84" s="221"/>
      <c r="AG84" s="221"/>
      <c r="AH84" s="221"/>
      <c r="AI84" s="221"/>
      <c r="AJ84" s="221"/>
      <c r="AK84" s="221"/>
      <c r="AL84" s="221"/>
      <c r="AM84" s="221"/>
      <c r="AN84" s="221"/>
      <c r="AO84" s="221"/>
      <c r="AP84" s="221"/>
      <c r="AQ84" s="221"/>
      <c r="AR84" s="221"/>
      <c r="AS84" s="221"/>
      <c r="AT84" s="221"/>
      <c r="AU84" s="221"/>
      <c r="AV84" s="221"/>
      <c r="AW84" s="221"/>
      <c r="AX84" s="221"/>
      <c r="AY84" s="76"/>
      <c r="AZ84" s="77"/>
      <c r="BA84" s="77"/>
      <c r="BB84" s="78"/>
      <c r="BC84" s="76"/>
      <c r="BD84" s="221"/>
      <c r="BE84" s="221"/>
      <c r="BF84" s="221"/>
      <c r="BG84" s="221"/>
      <c r="BH84" s="221"/>
      <c r="BI84" s="221"/>
      <c r="BJ84" s="221"/>
      <c r="BK84" s="221"/>
      <c r="BL84" s="221"/>
      <c r="BM84" s="221"/>
      <c r="BN84" s="221"/>
      <c r="BO84" s="221"/>
      <c r="BP84" s="221"/>
      <c r="BQ84" s="221"/>
      <c r="BR84" s="221"/>
      <c r="BS84" s="221"/>
      <c r="BT84" s="221"/>
      <c r="BU84" s="221"/>
      <c r="BV84" s="221"/>
      <c r="BW84" s="221"/>
      <c r="BX84" s="221"/>
      <c r="BY84" s="221"/>
    </row>
    <row r="85" spans="2:77">
      <c r="B85" s="74" t="str">
        <f>BA85</f>
        <v>Slot machine win per unit per day - Auckland</v>
      </c>
      <c r="C85" s="72" t="s">
        <v>72</v>
      </c>
      <c r="D85" s="224" t="s">
        <v>1342</v>
      </c>
      <c r="E85" s="223">
        <f t="shared" ref="E85:Z85" si="39">AC85</f>
        <v>358.22191564321582</v>
      </c>
      <c r="F85" s="223">
        <f t="shared" si="39"/>
        <v>361.81960819373643</v>
      </c>
      <c r="G85" s="223">
        <f t="shared" si="39"/>
        <v>383.92784286467401</v>
      </c>
      <c r="H85" s="223">
        <f t="shared" si="39"/>
        <v>398.44961697770418</v>
      </c>
      <c r="I85" s="223">
        <f t="shared" si="39"/>
        <v>397.3325248243396</v>
      </c>
      <c r="J85" s="223">
        <f t="shared" si="39"/>
        <v>266.81478432998699</v>
      </c>
      <c r="K85" s="223">
        <f t="shared" si="39"/>
        <v>344.28640060282362</v>
      </c>
      <c r="L85" s="223">
        <f t="shared" si="39"/>
        <v>411.54632225038898</v>
      </c>
      <c r="M85" s="223">
        <f t="shared" si="39"/>
        <v>171.0253066495012</v>
      </c>
      <c r="N85" s="223">
        <f t="shared" si="39"/>
        <v>366.87116791176169</v>
      </c>
      <c r="O85" s="223">
        <f t="shared" si="39"/>
        <v>444.9272847763126</v>
      </c>
      <c r="P85" s="223">
        <f t="shared" si="39"/>
        <v>426.68356359184941</v>
      </c>
      <c r="Q85" s="223">
        <f t="shared" si="39"/>
        <v>448.97542075331501</v>
      </c>
      <c r="R85" s="223">
        <f t="shared" si="39"/>
        <v>436.81280020137848</v>
      </c>
      <c r="S85" s="223">
        <f t="shared" si="39"/>
        <v>466.97624187920883</v>
      </c>
      <c r="T85" s="223">
        <f t="shared" si="39"/>
        <v>455.41875969457823</v>
      </c>
      <c r="U85" s="223">
        <f t="shared" si="39"/>
        <v>485.74895361823269</v>
      </c>
      <c r="V85" s="223">
        <f t="shared" si="39"/>
        <v>472.86923848662741</v>
      </c>
      <c r="W85" s="223">
        <f t="shared" si="39"/>
        <v>500.92553705629899</v>
      </c>
      <c r="X85" s="223">
        <f t="shared" si="39"/>
        <v>485.35827887159559</v>
      </c>
      <c r="Y85" s="223">
        <f t="shared" si="39"/>
        <v>515.73747237352495</v>
      </c>
      <c r="Z85" s="223">
        <f t="shared" si="39"/>
        <v>499.63209236652398</v>
      </c>
      <c r="AA85" s="72"/>
      <c r="AB85" s="76"/>
      <c r="AC85" s="222">
        <v>358.22191564321582</v>
      </c>
      <c r="AD85" s="222">
        <v>361.81960819373643</v>
      </c>
      <c r="AE85" s="222">
        <v>383.92784286467401</v>
      </c>
      <c r="AF85" s="222">
        <v>398.44961697770418</v>
      </c>
      <c r="AG85" s="222">
        <v>397.3325248243396</v>
      </c>
      <c r="AH85" s="222">
        <v>266.81478432998699</v>
      </c>
      <c r="AI85" s="222">
        <v>344.28640060282362</v>
      </c>
      <c r="AJ85" s="222">
        <v>411.54632225038898</v>
      </c>
      <c r="AK85" s="222">
        <v>171.0253066495012</v>
      </c>
      <c r="AL85" s="222">
        <v>366.87116791176169</v>
      </c>
      <c r="AM85" s="222">
        <v>444.9272847763126</v>
      </c>
      <c r="AN85" s="222">
        <v>426.68356359184941</v>
      </c>
      <c r="AO85" s="222">
        <v>448.97542075331501</v>
      </c>
      <c r="AP85" s="222">
        <v>436.81280020137848</v>
      </c>
      <c r="AQ85" s="222">
        <v>466.97624187920883</v>
      </c>
      <c r="AR85" s="222">
        <v>455.41875969457823</v>
      </c>
      <c r="AS85" s="222">
        <v>485.74895361823269</v>
      </c>
      <c r="AT85" s="222">
        <v>472.86923848662741</v>
      </c>
      <c r="AU85" s="222">
        <v>500.92553705629899</v>
      </c>
      <c r="AV85" s="222">
        <v>485.35827887159559</v>
      </c>
      <c r="AW85" s="222">
        <v>515.73747237352495</v>
      </c>
      <c r="AX85" s="222">
        <v>499.63209236652398</v>
      </c>
      <c r="AY85" s="76"/>
      <c r="AZ85" s="77" t="s">
        <v>1259</v>
      </c>
      <c r="BA85" s="77" t="s">
        <v>1355</v>
      </c>
      <c r="BB85" s="78" t="s">
        <v>1261</v>
      </c>
      <c r="BC85" s="76"/>
      <c r="BD85" s="79">
        <f>_xll.VAData($AZ85,BD$2,$BA85,$BB85)</f>
        <v>366.58696446125134</v>
      </c>
      <c r="BE85" s="79">
        <f>_xll.VAData($AZ85,BE$2,$BA85,$BB85)</f>
        <v>358.60365591597503</v>
      </c>
      <c r="BF85" s="79">
        <f>_xll.VAData($AZ85,BF$2,$BA85,$BB85)</f>
        <v>374.38338484493141</v>
      </c>
      <c r="BG85" s="79">
        <f>_xll.VAData($AZ85,BG$2,$BA85,$BB85)</f>
        <v>390.85574075448858</v>
      </c>
      <c r="BH85" s="79">
        <f>_xll.VAData($AZ85,BH$2,$BA85,$BB85)</f>
        <v>387.45503820257181</v>
      </c>
      <c r="BI85" s="79">
        <f>_xll.VAData($AZ85,BI$2,$BA85,$BB85)</f>
        <v>264.87001484587898</v>
      </c>
      <c r="BJ85" s="79">
        <f>_xll.VAData($AZ85,BJ$2,$BA85,$BB85)</f>
        <v>335.72685695928323</v>
      </c>
      <c r="BK85" s="79">
        <f>_xll.VAData($AZ85,BK$2,$BA85,$BB85)</f>
        <v>403.68892382054838</v>
      </c>
      <c r="BL85" s="79">
        <f>_xll.VAData($AZ85,BL$2,$BA85,$BB85)</f>
        <v>209.54377708767819</v>
      </c>
      <c r="BM85" s="79">
        <f>_xll.VAData($AZ85,BM$2,$BA85,$BB85)</f>
        <v>351.30734336334319</v>
      </c>
      <c r="BN85" s="79">
        <f>_xll.VAData($AZ85,BN$2,$BA85,$BB85)</f>
        <v>421.78963205424583</v>
      </c>
      <c r="BO85" s="79">
        <f>_xll.VAData($AZ85,BO$2,$BA85,$BB85)</f>
        <v>406.09481441676519</v>
      </c>
      <c r="BP85" s="79">
        <f>_xll.VAData($AZ85,BP$2,$BA85,$BB85)</f>
        <v>372.35327854296003</v>
      </c>
      <c r="BQ85" s="79">
        <f>_xll.VAData($AZ85,BQ$2,$BA85,$BB85)</f>
        <v>348.3614121059918</v>
      </c>
      <c r="BR85" s="79">
        <f>_xll.VAData($AZ85,BR$2,$BA85,$BB85)</f>
        <v>350.30204528530538</v>
      </c>
      <c r="BS85" s="79">
        <f>_xll.VAData($AZ85,BS$2,$BA85,$BB85)</f>
        <v>340.39948593606982</v>
      </c>
      <c r="BT85" s="79">
        <f>_xll.VAData($AZ85,BT$2,$BA85,$BB85)</f>
        <v>328.91122579777982</v>
      </c>
      <c r="BU85" s="79">
        <f>_xll.VAData($AZ85,BU$2,$BA85,$BB85)</f>
        <v>308.50274234259842</v>
      </c>
      <c r="BV85" s="79">
        <f>_xll.VAData($AZ85,BV$2,$BA85,$BB85)</f>
        <v>299.041020538449</v>
      </c>
      <c r="BW85" s="79">
        <f>_xll.VAData($AZ85,BW$2,$BA85,$BB85)</f>
        <v>312.3629478847576</v>
      </c>
      <c r="BX85" s="79">
        <f>_xll.VAData($AZ85,BX$2,$BA85,$BB85)</f>
        <v>319.98856129905278</v>
      </c>
      <c r="BY85" s="79">
        <f>_xll.VAData($AZ85,BY$2,$BA85,$BB85)</f>
        <v>318.21399638185898</v>
      </c>
    </row>
    <row r="86" spans="2:77">
      <c r="B86" s="74"/>
      <c r="C86" s="72" t="s">
        <v>72</v>
      </c>
      <c r="D86" s="225" t="s">
        <v>1343</v>
      </c>
      <c r="E86" s="226">
        <f>HY!E116</f>
        <v>328.72919873028087</v>
      </c>
      <c r="F86" s="226">
        <f>HY!F116</f>
        <v>379.74768371388063</v>
      </c>
      <c r="G86" s="226">
        <f>HY!G116</f>
        <v>352.26589553674489</v>
      </c>
      <c r="H86" s="226">
        <f>HY!H116</f>
        <v>408.91180389184967</v>
      </c>
      <c r="I86" s="226">
        <f>HY!I116</f>
        <v>364.5572816467872</v>
      </c>
      <c r="J86" s="226">
        <f>HY!J116</f>
        <v>289.56815861130025</v>
      </c>
      <c r="K86" s="226">
        <f>HY!K116</f>
        <v>315.91477491342823</v>
      </c>
      <c r="L86" s="226">
        <f>HY!L116</f>
        <v>423.24927883440091</v>
      </c>
      <c r="M86" s="226">
        <f>HY!M116</f>
        <v>156.91131204309349</v>
      </c>
      <c r="N86" s="226">
        <f>HY!N116</f>
        <v>333.64604214540657</v>
      </c>
      <c r="O86" s="226">
        <f>HY!O116</f>
        <v>407.60869565217394</v>
      </c>
      <c r="P86" s="226">
        <f>HY!P116</f>
        <v>396.3355009045128</v>
      </c>
      <c r="Q86" s="226">
        <f>HY!Q116</f>
        <v>384.46277414390153</v>
      </c>
      <c r="R86" s="226">
        <f>HY!R116</f>
        <v>364.0717689390255</v>
      </c>
      <c r="S86" s="226">
        <f>HY!S116</f>
        <v>374.88908606921029</v>
      </c>
      <c r="T86" s="226">
        <f>HY!T116</f>
        <v>372.40468405199493</v>
      </c>
      <c r="U86" s="226">
        <f>HY!U116</f>
        <v>351.43871213081502</v>
      </c>
      <c r="V86" s="226">
        <f>HY!V116</f>
        <v>332.13601146851795</v>
      </c>
      <c r="W86" s="226">
        <f>HY!W116</f>
        <v>365</v>
      </c>
      <c r="X86" s="226">
        <f>HY!X116</f>
        <v>358.70689238599942</v>
      </c>
      <c r="Y86" s="226">
        <f>HY!Y116</f>
        <v>385.07499999999999</v>
      </c>
      <c r="Z86" s="226">
        <f>HY!Z116</f>
        <v>378.43577146722936</v>
      </c>
      <c r="AA86" s="72"/>
      <c r="AB86" s="76"/>
      <c r="AC86" s="221"/>
      <c r="AD86" s="221"/>
      <c r="AE86" s="221"/>
      <c r="AF86" s="221"/>
      <c r="AG86" s="221"/>
      <c r="AH86" s="221"/>
      <c r="AI86" s="221"/>
      <c r="AJ86" s="221"/>
      <c r="AK86" s="221"/>
      <c r="AL86" s="221"/>
      <c r="AM86" s="221"/>
      <c r="AN86" s="221"/>
      <c r="AO86" s="221"/>
      <c r="AP86" s="221"/>
      <c r="AQ86" s="221"/>
      <c r="AR86" s="221"/>
      <c r="AS86" s="221"/>
      <c r="AT86" s="221"/>
      <c r="AU86" s="221"/>
      <c r="AV86" s="221"/>
      <c r="AW86" s="221"/>
      <c r="AX86" s="221"/>
      <c r="AY86" s="76"/>
      <c r="AZ86" s="77"/>
      <c r="BA86" s="77"/>
      <c r="BB86" s="78"/>
      <c r="BC86" s="76"/>
      <c r="BD86" s="221"/>
      <c r="BE86" s="221"/>
      <c r="BF86" s="221"/>
      <c r="BG86" s="221"/>
      <c r="BH86" s="221"/>
      <c r="BI86" s="221"/>
      <c r="BJ86" s="221"/>
      <c r="BK86" s="221"/>
      <c r="BL86" s="221"/>
      <c r="BM86" s="221"/>
      <c r="BN86" s="221"/>
      <c r="BO86" s="221"/>
      <c r="BP86" s="221"/>
      <c r="BQ86" s="221"/>
      <c r="BR86" s="221"/>
      <c r="BS86" s="221"/>
      <c r="BT86" s="221"/>
      <c r="BU86" s="221"/>
      <c r="BV86" s="221"/>
      <c r="BW86" s="221"/>
      <c r="BX86" s="221"/>
      <c r="BY86" s="221"/>
    </row>
    <row r="87" spans="2:77">
      <c r="B87" s="74"/>
      <c r="C87" s="81" t="s">
        <v>88</v>
      </c>
      <c r="D87" s="72" t="s">
        <v>1344</v>
      </c>
      <c r="E87" s="227">
        <f t="shared" ref="E87:Z87" si="40">IFERROR(ROUND(E85/E86-1,3),"")</f>
        <v>0.09</v>
      </c>
      <c r="F87" s="227">
        <f t="shared" si="40"/>
        <v>-4.7E-2</v>
      </c>
      <c r="G87" s="227">
        <f t="shared" si="40"/>
        <v>0.09</v>
      </c>
      <c r="H87" s="227">
        <f t="shared" si="40"/>
        <v>-2.5999999999999999E-2</v>
      </c>
      <c r="I87" s="227">
        <f t="shared" si="40"/>
        <v>0.09</v>
      </c>
      <c r="J87" s="227">
        <f t="shared" si="40"/>
        <v>-7.9000000000000001E-2</v>
      </c>
      <c r="K87" s="227">
        <f t="shared" si="40"/>
        <v>0.09</v>
      </c>
      <c r="L87" s="227">
        <f t="shared" si="40"/>
        <v>-2.8000000000000001E-2</v>
      </c>
      <c r="M87" s="227">
        <f t="shared" si="40"/>
        <v>0.09</v>
      </c>
      <c r="N87" s="227">
        <f t="shared" si="40"/>
        <v>0.1</v>
      </c>
      <c r="O87" s="227">
        <f t="shared" si="40"/>
        <v>9.1999999999999998E-2</v>
      </c>
      <c r="P87" s="227">
        <f t="shared" si="40"/>
        <v>7.6999999999999999E-2</v>
      </c>
      <c r="Q87" s="227">
        <f t="shared" si="40"/>
        <v>0.16800000000000001</v>
      </c>
      <c r="R87" s="227">
        <f t="shared" si="40"/>
        <v>0.2</v>
      </c>
      <c r="S87" s="227">
        <f t="shared" si="40"/>
        <v>0.246</v>
      </c>
      <c r="T87" s="227">
        <f t="shared" si="40"/>
        <v>0.223</v>
      </c>
      <c r="U87" s="227">
        <f t="shared" si="40"/>
        <v>0.38200000000000001</v>
      </c>
      <c r="V87" s="227">
        <f t="shared" si="40"/>
        <v>0.42399999999999999</v>
      </c>
      <c r="W87" s="227">
        <f t="shared" si="40"/>
        <v>0.372</v>
      </c>
      <c r="X87" s="227">
        <f t="shared" si="40"/>
        <v>0.35299999999999998</v>
      </c>
      <c r="Y87" s="227">
        <f t="shared" si="40"/>
        <v>0.33900000000000002</v>
      </c>
      <c r="Z87" s="227">
        <f t="shared" si="40"/>
        <v>0.32</v>
      </c>
      <c r="AA87" s="72"/>
      <c r="AB87" s="76"/>
      <c r="AC87" s="221"/>
      <c r="AD87" s="221"/>
      <c r="AE87" s="221"/>
      <c r="AF87" s="221"/>
      <c r="AG87" s="221"/>
      <c r="AH87" s="221"/>
      <c r="AI87" s="221"/>
      <c r="AJ87" s="221"/>
      <c r="AK87" s="221"/>
      <c r="AL87" s="221"/>
      <c r="AM87" s="221"/>
      <c r="AN87" s="221"/>
      <c r="AO87" s="221"/>
      <c r="AP87" s="221"/>
      <c r="AQ87" s="221"/>
      <c r="AR87" s="221"/>
      <c r="AS87" s="221"/>
      <c r="AT87" s="221"/>
      <c r="AU87" s="221"/>
      <c r="AV87" s="221"/>
      <c r="AW87" s="221"/>
      <c r="AX87" s="221"/>
      <c r="AY87" s="76"/>
      <c r="AZ87" s="77"/>
      <c r="BA87" s="77"/>
      <c r="BB87" s="78"/>
      <c r="BC87" s="76"/>
      <c r="BD87" s="221"/>
      <c r="BE87" s="221"/>
      <c r="BF87" s="221"/>
      <c r="BG87" s="221"/>
      <c r="BH87" s="221"/>
      <c r="BI87" s="221"/>
      <c r="BJ87" s="221"/>
      <c r="BK87" s="221"/>
      <c r="BL87" s="221"/>
      <c r="BM87" s="221"/>
      <c r="BN87" s="221"/>
      <c r="BO87" s="221"/>
      <c r="BP87" s="221"/>
      <c r="BQ87" s="221"/>
      <c r="BR87" s="221"/>
      <c r="BS87" s="221"/>
      <c r="BT87" s="221"/>
      <c r="BU87" s="221"/>
      <c r="BV87" s="221"/>
      <c r="BW87" s="221"/>
      <c r="BX87" s="221"/>
      <c r="BY87" s="221"/>
    </row>
    <row r="88" spans="2:77">
      <c r="B88" s="74"/>
      <c r="C88" s="81"/>
      <c r="D88" s="72"/>
      <c r="E88" s="227"/>
      <c r="F88" s="227"/>
      <c r="G88" s="227"/>
      <c r="H88" s="227"/>
      <c r="I88" s="227"/>
      <c r="J88" s="227"/>
      <c r="K88" s="227"/>
      <c r="L88" s="227"/>
      <c r="M88" s="227"/>
      <c r="N88" s="227"/>
      <c r="O88" s="227"/>
      <c r="P88" s="227"/>
      <c r="Q88" s="227"/>
      <c r="R88" s="227"/>
      <c r="S88" s="227"/>
      <c r="T88" s="227"/>
      <c r="U88" s="227"/>
      <c r="V88" s="227"/>
      <c r="W88" s="227"/>
      <c r="X88" s="227"/>
      <c r="Y88" s="227"/>
      <c r="Z88" s="227"/>
      <c r="AA88" s="72"/>
      <c r="AB88" s="76"/>
      <c r="AC88" s="221"/>
      <c r="AD88" s="221"/>
      <c r="AE88" s="221"/>
      <c r="AF88" s="221"/>
      <c r="AG88" s="221"/>
      <c r="AH88" s="221"/>
      <c r="AI88" s="221"/>
      <c r="AJ88" s="221"/>
      <c r="AK88" s="221"/>
      <c r="AL88" s="221"/>
      <c r="AM88" s="221"/>
      <c r="AN88" s="221"/>
      <c r="AO88" s="221"/>
      <c r="AP88" s="221"/>
      <c r="AQ88" s="221"/>
      <c r="AR88" s="221"/>
      <c r="AS88" s="221"/>
      <c r="AT88" s="221"/>
      <c r="AU88" s="221"/>
      <c r="AV88" s="221"/>
      <c r="AW88" s="221"/>
      <c r="AX88" s="221"/>
      <c r="AY88" s="76"/>
      <c r="AZ88" s="77"/>
      <c r="BA88" s="77"/>
      <c r="BB88" s="78"/>
      <c r="BC88" s="76"/>
      <c r="BD88" s="221"/>
      <c r="BE88" s="221"/>
      <c r="BF88" s="221"/>
      <c r="BG88" s="221"/>
      <c r="BH88" s="221"/>
      <c r="BI88" s="221"/>
      <c r="BJ88" s="221"/>
      <c r="BK88" s="221"/>
      <c r="BL88" s="221"/>
      <c r="BM88" s="221"/>
      <c r="BN88" s="221"/>
      <c r="BO88" s="221"/>
      <c r="BP88" s="221"/>
      <c r="BQ88" s="221"/>
      <c r="BR88" s="221"/>
      <c r="BS88" s="221"/>
      <c r="BT88" s="221"/>
      <c r="BU88" s="221"/>
      <c r="BV88" s="221"/>
      <c r="BW88" s="221"/>
      <c r="BX88" s="221"/>
      <c r="BY88" s="221"/>
    </row>
    <row r="89" spans="2:77">
      <c r="B89" s="237" t="s">
        <v>1356</v>
      </c>
      <c r="C89" s="81"/>
      <c r="D89" s="72"/>
      <c r="E89" s="227"/>
      <c r="F89" s="227"/>
      <c r="G89" s="227"/>
      <c r="H89" s="227"/>
      <c r="I89" s="227"/>
      <c r="J89" s="227"/>
      <c r="K89" s="227"/>
      <c r="L89" s="227"/>
      <c r="M89" s="227"/>
      <c r="N89" s="227"/>
      <c r="O89" s="227"/>
      <c r="P89" s="227"/>
      <c r="Q89" s="227"/>
      <c r="R89" s="227"/>
      <c r="S89" s="227"/>
      <c r="T89" s="227"/>
      <c r="U89" s="227"/>
      <c r="V89" s="227"/>
      <c r="W89" s="227"/>
      <c r="X89" s="227"/>
      <c r="Y89" s="227"/>
      <c r="Z89" s="227"/>
      <c r="AA89" s="72"/>
      <c r="AB89" s="76"/>
      <c r="AC89" s="221"/>
      <c r="AD89" s="221"/>
      <c r="AE89" s="221"/>
      <c r="AF89" s="221"/>
      <c r="AG89" s="221"/>
      <c r="AH89" s="221"/>
      <c r="AI89" s="221"/>
      <c r="AJ89" s="221"/>
      <c r="AK89" s="221"/>
      <c r="AL89" s="221"/>
      <c r="AM89" s="221"/>
      <c r="AN89" s="221"/>
      <c r="AO89" s="221"/>
      <c r="AP89" s="221"/>
      <c r="AQ89" s="221"/>
      <c r="AR89" s="221"/>
      <c r="AS89" s="221"/>
      <c r="AT89" s="221"/>
      <c r="AU89" s="221"/>
      <c r="AV89" s="221"/>
      <c r="AW89" s="221"/>
      <c r="AX89" s="221"/>
      <c r="AY89" s="76"/>
      <c r="AZ89" s="77"/>
      <c r="BA89" s="77"/>
      <c r="BB89" s="78"/>
      <c r="BC89" s="76"/>
      <c r="BD89" s="221"/>
      <c r="BE89" s="221"/>
      <c r="BF89" s="221"/>
      <c r="BG89" s="221"/>
      <c r="BH89" s="221"/>
      <c r="BI89" s="221"/>
      <c r="BJ89" s="221"/>
      <c r="BK89" s="221"/>
      <c r="BL89" s="221"/>
      <c r="BM89" s="221"/>
      <c r="BN89" s="221"/>
      <c r="BO89" s="221"/>
      <c r="BP89" s="221"/>
      <c r="BQ89" s="221"/>
      <c r="BR89" s="221"/>
      <c r="BS89" s="221"/>
      <c r="BT89" s="221"/>
      <c r="BU89" s="221"/>
      <c r="BV89" s="221"/>
      <c r="BW89" s="221"/>
      <c r="BX89" s="221"/>
      <c r="BY89" s="221"/>
    </row>
    <row r="90" spans="2:77">
      <c r="B90" s="74"/>
      <c r="C90" s="81"/>
      <c r="D90" s="72"/>
      <c r="E90" s="227"/>
      <c r="F90" s="227"/>
      <c r="G90" s="227"/>
      <c r="H90" s="227"/>
      <c r="I90" s="227"/>
      <c r="J90" s="227"/>
      <c r="K90" s="227"/>
      <c r="L90" s="227"/>
      <c r="M90" s="227"/>
      <c r="N90" s="227"/>
      <c r="O90" s="227"/>
      <c r="P90" s="227"/>
      <c r="Q90" s="227"/>
      <c r="R90" s="227"/>
      <c r="S90" s="227"/>
      <c r="T90" s="227"/>
      <c r="U90" s="227"/>
      <c r="V90" s="227"/>
      <c r="W90" s="227"/>
      <c r="X90" s="227"/>
      <c r="Y90" s="227"/>
      <c r="Z90" s="227"/>
      <c r="AA90" s="72"/>
      <c r="AB90" s="76"/>
      <c r="AC90" s="221"/>
      <c r="AD90" s="221"/>
      <c r="AE90" s="221"/>
      <c r="AF90" s="221"/>
      <c r="AG90" s="221"/>
      <c r="AH90" s="221"/>
      <c r="AI90" s="221"/>
      <c r="AJ90" s="221"/>
      <c r="AK90" s="221"/>
      <c r="AL90" s="221"/>
      <c r="AM90" s="221"/>
      <c r="AN90" s="221"/>
      <c r="AO90" s="221"/>
      <c r="AP90" s="221"/>
      <c r="AQ90" s="221"/>
      <c r="AR90" s="221"/>
      <c r="AS90" s="221"/>
      <c r="AT90" s="221"/>
      <c r="AU90" s="221"/>
      <c r="AV90" s="221"/>
      <c r="AW90" s="221"/>
      <c r="AX90" s="221"/>
      <c r="AY90" s="76"/>
      <c r="AZ90" s="77"/>
      <c r="BA90" s="77"/>
      <c r="BB90" s="78"/>
      <c r="BC90" s="76"/>
      <c r="BD90" s="221"/>
      <c r="BE90" s="221"/>
      <c r="BF90" s="221"/>
      <c r="BG90" s="221"/>
      <c r="BH90" s="221"/>
      <c r="BI90" s="221"/>
      <c r="BJ90" s="221"/>
      <c r="BK90" s="221"/>
      <c r="BL90" s="221"/>
      <c r="BM90" s="221"/>
      <c r="BN90" s="221"/>
      <c r="BO90" s="221"/>
      <c r="BP90" s="221"/>
      <c r="BQ90" s="221"/>
      <c r="BR90" s="221"/>
      <c r="BS90" s="221"/>
      <c r="BT90" s="221"/>
      <c r="BU90" s="221"/>
      <c r="BV90" s="221"/>
      <c r="BW90" s="221"/>
      <c r="BX90" s="221"/>
      <c r="BY90" s="221"/>
    </row>
    <row r="91" spans="2:77">
      <c r="B91" s="74" t="str">
        <f>BA91</f>
        <v>Total revenue - Table - Auckland</v>
      </c>
      <c r="C91" s="72" t="s">
        <v>72</v>
      </c>
      <c r="D91" s="224" t="s">
        <v>1342</v>
      </c>
      <c r="E91" s="223">
        <f t="shared" ref="E91:Z91" si="41">AC91</f>
        <v>81.099999999999994</v>
      </c>
      <c r="F91" s="223">
        <f t="shared" si="41"/>
        <v>80.843190180608701</v>
      </c>
      <c r="G91" s="223">
        <f t="shared" si="41"/>
        <v>85</v>
      </c>
      <c r="H91" s="223">
        <f t="shared" si="41"/>
        <v>78.354306141857123</v>
      </c>
      <c r="I91" s="223">
        <f t="shared" si="41"/>
        <v>85.5</v>
      </c>
      <c r="J91" s="223">
        <f t="shared" si="41"/>
        <v>42.5</v>
      </c>
      <c r="K91" s="223">
        <f t="shared" si="41"/>
        <v>63.1</v>
      </c>
      <c r="L91" s="223">
        <f t="shared" si="41"/>
        <v>70</v>
      </c>
      <c r="M91" s="223">
        <f t="shared" si="41"/>
        <v>23.5</v>
      </c>
      <c r="N91" s="223">
        <f t="shared" si="41"/>
        <v>51.5</v>
      </c>
      <c r="O91" s="223">
        <f t="shared" si="41"/>
        <v>66.2</v>
      </c>
      <c r="P91" s="223">
        <f t="shared" si="41"/>
        <v>73.400000000000006</v>
      </c>
      <c r="Q91" s="223">
        <f t="shared" si="41"/>
        <v>73.458970397639177</v>
      </c>
      <c r="R91" s="223">
        <f t="shared" si="41"/>
        <v>74.404911871700719</v>
      </c>
      <c r="S91" s="223">
        <f t="shared" si="41"/>
        <v>75.848719679499325</v>
      </c>
      <c r="T91" s="223">
        <f t="shared" si="41"/>
        <v>76.304052722093772</v>
      </c>
      <c r="U91" s="223">
        <f t="shared" si="41"/>
        <v>77.82366606422984</v>
      </c>
      <c r="V91" s="223">
        <f t="shared" si="41"/>
        <v>78.461027913545664</v>
      </c>
      <c r="W91" s="223">
        <f t="shared" si="41"/>
        <v>80.545857380781626</v>
      </c>
      <c r="X91" s="223">
        <f t="shared" si="41"/>
        <v>80.79165586272326</v>
      </c>
      <c r="Y91" s="223">
        <f t="shared" si="41"/>
        <v>82.924711875985096</v>
      </c>
      <c r="Z91" s="223">
        <f t="shared" si="41"/>
        <v>83.320829421041637</v>
      </c>
      <c r="AA91" s="72"/>
      <c r="AB91" s="76"/>
      <c r="AC91" s="222">
        <v>81.099999999999994</v>
      </c>
      <c r="AD91" s="222">
        <v>80.843190180608701</v>
      </c>
      <c r="AE91" s="222">
        <v>85</v>
      </c>
      <c r="AF91" s="222">
        <v>78.354306141857123</v>
      </c>
      <c r="AG91" s="222">
        <v>85.5</v>
      </c>
      <c r="AH91" s="222">
        <v>42.5</v>
      </c>
      <c r="AI91" s="222">
        <v>63.1</v>
      </c>
      <c r="AJ91" s="222">
        <v>70</v>
      </c>
      <c r="AK91" s="222">
        <v>23.5</v>
      </c>
      <c r="AL91" s="222">
        <v>51.5</v>
      </c>
      <c r="AM91" s="222">
        <v>66.2</v>
      </c>
      <c r="AN91" s="222">
        <v>73.400000000000006</v>
      </c>
      <c r="AO91" s="222">
        <v>73.458970397639177</v>
      </c>
      <c r="AP91" s="222">
        <v>74.404911871700719</v>
      </c>
      <c r="AQ91" s="222">
        <v>75.848719679499325</v>
      </c>
      <c r="AR91" s="222">
        <v>76.304052722093772</v>
      </c>
      <c r="AS91" s="222">
        <v>77.82366606422984</v>
      </c>
      <c r="AT91" s="222">
        <v>78.461027913545664</v>
      </c>
      <c r="AU91" s="222">
        <v>80.545857380781626</v>
      </c>
      <c r="AV91" s="222">
        <v>80.79165586272326</v>
      </c>
      <c r="AW91" s="222">
        <v>82.924711875985096</v>
      </c>
      <c r="AX91" s="222">
        <v>83.320829421041637</v>
      </c>
      <c r="AY91" s="76"/>
      <c r="AZ91" s="77" t="s">
        <v>1259</v>
      </c>
      <c r="BA91" s="77" t="s">
        <v>1357</v>
      </c>
      <c r="BB91" s="78" t="s">
        <v>1261</v>
      </c>
      <c r="BC91" s="76"/>
      <c r="BD91" s="79">
        <f>_xll.VAData($AZ91,BD$2,$BA91,$BB91)</f>
        <v>78.4304347826087</v>
      </c>
      <c r="BE91" s="79">
        <f>_xll.VAData($AZ91,BE$2,$BA91,$BB91)</f>
        <v>78.217752662217407</v>
      </c>
      <c r="BF91" s="79">
        <f>_xll.VAData($AZ91,BF$2,$BA91,$BB91)</f>
        <v>80.545248339288534</v>
      </c>
      <c r="BG91" s="79">
        <f>_xll.VAData($AZ91,BG$2,$BA91,$BB91)</f>
        <v>76.201458674576386</v>
      </c>
      <c r="BH91" s="79">
        <f>_xll.VAData($AZ91,BH$2,$BA91,$BB91)</f>
        <v>81.054754810604379</v>
      </c>
      <c r="BI91" s="79">
        <f>_xll.VAData($AZ91,BI$2,$BA91,$BB91)</f>
        <v>42.217339062489941</v>
      </c>
      <c r="BJ91" s="79">
        <f>_xll.VAData($AZ91,BJ$2,$BA91,$BB91)</f>
        <v>59.819156963269521</v>
      </c>
      <c r="BK91" s="79">
        <f>_xll.VAData($AZ91,BK$2,$BA91,$BB91)</f>
        <v>65.677069644007673</v>
      </c>
      <c r="BL91" s="79">
        <f>_xll.VAData($AZ91,BL$2,$BA91,$BB91)</f>
        <v>23.5</v>
      </c>
      <c r="BM91" s="79">
        <f>_xll.VAData($AZ91,BM$2,$BA91,$BB91)</f>
        <v>51.5</v>
      </c>
      <c r="BN91" s="79">
        <f>_xll.VAData($AZ91,BN$2,$BA91,$BB91)</f>
        <v>64.099999999999994</v>
      </c>
      <c r="BO91" s="79">
        <f>_xll.VAData($AZ91,BO$2,$BA91,$BB91)</f>
        <v>64.7</v>
      </c>
      <c r="BP91" s="79">
        <f>_xll.VAData($AZ91,BP$2,$BA91,$BB91)</f>
        <v>79</v>
      </c>
      <c r="BQ91" s="79">
        <f>_xll.VAData($AZ91,BQ$2,$BA91,$BB91)</f>
        <v>68.2</v>
      </c>
      <c r="BR91" s="79">
        <f>_xll.VAData($AZ91,BR$2,$BA91,$BB91)</f>
        <v>63</v>
      </c>
      <c r="BS91" s="79">
        <f>_xll.VAData($AZ91,BS$2,$BA91,$BB91)</f>
        <v>60.9</v>
      </c>
      <c r="BT91" s="79">
        <f>_xll.VAData($AZ91,BT$2,$BA91,$BB91)</f>
        <v>53.7</v>
      </c>
      <c r="BU91" s="79">
        <f>_xll.VAData($AZ91,BU$2,$BA91,$BB91)</f>
        <v>49.6</v>
      </c>
      <c r="BV91" s="79">
        <f>_xll.VAData($AZ91,BV$2,$BA91,$BB91)</f>
        <v>48.119405275000183</v>
      </c>
      <c r="BW91" s="79">
        <f>_xll.VAData($AZ91,BW$2,$BA91,$BB91)</f>
        <v>49.89754967899934</v>
      </c>
      <c r="BX91" s="79">
        <f>_xll.VAData($AZ91,BX$2,$BA91,$BB91)</f>
        <v>50.653035533372176</v>
      </c>
      <c r="BY91" s="79">
        <f>_xll.VAData($AZ91,BY$2,$BA91,$BB91)</f>
        <v>50.442504585615197</v>
      </c>
    </row>
    <row r="92" spans="2:77">
      <c r="B92" s="74"/>
      <c r="C92" s="72" t="s">
        <v>72</v>
      </c>
      <c r="D92" s="225" t="s">
        <v>1343</v>
      </c>
      <c r="E92" s="226">
        <f>HY!E154</f>
        <v>70.556999999999988</v>
      </c>
      <c r="F92" s="226">
        <f>HY!F154</f>
        <v>79.46841000000002</v>
      </c>
      <c r="G92" s="226">
        <f>HY!G154</f>
        <v>73.95</v>
      </c>
      <c r="H92" s="226">
        <f>HY!H154</f>
        <v>77.734500000000011</v>
      </c>
      <c r="I92" s="226">
        <f>HY!I154</f>
        <v>74.385000000000005</v>
      </c>
      <c r="J92" s="226">
        <f>HY!J154</f>
        <v>46.645049999999998</v>
      </c>
      <c r="K92" s="226">
        <f>HY!K154</f>
        <v>54.896999999999998</v>
      </c>
      <c r="L92" s="226">
        <f>HY!L154</f>
        <v>68.036609999999996</v>
      </c>
      <c r="M92" s="226">
        <f>HY!M154</f>
        <v>20.445</v>
      </c>
      <c r="N92" s="226">
        <f>HY!N154</f>
        <v>44.805</v>
      </c>
      <c r="O92" s="226">
        <f>HY!O154</f>
        <v>57.7</v>
      </c>
      <c r="P92" s="226">
        <f>HY!P154</f>
        <v>63.899999999999991</v>
      </c>
      <c r="Q92" s="226">
        <f>HY!Q154</f>
        <v>66.400000000000006</v>
      </c>
      <c r="R92" s="226">
        <f>HY!R154</f>
        <v>61.199999999999989</v>
      </c>
      <c r="S92" s="226">
        <f>HY!S154</f>
        <v>57.1</v>
      </c>
      <c r="T92" s="226">
        <f>HY!T154</f>
        <v>57.6</v>
      </c>
      <c r="U92" s="226">
        <f>HY!U154</f>
        <v>54.5</v>
      </c>
      <c r="V92" s="226">
        <f>HY!V154</f>
        <v>49.900000000000006</v>
      </c>
      <c r="W92" s="226">
        <f>HY!W154</f>
        <v>47</v>
      </c>
      <c r="X92" s="226">
        <f>HY!X154</f>
        <v>48</v>
      </c>
      <c r="Y92" s="226">
        <f>HY!Y154</f>
        <v>49</v>
      </c>
      <c r="Z92" s="226">
        <f>HY!Z154</f>
        <v>49.92</v>
      </c>
      <c r="AA92" s="72"/>
      <c r="AB92" s="76"/>
      <c r="AC92" s="221"/>
      <c r="AD92" s="221"/>
      <c r="AE92" s="221"/>
      <c r="AF92" s="221"/>
      <c r="AG92" s="221"/>
      <c r="AH92" s="221"/>
      <c r="AI92" s="221"/>
      <c r="AJ92" s="221"/>
      <c r="AK92" s="221"/>
      <c r="AL92" s="221"/>
      <c r="AM92" s="221"/>
      <c r="AN92" s="221"/>
      <c r="AO92" s="221"/>
      <c r="AP92" s="221"/>
      <c r="AQ92" s="221"/>
      <c r="AR92" s="221"/>
      <c r="AS92" s="221"/>
      <c r="AT92" s="221"/>
      <c r="AU92" s="221"/>
      <c r="AV92" s="221"/>
      <c r="AW92" s="221"/>
      <c r="AX92" s="221"/>
      <c r="AY92" s="76"/>
      <c r="AZ92" s="77"/>
      <c r="BA92" s="77"/>
      <c r="BB92" s="78"/>
      <c r="BC92" s="76"/>
      <c r="BD92" s="221"/>
      <c r="BE92" s="221"/>
      <c r="BF92" s="221"/>
      <c r="BG92" s="221"/>
      <c r="BH92" s="221"/>
      <c r="BI92" s="221"/>
      <c r="BJ92" s="221"/>
      <c r="BK92" s="221"/>
      <c r="BL92" s="221"/>
      <c r="BM92" s="221"/>
      <c r="BN92" s="221"/>
      <c r="BO92" s="221"/>
      <c r="BP92" s="221"/>
      <c r="BQ92" s="221"/>
      <c r="BR92" s="221"/>
      <c r="BS92" s="221"/>
      <c r="BT92" s="221"/>
      <c r="BU92" s="221"/>
      <c r="BV92" s="221"/>
      <c r="BW92" s="221"/>
      <c r="BX92" s="221"/>
      <c r="BY92" s="221"/>
    </row>
    <row r="93" spans="2:77">
      <c r="B93" s="74"/>
      <c r="C93" s="81" t="s">
        <v>88</v>
      </c>
      <c r="D93" s="72" t="s">
        <v>1344</v>
      </c>
      <c r="E93" s="227">
        <f t="shared" ref="E93:Z93" si="42">IFERROR(ROUND(E91/E92-1,3),"")</f>
        <v>0.14899999999999999</v>
      </c>
      <c r="F93" s="227">
        <f t="shared" si="42"/>
        <v>1.7000000000000001E-2</v>
      </c>
      <c r="G93" s="227">
        <f t="shared" si="42"/>
        <v>0.14899999999999999</v>
      </c>
      <c r="H93" s="227">
        <f t="shared" si="42"/>
        <v>8.0000000000000002E-3</v>
      </c>
      <c r="I93" s="227">
        <f t="shared" si="42"/>
        <v>0.14899999999999999</v>
      </c>
      <c r="J93" s="227">
        <f t="shared" si="42"/>
        <v>-8.8999999999999996E-2</v>
      </c>
      <c r="K93" s="227">
        <f t="shared" si="42"/>
        <v>0.14899999999999999</v>
      </c>
      <c r="L93" s="227">
        <f t="shared" si="42"/>
        <v>2.9000000000000001E-2</v>
      </c>
      <c r="M93" s="227">
        <f t="shared" si="42"/>
        <v>0.14899999999999999</v>
      </c>
      <c r="N93" s="227">
        <f t="shared" si="42"/>
        <v>0.14899999999999999</v>
      </c>
      <c r="O93" s="227">
        <f t="shared" si="42"/>
        <v>0.14699999999999999</v>
      </c>
      <c r="P93" s="227">
        <f t="shared" si="42"/>
        <v>0.14899999999999999</v>
      </c>
      <c r="Q93" s="227">
        <f t="shared" si="42"/>
        <v>0.106</v>
      </c>
      <c r="R93" s="227">
        <f t="shared" si="42"/>
        <v>0.216</v>
      </c>
      <c r="S93" s="227">
        <f t="shared" si="42"/>
        <v>0.32800000000000001</v>
      </c>
      <c r="T93" s="227">
        <f t="shared" si="42"/>
        <v>0.32500000000000001</v>
      </c>
      <c r="U93" s="227">
        <f t="shared" si="42"/>
        <v>0.42799999999999999</v>
      </c>
      <c r="V93" s="227">
        <f t="shared" si="42"/>
        <v>0.57199999999999995</v>
      </c>
      <c r="W93" s="227">
        <f t="shared" si="42"/>
        <v>0.71399999999999997</v>
      </c>
      <c r="X93" s="227">
        <f t="shared" si="42"/>
        <v>0.68300000000000005</v>
      </c>
      <c r="Y93" s="227">
        <f t="shared" si="42"/>
        <v>0.69199999999999995</v>
      </c>
      <c r="Z93" s="227">
        <f t="shared" si="42"/>
        <v>0.66900000000000004</v>
      </c>
      <c r="AA93" s="72"/>
      <c r="AB93" s="76"/>
      <c r="AC93" s="221"/>
      <c r="AD93" s="221"/>
      <c r="AE93" s="221"/>
      <c r="AF93" s="221"/>
      <c r="AG93" s="221"/>
      <c r="AH93" s="221"/>
      <c r="AI93" s="221"/>
      <c r="AJ93" s="221"/>
      <c r="AK93" s="221"/>
      <c r="AL93" s="221"/>
      <c r="AM93" s="221"/>
      <c r="AN93" s="221"/>
      <c r="AO93" s="221"/>
      <c r="AP93" s="221"/>
      <c r="AQ93" s="221"/>
      <c r="AR93" s="221"/>
      <c r="AS93" s="221"/>
      <c r="AT93" s="221"/>
      <c r="AU93" s="221"/>
      <c r="AV93" s="221"/>
      <c r="AW93" s="221"/>
      <c r="AX93" s="221"/>
      <c r="AY93" s="76"/>
      <c r="AZ93" s="77"/>
      <c r="BA93" s="77"/>
      <c r="BB93" s="78"/>
      <c r="BC93" s="76"/>
      <c r="BD93" s="221"/>
      <c r="BE93" s="221"/>
      <c r="BF93" s="221"/>
      <c r="BG93" s="221"/>
      <c r="BH93" s="221"/>
      <c r="BI93" s="221"/>
      <c r="BJ93" s="221"/>
      <c r="BK93" s="221"/>
      <c r="BL93" s="221"/>
      <c r="BM93" s="221"/>
      <c r="BN93" s="221"/>
      <c r="BO93" s="221"/>
      <c r="BP93" s="221"/>
      <c r="BQ93" s="221"/>
      <c r="BR93" s="221"/>
      <c r="BS93" s="221"/>
      <c r="BT93" s="221"/>
      <c r="BU93" s="221"/>
      <c r="BV93" s="221"/>
      <c r="BW93" s="221"/>
      <c r="BX93" s="221"/>
      <c r="BY93" s="221"/>
    </row>
    <row r="94" spans="2:77">
      <c r="B94" s="74"/>
      <c r="C94" s="72"/>
      <c r="D94" s="72"/>
      <c r="E94" s="75"/>
      <c r="F94" s="75"/>
      <c r="G94" s="75"/>
      <c r="H94" s="75"/>
      <c r="I94" s="75"/>
      <c r="J94" s="75"/>
      <c r="K94" s="75"/>
      <c r="L94" s="75"/>
      <c r="M94" s="75"/>
      <c r="N94" s="75"/>
      <c r="O94" s="75"/>
      <c r="P94" s="75"/>
      <c r="Q94" s="75"/>
      <c r="R94" s="75"/>
      <c r="S94" s="75"/>
      <c r="T94" s="75"/>
      <c r="U94" s="75"/>
      <c r="V94" s="75"/>
      <c r="W94" s="75"/>
      <c r="X94" s="75"/>
      <c r="Y94" s="75"/>
      <c r="Z94" s="75"/>
      <c r="AA94" s="72"/>
      <c r="AB94" s="76"/>
      <c r="AC94" s="221"/>
      <c r="AD94" s="221"/>
      <c r="AE94" s="221"/>
      <c r="AF94" s="221"/>
      <c r="AG94" s="221"/>
      <c r="AH94" s="221"/>
      <c r="AI94" s="221"/>
      <c r="AJ94" s="221"/>
      <c r="AK94" s="221"/>
      <c r="AL94" s="221"/>
      <c r="AM94" s="221"/>
      <c r="AN94" s="221"/>
      <c r="AO94" s="221"/>
      <c r="AP94" s="221"/>
      <c r="AQ94" s="221"/>
      <c r="AR94" s="221"/>
      <c r="AS94" s="221"/>
      <c r="AT94" s="221"/>
      <c r="AU94" s="221"/>
      <c r="AV94" s="221"/>
      <c r="AW94" s="221"/>
      <c r="AX94" s="221"/>
      <c r="AY94" s="76"/>
      <c r="AZ94" s="77"/>
      <c r="BA94" s="77"/>
      <c r="BB94" s="78"/>
      <c r="BC94" s="76"/>
      <c r="BD94" s="221"/>
      <c r="BE94" s="221"/>
      <c r="BF94" s="221"/>
      <c r="BG94" s="221"/>
      <c r="BH94" s="221"/>
      <c r="BI94" s="221"/>
      <c r="BJ94" s="221"/>
      <c r="BK94" s="221"/>
      <c r="BL94" s="221"/>
      <c r="BM94" s="221"/>
      <c r="BN94" s="221"/>
      <c r="BO94" s="221"/>
      <c r="BP94" s="221"/>
      <c r="BQ94" s="221"/>
      <c r="BR94" s="221"/>
      <c r="BS94" s="221"/>
      <c r="BT94" s="221"/>
      <c r="BU94" s="221"/>
      <c r="BV94" s="221"/>
      <c r="BW94" s="221"/>
      <c r="BX94" s="221"/>
      <c r="BY94" s="221"/>
    </row>
    <row r="95" spans="2:77">
      <c r="B95" s="74" t="str">
        <f>BA95</f>
        <v>Number of tables - Auckland</v>
      </c>
      <c r="C95" s="72" t="s">
        <v>72</v>
      </c>
      <c r="D95" s="224" t="s">
        <v>1342</v>
      </c>
      <c r="E95" s="223">
        <f t="shared" ref="E95:Z95" si="43">AC95</f>
        <v>142.16666666666671</v>
      </c>
      <c r="F95" s="223">
        <f t="shared" si="43"/>
        <v>142.16666666666671</v>
      </c>
      <c r="G95" s="223">
        <f t="shared" si="43"/>
        <v>142.16666666666671</v>
      </c>
      <c r="H95" s="223">
        <f t="shared" si="43"/>
        <v>142.16666666666671</v>
      </c>
      <c r="I95" s="223">
        <f t="shared" si="43"/>
        <v>150</v>
      </c>
      <c r="J95" s="223">
        <f t="shared" si="43"/>
        <v>150</v>
      </c>
      <c r="K95" s="223">
        <f t="shared" si="43"/>
        <v>150</v>
      </c>
      <c r="L95" s="223">
        <f t="shared" si="43"/>
        <v>150</v>
      </c>
      <c r="M95" s="223">
        <f t="shared" si="43"/>
        <v>150</v>
      </c>
      <c r="N95" s="223">
        <f t="shared" si="43"/>
        <v>150</v>
      </c>
      <c r="O95" s="223">
        <f t="shared" si="43"/>
        <v>150</v>
      </c>
      <c r="P95" s="223">
        <f t="shared" si="43"/>
        <v>150</v>
      </c>
      <c r="Q95" s="223">
        <f t="shared" si="43"/>
        <v>148.4</v>
      </c>
      <c r="R95" s="223">
        <f t="shared" si="43"/>
        <v>148.4</v>
      </c>
      <c r="S95" s="223">
        <f t="shared" si="43"/>
        <v>148</v>
      </c>
      <c r="T95" s="223">
        <f t="shared" si="43"/>
        <v>148</v>
      </c>
      <c r="U95" s="223">
        <f t="shared" si="43"/>
        <v>147.33333333333329</v>
      </c>
      <c r="V95" s="223">
        <f t="shared" si="43"/>
        <v>147.33333333333329</v>
      </c>
      <c r="W95" s="223">
        <f t="shared" si="43"/>
        <v>147.33333333333329</v>
      </c>
      <c r="X95" s="223">
        <f t="shared" si="43"/>
        <v>147.33333333333329</v>
      </c>
      <c r="Y95" s="223">
        <f t="shared" si="43"/>
        <v>147.33333333333329</v>
      </c>
      <c r="Z95" s="223">
        <f t="shared" si="43"/>
        <v>147.33333333333329</v>
      </c>
      <c r="AA95" s="72"/>
      <c r="AB95" s="76"/>
      <c r="AC95" s="222">
        <v>142.16666666666671</v>
      </c>
      <c r="AD95" s="222">
        <v>142.16666666666671</v>
      </c>
      <c r="AE95" s="222">
        <v>142.16666666666671</v>
      </c>
      <c r="AF95" s="222">
        <v>142.16666666666671</v>
      </c>
      <c r="AG95" s="222">
        <v>150</v>
      </c>
      <c r="AH95" s="222">
        <v>150</v>
      </c>
      <c r="AI95" s="222">
        <v>150</v>
      </c>
      <c r="AJ95" s="222">
        <v>150</v>
      </c>
      <c r="AK95" s="222">
        <v>150</v>
      </c>
      <c r="AL95" s="222">
        <v>150</v>
      </c>
      <c r="AM95" s="222">
        <v>150</v>
      </c>
      <c r="AN95" s="222">
        <v>150</v>
      </c>
      <c r="AO95" s="222">
        <v>148.4</v>
      </c>
      <c r="AP95" s="222">
        <v>148.4</v>
      </c>
      <c r="AQ95" s="222">
        <v>148</v>
      </c>
      <c r="AR95" s="222">
        <v>148</v>
      </c>
      <c r="AS95" s="222">
        <v>147.33333333333329</v>
      </c>
      <c r="AT95" s="222">
        <v>147.33333333333329</v>
      </c>
      <c r="AU95" s="222">
        <v>147.33333333333329</v>
      </c>
      <c r="AV95" s="222">
        <v>147.33333333333329</v>
      </c>
      <c r="AW95" s="222">
        <v>147.33333333333329</v>
      </c>
      <c r="AX95" s="222">
        <v>147.33333333333329</v>
      </c>
      <c r="AY95" s="76"/>
      <c r="AZ95" s="77" t="s">
        <v>1259</v>
      </c>
      <c r="BA95" s="77" t="s">
        <v>1358</v>
      </c>
      <c r="BB95" s="78" t="s">
        <v>1261</v>
      </c>
      <c r="BC95" s="76"/>
      <c r="BD95" s="79">
        <f>_xll.VAData($AZ95,BD$2,$BA95,$BB95)</f>
        <v>142</v>
      </c>
      <c r="BE95" s="79">
        <f>_xll.VAData($AZ95,BE$2,$BA95,$BB95)</f>
        <v>142</v>
      </c>
      <c r="BF95" s="79">
        <f>_xll.VAData($AZ95,BF$2,$BA95,$BB95)</f>
        <v>142</v>
      </c>
      <c r="BG95" s="79">
        <f>_xll.VAData($AZ95,BG$2,$BA95,$BB95)</f>
        <v>142</v>
      </c>
      <c r="BH95" s="79">
        <f>_xll.VAData($AZ95,BH$2,$BA95,$BB95)</f>
        <v>142</v>
      </c>
      <c r="BI95" s="79">
        <f>_xll.VAData($AZ95,BI$2,$BA95,$BB95)</f>
        <v>142</v>
      </c>
      <c r="BJ95" s="79">
        <f>_xll.VAData($AZ95,BJ$2,$BA95,$BB95)</f>
        <v>142</v>
      </c>
      <c r="BK95" s="79">
        <f>_xll.VAData($AZ95,BK$2,$BA95,$BB95)</f>
        <v>142</v>
      </c>
      <c r="BL95" s="79">
        <f>_xll.VAData($AZ95,BL$2,$BA95,$BB95)</f>
        <v>142</v>
      </c>
      <c r="BM95" s="79">
        <f>_xll.VAData($AZ95,BM$2,$BA95,$BB95)</f>
        <v>147.33333333333334</v>
      </c>
      <c r="BN95" s="79">
        <f>_xll.VAData($AZ95,BN$2,$BA95,$BB95)</f>
        <v>147.33333333333334</v>
      </c>
      <c r="BO95" s="79">
        <f>_xll.VAData($AZ95,BO$2,$BA95,$BB95)</f>
        <v>147.33333333333334</v>
      </c>
      <c r="BP95" s="79">
        <f>_xll.VAData($AZ95,BP$2,$BA95,$BB95)</f>
        <v>148</v>
      </c>
      <c r="BQ95" s="79">
        <f>_xll.VAData($AZ95,BQ$2,$BA95,$BB95)</f>
        <v>148</v>
      </c>
      <c r="BR95" s="79">
        <f>_xll.VAData($AZ95,BR$2,$BA95,$BB95)</f>
        <v>148</v>
      </c>
      <c r="BS95" s="79">
        <f>_xll.VAData($AZ95,BS$2,$BA95,$BB95)</f>
        <v>148</v>
      </c>
      <c r="BT95" s="79">
        <f>_xll.VAData($AZ95,BT$2,$BA95,$BB95)</f>
        <v>148</v>
      </c>
      <c r="BU95" s="79">
        <f>_xll.VAData($AZ95,BU$2,$BA95,$BB95)</f>
        <v>148</v>
      </c>
      <c r="BV95" s="79">
        <f>_xll.VAData($AZ95,BV$2,$BA95,$BB95)</f>
        <v>147.33333333333334</v>
      </c>
      <c r="BW95" s="79">
        <f>_xll.VAData($AZ95,BW$2,$BA95,$BB95)</f>
        <v>147.33333333333334</v>
      </c>
      <c r="BX95" s="79">
        <f>_xll.VAData($AZ95,BX$2,$BA95,$BB95)</f>
        <v>147.33333333333334</v>
      </c>
      <c r="BY95" s="79">
        <f>_xll.VAData($AZ95,BY$2,$BA95,$BB95)</f>
        <v>147.33333333333334</v>
      </c>
    </row>
    <row r="96" spans="2:77">
      <c r="B96" s="228" t="s">
        <v>1359</v>
      </c>
      <c r="C96" s="72" t="s">
        <v>72</v>
      </c>
      <c r="D96" s="225" t="s">
        <v>1343</v>
      </c>
      <c r="E96" s="226">
        <f>HY!E136</f>
        <v>297</v>
      </c>
      <c r="F96" s="226">
        <f>HY!F136</f>
        <v>297</v>
      </c>
      <c r="G96" s="226">
        <f>HY!G136</f>
        <v>297</v>
      </c>
      <c r="H96" s="226">
        <f>HY!H136</f>
        <v>297</v>
      </c>
      <c r="I96" s="226">
        <f>HY!I136</f>
        <v>297</v>
      </c>
      <c r="J96" s="226">
        <f>HY!J136</f>
        <v>297</v>
      </c>
      <c r="K96" s="226">
        <f>HY!K136</f>
        <v>297</v>
      </c>
      <c r="L96" s="226">
        <f>HY!L136</f>
        <v>297</v>
      </c>
      <c r="M96" s="226">
        <f>HY!M136</f>
        <v>297</v>
      </c>
      <c r="N96" s="226">
        <f>HY!N136</f>
        <v>297</v>
      </c>
      <c r="O96" s="226">
        <f>HY!O136</f>
        <v>297</v>
      </c>
      <c r="P96" s="226">
        <f>HY!P136</f>
        <v>297</v>
      </c>
      <c r="Q96" s="226">
        <f>HY!Q136</f>
        <v>297</v>
      </c>
      <c r="R96" s="226">
        <f>HY!R136</f>
        <v>297</v>
      </c>
      <c r="S96" s="226">
        <f>HY!S136</f>
        <v>297</v>
      </c>
      <c r="T96" s="226">
        <f>HY!T136</f>
        <v>297</v>
      </c>
      <c r="U96" s="226">
        <f>HY!U136</f>
        <v>297</v>
      </c>
      <c r="V96" s="226">
        <f>HY!V136</f>
        <v>297</v>
      </c>
      <c r="W96" s="226">
        <f>HY!W136</f>
        <v>297</v>
      </c>
      <c r="X96" s="226">
        <f>HY!X136</f>
        <v>297</v>
      </c>
      <c r="Y96" s="226">
        <f>HY!Y136</f>
        <v>297</v>
      </c>
      <c r="Z96" s="226">
        <f>HY!Z136</f>
        <v>297</v>
      </c>
      <c r="AA96" s="72"/>
      <c r="AB96" s="76"/>
      <c r="AC96" s="221"/>
      <c r="AD96" s="221"/>
      <c r="AE96" s="221"/>
      <c r="AF96" s="221"/>
      <c r="AG96" s="221"/>
      <c r="AH96" s="221"/>
      <c r="AI96" s="221"/>
      <c r="AJ96" s="221"/>
      <c r="AK96" s="221"/>
      <c r="AL96" s="221"/>
      <c r="AM96" s="221"/>
      <c r="AN96" s="221"/>
      <c r="AO96" s="221"/>
      <c r="AP96" s="221"/>
      <c r="AQ96" s="221"/>
      <c r="AR96" s="221"/>
      <c r="AS96" s="221"/>
      <c r="AT96" s="221"/>
      <c r="AU96" s="221"/>
      <c r="AV96" s="221"/>
      <c r="AW96" s="221"/>
      <c r="AX96" s="221"/>
      <c r="AY96" s="76"/>
      <c r="AZ96" s="77"/>
      <c r="BA96" s="77"/>
      <c r="BB96" s="78"/>
      <c r="BC96" s="76"/>
      <c r="BD96" s="221"/>
      <c r="BE96" s="221"/>
      <c r="BF96" s="221"/>
      <c r="BG96" s="221"/>
      <c r="BH96" s="221"/>
      <c r="BI96" s="221"/>
      <c r="BJ96" s="221"/>
      <c r="BK96" s="221"/>
      <c r="BL96" s="221"/>
      <c r="BM96" s="221"/>
      <c r="BN96" s="221"/>
      <c r="BO96" s="221"/>
      <c r="BP96" s="221"/>
      <c r="BQ96" s="221"/>
      <c r="BR96" s="221"/>
      <c r="BS96" s="221"/>
      <c r="BT96" s="221"/>
      <c r="BU96" s="221"/>
      <c r="BV96" s="221"/>
      <c r="BW96" s="221"/>
      <c r="BX96" s="221"/>
      <c r="BY96" s="221"/>
    </row>
    <row r="97" spans="2:77">
      <c r="B97" s="74"/>
      <c r="C97" s="81" t="s">
        <v>88</v>
      </c>
      <c r="D97" s="72" t="s">
        <v>1344</v>
      </c>
      <c r="E97" s="227">
        <f t="shared" ref="E97:Z97" si="44">IFERROR(ROUND(E95/E96-1,3),"")</f>
        <v>-0.52100000000000002</v>
      </c>
      <c r="F97" s="227">
        <f t="shared" si="44"/>
        <v>-0.52100000000000002</v>
      </c>
      <c r="G97" s="227">
        <f t="shared" si="44"/>
        <v>-0.52100000000000002</v>
      </c>
      <c r="H97" s="227">
        <f t="shared" si="44"/>
        <v>-0.52100000000000002</v>
      </c>
      <c r="I97" s="227">
        <f t="shared" si="44"/>
        <v>-0.495</v>
      </c>
      <c r="J97" s="227">
        <f t="shared" si="44"/>
        <v>-0.495</v>
      </c>
      <c r="K97" s="227">
        <f t="shared" si="44"/>
        <v>-0.495</v>
      </c>
      <c r="L97" s="227">
        <f t="shared" si="44"/>
        <v>-0.495</v>
      </c>
      <c r="M97" s="227">
        <f t="shared" si="44"/>
        <v>-0.495</v>
      </c>
      <c r="N97" s="227">
        <f t="shared" si="44"/>
        <v>-0.495</v>
      </c>
      <c r="O97" s="227">
        <f t="shared" si="44"/>
        <v>-0.495</v>
      </c>
      <c r="P97" s="227">
        <f t="shared" si="44"/>
        <v>-0.495</v>
      </c>
      <c r="Q97" s="227">
        <f t="shared" si="44"/>
        <v>-0.5</v>
      </c>
      <c r="R97" s="227">
        <f t="shared" si="44"/>
        <v>-0.5</v>
      </c>
      <c r="S97" s="227">
        <f t="shared" si="44"/>
        <v>-0.502</v>
      </c>
      <c r="T97" s="227">
        <f t="shared" si="44"/>
        <v>-0.502</v>
      </c>
      <c r="U97" s="227">
        <f t="shared" si="44"/>
        <v>-0.504</v>
      </c>
      <c r="V97" s="227">
        <f t="shared" si="44"/>
        <v>-0.504</v>
      </c>
      <c r="W97" s="227">
        <f t="shared" si="44"/>
        <v>-0.504</v>
      </c>
      <c r="X97" s="227">
        <f t="shared" si="44"/>
        <v>-0.504</v>
      </c>
      <c r="Y97" s="227">
        <f t="shared" si="44"/>
        <v>-0.504</v>
      </c>
      <c r="Z97" s="227">
        <f t="shared" si="44"/>
        <v>-0.504</v>
      </c>
      <c r="AA97" s="72"/>
      <c r="AB97" s="76"/>
      <c r="AC97" s="221"/>
      <c r="AD97" s="221"/>
      <c r="AE97" s="221"/>
      <c r="AF97" s="221"/>
      <c r="AG97" s="221"/>
      <c r="AH97" s="221"/>
      <c r="AI97" s="221"/>
      <c r="AJ97" s="221"/>
      <c r="AK97" s="221"/>
      <c r="AL97" s="221"/>
      <c r="AM97" s="221"/>
      <c r="AN97" s="221"/>
      <c r="AO97" s="221"/>
      <c r="AP97" s="221"/>
      <c r="AQ97" s="221"/>
      <c r="AR97" s="221"/>
      <c r="AS97" s="221"/>
      <c r="AT97" s="221"/>
      <c r="AU97" s="221"/>
      <c r="AV97" s="221"/>
      <c r="AW97" s="221"/>
      <c r="AX97" s="221"/>
      <c r="AY97" s="76"/>
      <c r="AZ97" s="77"/>
      <c r="BA97" s="77"/>
      <c r="BB97" s="78"/>
      <c r="BC97" s="76"/>
      <c r="BD97" s="221"/>
      <c r="BE97" s="221"/>
      <c r="BF97" s="221"/>
      <c r="BG97" s="221"/>
      <c r="BH97" s="221"/>
      <c r="BI97" s="221"/>
      <c r="BJ97" s="221"/>
      <c r="BK97" s="221"/>
      <c r="BL97" s="221"/>
      <c r="BM97" s="221"/>
      <c r="BN97" s="221"/>
      <c r="BO97" s="221"/>
      <c r="BP97" s="221"/>
      <c r="BQ97" s="221"/>
      <c r="BR97" s="221"/>
      <c r="BS97" s="221"/>
      <c r="BT97" s="221"/>
      <c r="BU97" s="221"/>
      <c r="BV97" s="221"/>
      <c r="BW97" s="221"/>
      <c r="BX97" s="221"/>
      <c r="BY97" s="221"/>
    </row>
    <row r="98" spans="2:77">
      <c r="B98" s="74"/>
      <c r="C98" s="72"/>
      <c r="D98" s="72"/>
      <c r="E98" s="75"/>
      <c r="F98" s="75"/>
      <c r="G98" s="75"/>
      <c r="H98" s="75"/>
      <c r="I98" s="75"/>
      <c r="J98" s="75"/>
      <c r="K98" s="75"/>
      <c r="L98" s="75"/>
      <c r="M98" s="75"/>
      <c r="N98" s="75"/>
      <c r="O98" s="75"/>
      <c r="P98" s="75"/>
      <c r="Q98" s="75"/>
      <c r="R98" s="75"/>
      <c r="S98" s="75"/>
      <c r="T98" s="75"/>
      <c r="U98" s="75"/>
      <c r="V98" s="75"/>
      <c r="W98" s="75"/>
      <c r="X98" s="75"/>
      <c r="Y98" s="75"/>
      <c r="Z98" s="75"/>
      <c r="AA98" s="72"/>
      <c r="AB98" s="76"/>
      <c r="AC98" s="221"/>
      <c r="AD98" s="221"/>
      <c r="AE98" s="221"/>
      <c r="AF98" s="221"/>
      <c r="AG98" s="221"/>
      <c r="AH98" s="221"/>
      <c r="AI98" s="221"/>
      <c r="AJ98" s="221"/>
      <c r="AK98" s="221"/>
      <c r="AL98" s="221"/>
      <c r="AM98" s="221"/>
      <c r="AN98" s="221"/>
      <c r="AO98" s="221"/>
      <c r="AP98" s="221"/>
      <c r="AQ98" s="221"/>
      <c r="AR98" s="221"/>
      <c r="AS98" s="221"/>
      <c r="AT98" s="221"/>
      <c r="AU98" s="221"/>
      <c r="AV98" s="221"/>
      <c r="AW98" s="221"/>
      <c r="AX98" s="221"/>
      <c r="AY98" s="76"/>
      <c r="AZ98" s="77"/>
      <c r="BA98" s="77"/>
      <c r="BB98" s="78"/>
      <c r="BC98" s="76"/>
      <c r="BD98" s="221"/>
      <c r="BE98" s="221"/>
      <c r="BF98" s="221"/>
      <c r="BG98" s="221"/>
      <c r="BH98" s="221"/>
      <c r="BI98" s="221"/>
      <c r="BJ98" s="221"/>
      <c r="BK98" s="221"/>
      <c r="BL98" s="221"/>
      <c r="BM98" s="221"/>
      <c r="BN98" s="221"/>
      <c r="BO98" s="221"/>
      <c r="BP98" s="221"/>
      <c r="BQ98" s="221"/>
      <c r="BR98" s="221"/>
      <c r="BS98" s="221"/>
      <c r="BT98" s="221"/>
      <c r="BU98" s="221"/>
      <c r="BV98" s="221"/>
      <c r="BW98" s="221"/>
      <c r="BX98" s="221"/>
      <c r="BY98" s="221"/>
    </row>
    <row r="99" spans="2:77">
      <c r="B99" s="74" t="str">
        <f>BA99</f>
        <v>Table games win per unit per day - Auckland</v>
      </c>
      <c r="C99" s="72" t="s">
        <v>72</v>
      </c>
      <c r="D99" s="224" t="s">
        <v>1342</v>
      </c>
      <c r="E99" s="223">
        <f t="shared" ref="E99:Z99" si="45">AC99</f>
        <v>2986.460483184756</v>
      </c>
      <c r="F99" s="223">
        <f t="shared" si="45"/>
        <v>2970.6201405442898</v>
      </c>
      <c r="G99" s="223">
        <f t="shared" si="45"/>
        <v>3117.4417372564899</v>
      </c>
      <c r="H99" s="223">
        <f t="shared" si="45"/>
        <v>2866.10909705325</v>
      </c>
      <c r="I99" s="223">
        <f t="shared" si="45"/>
        <v>3133.1329084781978</v>
      </c>
      <c r="J99" s="223">
        <f t="shared" si="45"/>
        <v>1529.36108486484</v>
      </c>
      <c r="K99" s="223">
        <f t="shared" si="45"/>
        <v>2294.0173337422302</v>
      </c>
      <c r="L99" s="223">
        <f t="shared" si="45"/>
        <v>2431.1849330685882</v>
      </c>
      <c r="M99" s="223">
        <f t="shared" si="45"/>
        <v>838.84219896553998</v>
      </c>
      <c r="N99" s="223">
        <f t="shared" si="45"/>
        <v>1704.802115349687</v>
      </c>
      <c r="O99" s="223">
        <f t="shared" si="45"/>
        <v>2285.6008063666118</v>
      </c>
      <c r="P99" s="223">
        <f t="shared" si="45"/>
        <v>2562.01517457216</v>
      </c>
      <c r="Q99" s="223">
        <f t="shared" si="45"/>
        <v>2547.1489762325118</v>
      </c>
      <c r="R99" s="223">
        <f t="shared" si="45"/>
        <v>2594.4309084484839</v>
      </c>
      <c r="S99" s="223">
        <f t="shared" si="45"/>
        <v>2590.5951828162219</v>
      </c>
      <c r="T99" s="223">
        <f t="shared" si="45"/>
        <v>2627.4001001798119</v>
      </c>
      <c r="U99" s="223">
        <f t="shared" si="45"/>
        <v>2588.1990874549001</v>
      </c>
      <c r="V99" s="223">
        <f t="shared" si="45"/>
        <v>2645.1538434415229</v>
      </c>
      <c r="W99" s="223">
        <f t="shared" si="45"/>
        <v>2679.8842388693001</v>
      </c>
      <c r="X99" s="223">
        <f t="shared" si="45"/>
        <v>2723.6538403937998</v>
      </c>
      <c r="Y99" s="223">
        <f t="shared" si="45"/>
        <v>2758.9213013172671</v>
      </c>
      <c r="Z99" s="223">
        <f t="shared" si="45"/>
        <v>2803.5994684772431</v>
      </c>
      <c r="AA99" s="72"/>
      <c r="AB99" s="76"/>
      <c r="AC99" s="222">
        <v>2986.460483184756</v>
      </c>
      <c r="AD99" s="222">
        <v>2970.6201405442898</v>
      </c>
      <c r="AE99" s="222">
        <v>3117.4417372564899</v>
      </c>
      <c r="AF99" s="222">
        <v>2866.10909705325</v>
      </c>
      <c r="AG99" s="222">
        <v>3133.1329084781978</v>
      </c>
      <c r="AH99" s="222">
        <v>1529.36108486484</v>
      </c>
      <c r="AI99" s="222">
        <v>2294.0173337422302</v>
      </c>
      <c r="AJ99" s="222">
        <v>2431.1849330685882</v>
      </c>
      <c r="AK99" s="222">
        <v>838.84219896553998</v>
      </c>
      <c r="AL99" s="222">
        <v>1704.802115349687</v>
      </c>
      <c r="AM99" s="222">
        <v>2285.6008063666118</v>
      </c>
      <c r="AN99" s="222">
        <v>2562.01517457216</v>
      </c>
      <c r="AO99" s="222">
        <v>2547.1489762325118</v>
      </c>
      <c r="AP99" s="222">
        <v>2594.4309084484839</v>
      </c>
      <c r="AQ99" s="222">
        <v>2590.5951828162219</v>
      </c>
      <c r="AR99" s="222">
        <v>2627.4001001798119</v>
      </c>
      <c r="AS99" s="222">
        <v>2588.1990874549001</v>
      </c>
      <c r="AT99" s="222">
        <v>2645.1538434415229</v>
      </c>
      <c r="AU99" s="222">
        <v>2679.8842388693001</v>
      </c>
      <c r="AV99" s="222">
        <v>2723.6538403937998</v>
      </c>
      <c r="AW99" s="222">
        <v>2758.9213013172671</v>
      </c>
      <c r="AX99" s="222">
        <v>2803.5994684772431</v>
      </c>
      <c r="AY99" s="76"/>
      <c r="AZ99" s="77" t="s">
        <v>1259</v>
      </c>
      <c r="BA99" s="77" t="s">
        <v>1360</v>
      </c>
      <c r="BB99" s="78" t="s">
        <v>1261</v>
      </c>
      <c r="BC99" s="76"/>
      <c r="BD99" s="79">
        <f>_xll.VAData($AZ99,BD$2,$BA99,$BB99)</f>
        <v>3217.3668374578265</v>
      </c>
      <c r="BE99" s="79">
        <f>_xll.VAData($AZ99,BE$2,$BA99,$BB99)</f>
        <v>3044.6215388993023</v>
      </c>
      <c r="BF99" s="79">
        <f>_xll.VAData($AZ99,BF$2,$BA99,$BB99)</f>
        <v>3190.1974046272449</v>
      </c>
      <c r="BG99" s="79">
        <f>_xll.VAData($AZ99,BG$2,$BA99,$BB99)</f>
        <v>2955.7565717347547</v>
      </c>
      <c r="BH99" s="79">
        <f>_xll.VAData($AZ99,BH$2,$BA99,$BB99)</f>
        <v>3210.63276436775</v>
      </c>
      <c r="BI99" s="79">
        <f>_xll.VAData($AZ99,BI$2,$BA99,$BB99)</f>
        <v>1600.5998754599075</v>
      </c>
      <c r="BJ99" s="79">
        <f>_xll.VAData($AZ99,BJ$2,$BA99,$BB99)</f>
        <v>2369.4747998358698</v>
      </c>
      <c r="BK99" s="79">
        <f>_xll.VAData($AZ99,BK$2,$BA99,$BB99)</f>
        <v>2539.3919607153625</v>
      </c>
      <c r="BL99" s="79">
        <f>_xll.VAData($AZ99,BL$2,$BA99,$BB99)</f>
        <v>1144.2122607015322</v>
      </c>
      <c r="BM99" s="79">
        <f>_xll.VAData($AZ99,BM$2,$BA99,$BB99)</f>
        <v>1845.3863283605101</v>
      </c>
      <c r="BN99" s="79">
        <f>_xll.VAData($AZ99,BN$2,$BA99,$BB99)</f>
        <v>2256.4113541137199</v>
      </c>
      <c r="BO99" s="79">
        <f>_xll.VAData($AZ99,BO$2,$BA99,$BB99)</f>
        <v>2513.5884234632267</v>
      </c>
      <c r="BP99" s="79">
        <f>_xll.VAData($AZ99,BP$2,$BA99,$BB99)</f>
        <v>2631.6872476091398</v>
      </c>
      <c r="BQ99" s="79">
        <f>_xll.VAData($AZ99,BQ$2,$BA99,$BB99)</f>
        <v>2509.9733974170299</v>
      </c>
      <c r="BR99" s="79">
        <f>_xll.VAData($AZ99,BR$2,$BA99,$BB99)</f>
        <v>2212.9603930100134</v>
      </c>
      <c r="BS99" s="79">
        <f>_xll.VAData($AZ99,BS$2,$BA99,$BB99)</f>
        <v>2179.7034361535634</v>
      </c>
      <c r="BT99" s="79">
        <f>_xll.VAData($AZ99,BT$2,$BA99,$BB99)</f>
        <v>2016.7774945928168</v>
      </c>
      <c r="BU99" s="79">
        <f>_xll.VAData($AZ99,BU$2,$BA99,$BB99)</f>
        <v>1865.4876265379432</v>
      </c>
      <c r="BV99" s="79">
        <f>_xll.VAData($AZ99,BV$2,$BA99,$BB99)</f>
        <v>1725.5744301991867</v>
      </c>
      <c r="BW99" s="79">
        <f>_xll.VAData($AZ99,BW$2,$BA99,$BB99)</f>
        <v>1808.7858831263966</v>
      </c>
      <c r="BX99" s="79">
        <f>_xll.VAData($AZ99,BX$2,$BA99,$BB99)</f>
        <v>1839.64520662772</v>
      </c>
      <c r="BY99" s="79">
        <f>_xll.VAData($AZ99,BY$2,$BA99,$BB99)</f>
        <v>1834.0109310823734</v>
      </c>
    </row>
    <row r="100" spans="2:77">
      <c r="B100" s="74"/>
      <c r="C100" s="72" t="s">
        <v>72</v>
      </c>
      <c r="D100" s="225" t="s">
        <v>1343</v>
      </c>
      <c r="E100" s="226">
        <f>HY!E145</f>
        <v>1291.1176987263941</v>
      </c>
      <c r="F100" s="226">
        <f>HY!F145</f>
        <v>1478.2895250851054</v>
      </c>
      <c r="G100" s="226">
        <f>HY!G145</f>
        <v>1353.2059727711901</v>
      </c>
      <c r="H100" s="226">
        <f>HY!H145</f>
        <v>1446.0349349852115</v>
      </c>
      <c r="I100" s="226">
        <f>HY!I145</f>
        <v>1361.1660079051383</v>
      </c>
      <c r="J100" s="226">
        <f>HY!J145</f>
        <v>862.93428793428791</v>
      </c>
      <c r="K100" s="226">
        <f>HY!K145</f>
        <v>1004.55643390426</v>
      </c>
      <c r="L100" s="226">
        <f>HY!L145</f>
        <v>1265.63256878174</v>
      </c>
      <c r="M100" s="226">
        <f>HY!M145</f>
        <v>374.12165129556439</v>
      </c>
      <c r="N100" s="226">
        <f>HY!N145</f>
        <v>833.47285004743571</v>
      </c>
      <c r="O100" s="226">
        <f>HY!O145</f>
        <v>1055.8483384570341</v>
      </c>
      <c r="P100" s="226">
        <f>HY!P145</f>
        <v>1188.6824041520174</v>
      </c>
      <c r="Q100" s="226">
        <f>HY!Q145</f>
        <v>1215.0490411359976</v>
      </c>
      <c r="R100" s="226">
        <f>HY!R145</f>
        <v>1132.2011322011319</v>
      </c>
      <c r="S100" s="226">
        <f>HY!S145</f>
        <v>1044.8689796515882</v>
      </c>
      <c r="T100" s="226">
        <f>HY!T145</f>
        <v>1071.4883643060439</v>
      </c>
      <c r="U100" s="226">
        <f>HY!U145</f>
        <v>997.2917581613234</v>
      </c>
      <c r="V100" s="226">
        <f>HY!V145</f>
        <v>928.25120449429869</v>
      </c>
      <c r="W100" s="226">
        <f>HY!W145</f>
        <v>1020</v>
      </c>
      <c r="X100" s="226">
        <f>HY!X145</f>
        <v>1080</v>
      </c>
      <c r="Y100" s="226">
        <f>HY!Y145</f>
        <v>1060.8</v>
      </c>
      <c r="Z100" s="226">
        <f>HY!Z145</f>
        <v>1123.2</v>
      </c>
      <c r="AA100" s="72"/>
      <c r="AB100" s="76"/>
      <c r="AC100" s="221"/>
      <c r="AD100" s="221"/>
      <c r="AE100" s="221"/>
      <c r="AF100" s="221"/>
      <c r="AG100" s="221"/>
      <c r="AH100" s="221"/>
      <c r="AI100" s="221"/>
      <c r="AJ100" s="221"/>
      <c r="AK100" s="221"/>
      <c r="AL100" s="221"/>
      <c r="AM100" s="221"/>
      <c r="AN100" s="221"/>
      <c r="AO100" s="221"/>
      <c r="AP100" s="221"/>
      <c r="AQ100" s="221"/>
      <c r="AR100" s="221"/>
      <c r="AS100" s="221"/>
      <c r="AT100" s="221"/>
      <c r="AU100" s="221"/>
      <c r="AV100" s="221"/>
      <c r="AW100" s="221"/>
      <c r="AX100" s="221"/>
      <c r="AY100" s="76"/>
      <c r="AZ100" s="77"/>
      <c r="BA100" s="77"/>
      <c r="BB100" s="78"/>
      <c r="BC100" s="76"/>
      <c r="BD100" s="221"/>
      <c r="BE100" s="221"/>
      <c r="BF100" s="221"/>
      <c r="BG100" s="221"/>
      <c r="BH100" s="221"/>
      <c r="BI100" s="221"/>
      <c r="BJ100" s="221"/>
      <c r="BK100" s="221"/>
      <c r="BL100" s="221"/>
      <c r="BM100" s="221"/>
      <c r="BN100" s="221"/>
      <c r="BO100" s="221"/>
      <c r="BP100" s="221"/>
      <c r="BQ100" s="221"/>
      <c r="BR100" s="221"/>
      <c r="BS100" s="221"/>
      <c r="BT100" s="221"/>
      <c r="BU100" s="221"/>
      <c r="BV100" s="221"/>
      <c r="BW100" s="221"/>
      <c r="BX100" s="221"/>
      <c r="BY100" s="221"/>
    </row>
    <row r="101" spans="2:77">
      <c r="B101" s="74"/>
      <c r="C101" s="81" t="s">
        <v>88</v>
      </c>
      <c r="D101" s="72" t="s">
        <v>1344</v>
      </c>
      <c r="E101" s="227">
        <f t="shared" ref="E101:Z101" si="46">IFERROR(ROUND(E99/E100-1,3),"")</f>
        <v>1.3129999999999999</v>
      </c>
      <c r="F101" s="227">
        <f t="shared" si="46"/>
        <v>1.0089999999999999</v>
      </c>
      <c r="G101" s="227">
        <f t="shared" si="46"/>
        <v>1.304</v>
      </c>
      <c r="H101" s="227">
        <f t="shared" si="46"/>
        <v>0.98199999999999998</v>
      </c>
      <c r="I101" s="227">
        <f t="shared" si="46"/>
        <v>1.302</v>
      </c>
      <c r="J101" s="227">
        <f t="shared" si="46"/>
        <v>0.77200000000000002</v>
      </c>
      <c r="K101" s="227">
        <f t="shared" si="46"/>
        <v>1.284</v>
      </c>
      <c r="L101" s="227">
        <f t="shared" si="46"/>
        <v>0.92100000000000004</v>
      </c>
      <c r="M101" s="227">
        <f t="shared" si="46"/>
        <v>1.242</v>
      </c>
      <c r="N101" s="227">
        <f t="shared" si="46"/>
        <v>1.0449999999999999</v>
      </c>
      <c r="O101" s="227">
        <f t="shared" si="46"/>
        <v>1.165</v>
      </c>
      <c r="P101" s="227">
        <f t="shared" si="46"/>
        <v>1.155</v>
      </c>
      <c r="Q101" s="227">
        <f t="shared" si="46"/>
        <v>1.0960000000000001</v>
      </c>
      <c r="R101" s="227">
        <f t="shared" si="46"/>
        <v>1.2909999999999999</v>
      </c>
      <c r="S101" s="227">
        <f t="shared" si="46"/>
        <v>1.4790000000000001</v>
      </c>
      <c r="T101" s="227">
        <f t="shared" si="46"/>
        <v>1.452</v>
      </c>
      <c r="U101" s="227">
        <f t="shared" si="46"/>
        <v>1.595</v>
      </c>
      <c r="V101" s="227">
        <f t="shared" si="46"/>
        <v>1.85</v>
      </c>
      <c r="W101" s="227">
        <f t="shared" si="46"/>
        <v>1.627</v>
      </c>
      <c r="X101" s="227">
        <f t="shared" si="46"/>
        <v>1.522</v>
      </c>
      <c r="Y101" s="227">
        <f t="shared" si="46"/>
        <v>1.601</v>
      </c>
      <c r="Z101" s="227">
        <f t="shared" si="46"/>
        <v>1.496</v>
      </c>
      <c r="AA101" s="72"/>
      <c r="AB101" s="76"/>
      <c r="AC101" s="221"/>
      <c r="AD101" s="221"/>
      <c r="AE101" s="221"/>
      <c r="AF101" s="221"/>
      <c r="AG101" s="221"/>
      <c r="AH101" s="221"/>
      <c r="AI101" s="221"/>
      <c r="AJ101" s="221"/>
      <c r="AK101" s="221"/>
      <c r="AL101" s="221"/>
      <c r="AM101" s="221"/>
      <c r="AN101" s="221"/>
      <c r="AO101" s="221"/>
      <c r="AP101" s="221"/>
      <c r="AQ101" s="221"/>
      <c r="AR101" s="221"/>
      <c r="AS101" s="221"/>
      <c r="AT101" s="221"/>
      <c r="AU101" s="221"/>
      <c r="AV101" s="221"/>
      <c r="AW101" s="221"/>
      <c r="AX101" s="221"/>
      <c r="AY101" s="76"/>
      <c r="AZ101" s="77"/>
      <c r="BA101" s="77"/>
      <c r="BB101" s="78"/>
      <c r="BC101" s="76"/>
      <c r="BD101" s="221"/>
      <c r="BE101" s="221"/>
      <c r="BF101" s="221"/>
      <c r="BG101" s="221"/>
      <c r="BH101" s="221"/>
      <c r="BI101" s="221"/>
      <c r="BJ101" s="221"/>
      <c r="BK101" s="221"/>
      <c r="BL101" s="221"/>
      <c r="BM101" s="221"/>
      <c r="BN101" s="221"/>
      <c r="BO101" s="221"/>
      <c r="BP101" s="221"/>
      <c r="BQ101" s="221"/>
      <c r="BR101" s="221"/>
      <c r="BS101" s="221"/>
      <c r="BT101" s="221"/>
      <c r="BU101" s="221"/>
      <c r="BV101" s="221"/>
      <c r="BW101" s="221"/>
      <c r="BX101" s="221"/>
      <c r="BY101" s="221"/>
    </row>
    <row r="103" spans="2:77">
      <c r="B103" s="237" t="s">
        <v>1361</v>
      </c>
    </row>
    <row r="105" spans="2:77">
      <c r="B105" s="74" t="str">
        <f>BA105</f>
        <v>Total revenue - Non-Gaming - Auckland</v>
      </c>
      <c r="C105" s="72" t="s">
        <v>72</v>
      </c>
      <c r="D105" s="224" t="s">
        <v>1342</v>
      </c>
      <c r="E105" s="223">
        <f t="shared" ref="E105:Z105" si="47">AC105</f>
        <v>83.224331500000005</v>
      </c>
      <c r="F105" s="223">
        <f t="shared" si="47"/>
        <v>87.285081249439997</v>
      </c>
      <c r="G105" s="223">
        <f t="shared" si="47"/>
        <v>88.1</v>
      </c>
      <c r="H105" s="223">
        <f t="shared" si="47"/>
        <v>84.2</v>
      </c>
      <c r="I105" s="223">
        <f t="shared" si="47"/>
        <v>80.7</v>
      </c>
      <c r="J105" s="223">
        <f t="shared" si="47"/>
        <v>57.8</v>
      </c>
      <c r="K105" s="223">
        <f t="shared" si="47"/>
        <v>46.9</v>
      </c>
      <c r="L105" s="223">
        <f t="shared" si="47"/>
        <v>43.9</v>
      </c>
      <c r="M105" s="223">
        <f t="shared" si="47"/>
        <v>35</v>
      </c>
      <c r="N105" s="223">
        <f t="shared" si="47"/>
        <v>35.1</v>
      </c>
      <c r="O105" s="223">
        <f t="shared" si="47"/>
        <v>58.6</v>
      </c>
      <c r="P105" s="223">
        <f t="shared" si="47"/>
        <v>65.3</v>
      </c>
      <c r="Q105" s="223">
        <f t="shared" si="47"/>
        <v>67.617898180848854</v>
      </c>
      <c r="R105" s="223">
        <f t="shared" si="47"/>
        <v>76.372308049996803</v>
      </c>
      <c r="S105" s="223">
        <f t="shared" si="47"/>
        <v>82.178808785030881</v>
      </c>
      <c r="T105" s="223">
        <f t="shared" si="47"/>
        <v>89.357887420028106</v>
      </c>
      <c r="U105" s="223">
        <f t="shared" si="47"/>
        <v>88.53733085142504</v>
      </c>
      <c r="V105" s="223">
        <f t="shared" si="47"/>
        <v>91.244625788625939</v>
      </c>
      <c r="W105" s="223">
        <f t="shared" si="47"/>
        <v>91.336931532735463</v>
      </c>
      <c r="X105" s="223">
        <f t="shared" si="47"/>
        <v>93.953523779494034</v>
      </c>
      <c r="Y105" s="223">
        <f t="shared" si="47"/>
        <v>94.032850674465337</v>
      </c>
      <c r="Z105" s="223">
        <f t="shared" si="47"/>
        <v>96.839109707049005</v>
      </c>
      <c r="AA105" s="72"/>
      <c r="AB105" s="76"/>
      <c r="AC105" s="222">
        <v>83.224331500000005</v>
      </c>
      <c r="AD105" s="222">
        <v>87.285081249439997</v>
      </c>
      <c r="AE105" s="222">
        <v>88.1</v>
      </c>
      <c r="AF105" s="222">
        <v>84.2</v>
      </c>
      <c r="AG105" s="222">
        <v>80.7</v>
      </c>
      <c r="AH105" s="222">
        <v>57.8</v>
      </c>
      <c r="AI105" s="222">
        <v>46.9</v>
      </c>
      <c r="AJ105" s="222">
        <v>43.9</v>
      </c>
      <c r="AK105" s="222">
        <v>35</v>
      </c>
      <c r="AL105" s="222">
        <v>35.1</v>
      </c>
      <c r="AM105" s="222">
        <v>58.6</v>
      </c>
      <c r="AN105" s="222">
        <v>65.3</v>
      </c>
      <c r="AO105" s="222">
        <v>67.617898180848854</v>
      </c>
      <c r="AP105" s="222">
        <v>76.372308049996803</v>
      </c>
      <c r="AQ105" s="222">
        <v>82.178808785030881</v>
      </c>
      <c r="AR105" s="222">
        <v>89.357887420028106</v>
      </c>
      <c r="AS105" s="222">
        <v>88.53733085142504</v>
      </c>
      <c r="AT105" s="222">
        <v>91.244625788625939</v>
      </c>
      <c r="AU105" s="222">
        <v>91.336931532735463</v>
      </c>
      <c r="AV105" s="222">
        <v>93.953523779494034</v>
      </c>
      <c r="AW105" s="222">
        <v>94.032850674465337</v>
      </c>
      <c r="AX105" s="222">
        <v>96.839109707049005</v>
      </c>
      <c r="AY105" s="76"/>
      <c r="AZ105" s="77" t="s">
        <v>1259</v>
      </c>
      <c r="BA105" s="77" t="s">
        <v>1300</v>
      </c>
      <c r="BB105" s="78" t="s">
        <v>1261</v>
      </c>
      <c r="BC105" s="76"/>
      <c r="BD105" s="79">
        <f>_xll.VAData($AZ105,BD$2,$BA105,$BB105)</f>
        <v>83.242914374999998</v>
      </c>
      <c r="BE105" s="79">
        <f>_xll.VAData($AZ105,BE$2,$BA105,$BB105)</f>
        <v>87.268851561800005</v>
      </c>
      <c r="BF105" s="79">
        <f>_xll.VAData($AZ105,BF$2,$BA105,$BB105)</f>
        <v>88.1</v>
      </c>
      <c r="BG105" s="79">
        <f>_xll.VAData($AZ105,BG$2,$BA105,$BB105)</f>
        <v>84.2</v>
      </c>
      <c r="BH105" s="79">
        <f>_xll.VAData($AZ105,BH$2,$BA105,$BB105)</f>
        <v>80.7</v>
      </c>
      <c r="BI105" s="79">
        <f>_xll.VAData($AZ105,BI$2,$BA105,$BB105)</f>
        <v>57.8</v>
      </c>
      <c r="BJ105" s="79">
        <f>_xll.VAData($AZ105,BJ$2,$BA105,$BB105)</f>
        <v>46.9</v>
      </c>
      <c r="BK105" s="79">
        <f>_xll.VAData($AZ105,BK$2,$BA105,$BB105)</f>
        <v>48.246456551189361</v>
      </c>
      <c r="BL105" s="79">
        <f>_xll.VAData($AZ105,BL$2,$BA105,$BB105)</f>
        <v>35</v>
      </c>
      <c r="BM105" s="79">
        <f>_xll.VAData($AZ105,BM$2,$BA105,$BB105)</f>
        <v>35.1</v>
      </c>
      <c r="BN105" s="79">
        <f>_xll.VAData($AZ105,BN$2,$BA105,$BB105)</f>
        <v>58.6</v>
      </c>
      <c r="BO105" s="79">
        <f>_xll.VAData($AZ105,BO$2,$BA105,$BB105)</f>
        <v>65.3</v>
      </c>
      <c r="BP105" s="79">
        <f>_xll.VAData($AZ105,BP$2,$BA105,$BB105)</f>
        <v>73.7</v>
      </c>
      <c r="BQ105" s="79">
        <f>_xll.VAData($AZ105,BQ$2,$BA105,$BB105)</f>
        <v>78.099999999999994</v>
      </c>
      <c r="BR105" s="79">
        <f>_xll.VAData($AZ105,BR$2,$BA105,$BB105)</f>
        <v>77</v>
      </c>
      <c r="BS105" s="79">
        <f>_xll.VAData($AZ105,BS$2,$BA105,$BB105)</f>
        <v>79.400000000000006</v>
      </c>
      <c r="BT105" s="79">
        <f>_xll.VAData($AZ105,BT$2,$BA105,$BB105)</f>
        <v>83.5</v>
      </c>
      <c r="BU105" s="79">
        <f>_xll.VAData($AZ105,BU$2,$BA105,$BB105)</f>
        <v>97.9</v>
      </c>
      <c r="BV105" s="79">
        <f>_xll.VAData($AZ105,BV$2,$BA105,$BB105)</f>
        <v>102.6614235200568</v>
      </c>
      <c r="BW105" s="79">
        <f>_xll.VAData($AZ105,BW$2,$BA105,$BB105)</f>
        <v>93.328841058263379</v>
      </c>
      <c r="BX105" s="79">
        <f>_xll.VAData($AZ105,BX$2,$BA105,$BB105)</f>
        <v>100.68729063167648</v>
      </c>
      <c r="BY105" s="79">
        <f>_xll.VAData($AZ105,BY$2,$BA105,$BB105)</f>
        <v>100.585973237556</v>
      </c>
    </row>
    <row r="106" spans="2:77">
      <c r="B106" s="74"/>
      <c r="C106" s="72" t="s">
        <v>72</v>
      </c>
      <c r="D106" s="225" t="s">
        <v>1343</v>
      </c>
      <c r="E106" s="226">
        <f>HY!E212</f>
        <v>83.2</v>
      </c>
      <c r="F106" s="226">
        <f>HY!F212</f>
        <v>87.3</v>
      </c>
      <c r="G106" s="226">
        <f>HY!G212</f>
        <v>88.1</v>
      </c>
      <c r="H106" s="226">
        <f>HY!H212</f>
        <v>84.200000000000017</v>
      </c>
      <c r="I106" s="226">
        <f>HY!I212</f>
        <v>80.7</v>
      </c>
      <c r="J106" s="226">
        <f>HY!J212</f>
        <v>57.8</v>
      </c>
      <c r="K106" s="226">
        <f>HY!K212</f>
        <v>46.9</v>
      </c>
      <c r="L106" s="226">
        <f>HY!L212</f>
        <v>44.000000000000007</v>
      </c>
      <c r="M106" s="226">
        <f>HY!M212</f>
        <v>35</v>
      </c>
      <c r="N106" s="226">
        <f>HY!N212</f>
        <v>35.099999999999987</v>
      </c>
      <c r="O106" s="226">
        <f>HY!O212</f>
        <v>58.6</v>
      </c>
      <c r="P106" s="226">
        <f>HY!P212</f>
        <v>65.300000000000011</v>
      </c>
      <c r="Q106" s="226">
        <f>HY!Q212</f>
        <v>73.7</v>
      </c>
      <c r="R106" s="226">
        <f>HY!R212</f>
        <v>78.100000000000009</v>
      </c>
      <c r="S106" s="226">
        <f>HY!S212</f>
        <v>77</v>
      </c>
      <c r="T106" s="226">
        <f>HY!T212</f>
        <v>79.400000000000006</v>
      </c>
      <c r="U106" s="226">
        <f>HY!U212</f>
        <v>83.5</v>
      </c>
      <c r="V106" s="226">
        <f>HY!V212</f>
        <v>97.9</v>
      </c>
      <c r="W106" s="226">
        <f>HY!W212</f>
        <v>107</v>
      </c>
      <c r="X106" s="226">
        <f>HY!X212</f>
        <v>104</v>
      </c>
      <c r="Y106" s="226">
        <f>HY!Y212</f>
        <v>110</v>
      </c>
      <c r="Z106" s="226">
        <f>HY!Z212</f>
        <v>109.72</v>
      </c>
      <c r="AA106" s="72"/>
      <c r="AB106" s="76"/>
      <c r="AC106" s="221"/>
      <c r="AD106" s="221"/>
      <c r="AE106" s="221"/>
      <c r="AF106" s="221"/>
      <c r="AG106" s="221"/>
      <c r="AH106" s="221"/>
      <c r="AI106" s="221"/>
      <c r="AJ106" s="221"/>
      <c r="AK106" s="221"/>
      <c r="AL106" s="221"/>
      <c r="AM106" s="221"/>
      <c r="AN106" s="221"/>
      <c r="AO106" s="221"/>
      <c r="AP106" s="221"/>
      <c r="AQ106" s="221"/>
      <c r="AR106" s="221"/>
      <c r="AS106" s="221"/>
      <c r="AT106" s="221"/>
      <c r="AU106" s="221"/>
      <c r="AV106" s="221"/>
      <c r="AW106" s="221"/>
      <c r="AX106" s="221"/>
      <c r="AY106" s="76"/>
      <c r="AZ106" s="77"/>
      <c r="BA106" s="77"/>
      <c r="BB106" s="78"/>
      <c r="BC106" s="76"/>
      <c r="BD106" s="221"/>
      <c r="BE106" s="221"/>
      <c r="BF106" s="221"/>
      <c r="BG106" s="221"/>
      <c r="BH106" s="221"/>
      <c r="BI106" s="221"/>
      <c r="BJ106" s="221"/>
      <c r="BK106" s="221"/>
      <c r="BL106" s="221"/>
      <c r="BM106" s="221"/>
      <c r="BN106" s="221"/>
      <c r="BO106" s="221"/>
      <c r="BP106" s="221"/>
      <c r="BQ106" s="221"/>
      <c r="BR106" s="221"/>
      <c r="BS106" s="221"/>
      <c r="BT106" s="221"/>
      <c r="BU106" s="221"/>
      <c r="BV106" s="221"/>
      <c r="BW106" s="221"/>
      <c r="BX106" s="221"/>
      <c r="BY106" s="221"/>
    </row>
    <row r="107" spans="2:77">
      <c r="B107" s="74"/>
      <c r="C107" s="81" t="s">
        <v>88</v>
      </c>
      <c r="D107" s="72" t="s">
        <v>1344</v>
      </c>
      <c r="E107" s="227">
        <f t="shared" ref="E107:Z107" si="48">IFERROR(ROUND(E105/E106-1,3),"")</f>
        <v>0</v>
      </c>
      <c r="F107" s="227">
        <f t="shared" si="48"/>
        <v>0</v>
      </c>
      <c r="G107" s="227">
        <f t="shared" si="48"/>
        <v>0</v>
      </c>
      <c r="H107" s="227">
        <f t="shared" si="48"/>
        <v>0</v>
      </c>
      <c r="I107" s="227">
        <f t="shared" si="48"/>
        <v>0</v>
      </c>
      <c r="J107" s="227">
        <f t="shared" si="48"/>
        <v>0</v>
      </c>
      <c r="K107" s="227">
        <f t="shared" si="48"/>
        <v>0</v>
      </c>
      <c r="L107" s="227">
        <f t="shared" si="48"/>
        <v>-2E-3</v>
      </c>
      <c r="M107" s="227">
        <f t="shared" si="48"/>
        <v>0</v>
      </c>
      <c r="N107" s="227">
        <f t="shared" si="48"/>
        <v>0</v>
      </c>
      <c r="O107" s="227">
        <f t="shared" si="48"/>
        <v>0</v>
      </c>
      <c r="P107" s="227">
        <f t="shared" si="48"/>
        <v>0</v>
      </c>
      <c r="Q107" s="227">
        <f t="shared" si="48"/>
        <v>-8.3000000000000004E-2</v>
      </c>
      <c r="R107" s="227">
        <f t="shared" si="48"/>
        <v>-2.1999999999999999E-2</v>
      </c>
      <c r="S107" s="227">
        <f t="shared" si="48"/>
        <v>6.7000000000000004E-2</v>
      </c>
      <c r="T107" s="227">
        <f t="shared" si="48"/>
        <v>0.125</v>
      </c>
      <c r="U107" s="227">
        <f t="shared" si="48"/>
        <v>0.06</v>
      </c>
      <c r="V107" s="227">
        <f t="shared" si="48"/>
        <v>-6.8000000000000005E-2</v>
      </c>
      <c r="W107" s="227">
        <f t="shared" si="48"/>
        <v>-0.14599999999999999</v>
      </c>
      <c r="X107" s="227">
        <f t="shared" si="48"/>
        <v>-9.7000000000000003E-2</v>
      </c>
      <c r="Y107" s="227">
        <f t="shared" si="48"/>
        <v>-0.14499999999999999</v>
      </c>
      <c r="Z107" s="227">
        <f t="shared" si="48"/>
        <v>-0.11700000000000001</v>
      </c>
      <c r="AA107" s="72"/>
      <c r="AB107" s="76"/>
      <c r="AC107" s="221"/>
      <c r="AD107" s="221"/>
      <c r="AE107" s="221"/>
      <c r="AF107" s="221"/>
      <c r="AG107" s="221"/>
      <c r="AH107" s="221"/>
      <c r="AI107" s="221"/>
      <c r="AJ107" s="221"/>
      <c r="AK107" s="221"/>
      <c r="AL107" s="221"/>
      <c r="AM107" s="221"/>
      <c r="AN107" s="221"/>
      <c r="AO107" s="221"/>
      <c r="AP107" s="221"/>
      <c r="AQ107" s="221"/>
      <c r="AR107" s="221"/>
      <c r="AS107" s="221"/>
      <c r="AT107" s="221"/>
      <c r="AU107" s="221"/>
      <c r="AV107" s="221"/>
      <c r="AW107" s="221"/>
      <c r="AX107" s="221"/>
      <c r="AY107" s="76"/>
      <c r="AZ107" s="77"/>
      <c r="BA107" s="77"/>
      <c r="BB107" s="78"/>
      <c r="BC107" s="76"/>
      <c r="BD107" s="221"/>
      <c r="BE107" s="221"/>
      <c r="BF107" s="221"/>
      <c r="BG107" s="221"/>
      <c r="BH107" s="221"/>
      <c r="BI107" s="221"/>
      <c r="BJ107" s="221"/>
      <c r="BK107" s="221"/>
      <c r="BL107" s="221"/>
      <c r="BM107" s="221"/>
      <c r="BN107" s="221"/>
      <c r="BO107" s="221"/>
      <c r="BP107" s="221"/>
      <c r="BQ107" s="221"/>
      <c r="BR107" s="221"/>
      <c r="BS107" s="221"/>
      <c r="BT107" s="221"/>
      <c r="BU107" s="221"/>
      <c r="BV107" s="221"/>
      <c r="BW107" s="221"/>
      <c r="BX107" s="221"/>
      <c r="BY107" s="221"/>
    </row>
    <row r="108" spans="2:77">
      <c r="B108" s="74"/>
      <c r="C108" s="72"/>
      <c r="D108" s="72"/>
      <c r="E108" s="75"/>
      <c r="F108" s="75"/>
      <c r="G108" s="75"/>
      <c r="H108" s="75"/>
      <c r="I108" s="75"/>
      <c r="J108" s="75"/>
      <c r="K108" s="75"/>
      <c r="L108" s="75"/>
      <c r="M108" s="75"/>
      <c r="N108" s="75"/>
      <c r="O108" s="75"/>
      <c r="P108" s="75"/>
      <c r="Q108" s="75"/>
      <c r="R108" s="75"/>
      <c r="S108" s="75"/>
      <c r="T108" s="75"/>
      <c r="U108" s="75"/>
      <c r="V108" s="75"/>
      <c r="W108" s="75"/>
      <c r="X108" s="75"/>
      <c r="Y108" s="75"/>
      <c r="Z108" s="75"/>
      <c r="AA108" s="72"/>
      <c r="AB108" s="76"/>
      <c r="AC108" s="221"/>
      <c r="AD108" s="221"/>
      <c r="AE108" s="221"/>
      <c r="AF108" s="221"/>
      <c r="AG108" s="221"/>
      <c r="AH108" s="221"/>
      <c r="AI108" s="221"/>
      <c r="AJ108" s="221"/>
      <c r="AK108" s="221"/>
      <c r="AL108" s="221"/>
      <c r="AM108" s="221"/>
      <c r="AN108" s="221"/>
      <c r="AO108" s="221"/>
      <c r="AP108" s="221"/>
      <c r="AQ108" s="221"/>
      <c r="AR108" s="221"/>
      <c r="AS108" s="221"/>
      <c r="AT108" s="221"/>
      <c r="AU108" s="221"/>
      <c r="AV108" s="221"/>
      <c r="AW108" s="221"/>
      <c r="AX108" s="221"/>
      <c r="AY108" s="76"/>
      <c r="AZ108" s="77"/>
      <c r="BA108" s="77"/>
      <c r="BB108" s="78"/>
      <c r="BC108" s="76"/>
      <c r="BD108" s="221"/>
      <c r="BE108" s="221"/>
      <c r="BF108" s="221"/>
      <c r="BG108" s="221"/>
      <c r="BH108" s="221"/>
      <c r="BI108" s="221"/>
      <c r="BJ108" s="221"/>
      <c r="BK108" s="221"/>
      <c r="BL108" s="221"/>
      <c r="BM108" s="221"/>
      <c r="BN108" s="221"/>
      <c r="BO108" s="221"/>
      <c r="BP108" s="221"/>
      <c r="BQ108" s="221"/>
      <c r="BR108" s="221"/>
      <c r="BS108" s="221"/>
      <c r="BT108" s="221"/>
      <c r="BU108" s="221"/>
      <c r="BV108" s="221"/>
      <c r="BW108" s="221"/>
      <c r="BX108" s="221"/>
      <c r="BY108" s="221"/>
    </row>
    <row r="109" spans="2:77">
      <c r="B109" s="237" t="s">
        <v>1362</v>
      </c>
      <c r="C109" s="72"/>
      <c r="D109" s="72"/>
      <c r="E109" s="75"/>
      <c r="F109" s="75"/>
      <c r="G109" s="75"/>
      <c r="H109" s="75"/>
      <c r="I109" s="75"/>
      <c r="J109" s="75"/>
      <c r="K109" s="75"/>
      <c r="L109" s="75"/>
      <c r="M109" s="75"/>
      <c r="N109" s="75"/>
      <c r="O109" s="75"/>
      <c r="P109" s="75"/>
      <c r="Q109" s="75"/>
      <c r="R109" s="75"/>
      <c r="S109" s="75"/>
      <c r="T109" s="75"/>
      <c r="U109" s="75"/>
      <c r="V109" s="75"/>
      <c r="W109" s="75"/>
      <c r="X109" s="75"/>
      <c r="Y109" s="75"/>
      <c r="Z109" s="75"/>
      <c r="AA109" s="72"/>
      <c r="AB109" s="76"/>
      <c r="AC109" s="221"/>
      <c r="AD109" s="221"/>
      <c r="AE109" s="221"/>
      <c r="AF109" s="221"/>
      <c r="AG109" s="221"/>
      <c r="AH109" s="221"/>
      <c r="AI109" s="221"/>
      <c r="AJ109" s="221"/>
      <c r="AK109" s="221"/>
      <c r="AL109" s="221"/>
      <c r="AM109" s="221"/>
      <c r="AN109" s="221"/>
      <c r="AO109" s="221"/>
      <c r="AP109" s="221"/>
      <c r="AQ109" s="221"/>
      <c r="AR109" s="221"/>
      <c r="AS109" s="221"/>
      <c r="AT109" s="221"/>
      <c r="AU109" s="221"/>
      <c r="AV109" s="221"/>
      <c r="AW109" s="221"/>
      <c r="AX109" s="221"/>
      <c r="AY109" s="76"/>
      <c r="AZ109" s="77"/>
      <c r="BA109" s="77"/>
      <c r="BB109" s="78"/>
      <c r="BC109" s="76"/>
      <c r="BD109" s="221"/>
      <c r="BE109" s="221"/>
      <c r="BF109" s="221"/>
      <c r="BG109" s="221"/>
      <c r="BH109" s="221"/>
      <c r="BI109" s="221"/>
      <c r="BJ109" s="221"/>
      <c r="BK109" s="221"/>
      <c r="BL109" s="221"/>
      <c r="BM109" s="221"/>
      <c r="BN109" s="221"/>
      <c r="BO109" s="221"/>
      <c r="BP109" s="221"/>
      <c r="BQ109" s="221"/>
      <c r="BR109" s="221"/>
      <c r="BS109" s="221"/>
      <c r="BT109" s="221"/>
      <c r="BU109" s="221"/>
      <c r="BV109" s="221"/>
      <c r="BW109" s="221"/>
      <c r="BX109" s="221"/>
      <c r="BY109" s="221"/>
    </row>
    <row r="110" spans="2:77">
      <c r="B110" s="74"/>
      <c r="C110" s="72"/>
      <c r="D110" s="72"/>
      <c r="E110" s="75"/>
      <c r="F110" s="75"/>
      <c r="G110" s="75"/>
      <c r="H110" s="75"/>
      <c r="I110" s="75"/>
      <c r="J110" s="75"/>
      <c r="K110" s="75"/>
      <c r="L110" s="75"/>
      <c r="M110" s="75"/>
      <c r="N110" s="75"/>
      <c r="O110" s="75"/>
      <c r="P110" s="75"/>
      <c r="Q110" s="75"/>
      <c r="R110" s="75"/>
      <c r="S110" s="75"/>
      <c r="T110" s="75"/>
      <c r="U110" s="75"/>
      <c r="V110" s="75"/>
      <c r="W110" s="75"/>
      <c r="X110" s="75"/>
      <c r="Y110" s="75"/>
      <c r="Z110" s="75"/>
      <c r="AA110" s="72"/>
      <c r="AB110" s="76"/>
      <c r="AC110" s="221"/>
      <c r="AD110" s="221"/>
      <c r="AE110" s="221"/>
      <c r="AF110" s="221"/>
      <c r="AG110" s="221"/>
      <c r="AH110" s="221"/>
      <c r="AI110" s="221"/>
      <c r="AJ110" s="221"/>
      <c r="AK110" s="221"/>
      <c r="AL110" s="221"/>
      <c r="AM110" s="221"/>
      <c r="AN110" s="221"/>
      <c r="AO110" s="221"/>
      <c r="AP110" s="221"/>
      <c r="AQ110" s="221"/>
      <c r="AR110" s="221"/>
      <c r="AS110" s="221"/>
      <c r="AT110" s="221"/>
      <c r="AU110" s="221"/>
      <c r="AV110" s="221"/>
      <c r="AW110" s="221"/>
      <c r="AX110" s="221"/>
      <c r="AY110" s="76"/>
      <c r="AZ110" s="77"/>
      <c r="BA110" s="77"/>
      <c r="BB110" s="78"/>
      <c r="BC110" s="76"/>
      <c r="BD110" s="221"/>
      <c r="BE110" s="221"/>
      <c r="BF110" s="221"/>
      <c r="BG110" s="221"/>
      <c r="BH110" s="221"/>
      <c r="BI110" s="221"/>
      <c r="BJ110" s="221"/>
      <c r="BK110" s="221"/>
      <c r="BL110" s="221"/>
      <c r="BM110" s="221"/>
      <c r="BN110" s="221"/>
      <c r="BO110" s="221"/>
      <c r="BP110" s="221"/>
      <c r="BQ110" s="221"/>
      <c r="BR110" s="221"/>
      <c r="BS110" s="221"/>
      <c r="BT110" s="221"/>
      <c r="BU110" s="221"/>
      <c r="BV110" s="221"/>
      <c r="BW110" s="221"/>
      <c r="BX110" s="221"/>
      <c r="BY110" s="221"/>
    </row>
    <row r="111" spans="2:77">
      <c r="B111" s="74" t="str">
        <f>BA111</f>
        <v>Total revenue - Domestic - Auckland</v>
      </c>
      <c r="C111" s="72" t="s">
        <v>72</v>
      </c>
      <c r="D111" s="224" t="s">
        <v>1342</v>
      </c>
      <c r="E111" s="223">
        <f t="shared" ref="E111:Z111" si="49">AC111</f>
        <v>276.12072519150979</v>
      </c>
      <c r="F111" s="223">
        <f t="shared" si="49"/>
        <v>280.11248157743472</v>
      </c>
      <c r="G111" s="223">
        <f t="shared" si="49"/>
        <v>307.76863087895379</v>
      </c>
      <c r="H111" s="223">
        <f t="shared" si="49"/>
        <v>298.88444275372092</v>
      </c>
      <c r="I111" s="223">
        <f t="shared" si="49"/>
        <v>305.60000000000002</v>
      </c>
      <c r="J111" s="223">
        <f t="shared" si="49"/>
        <v>191.7</v>
      </c>
      <c r="K111" s="223">
        <f t="shared" si="49"/>
        <v>230.8</v>
      </c>
      <c r="L111" s="223">
        <f t="shared" si="49"/>
        <v>257.4516862612785</v>
      </c>
      <c r="M111" s="223">
        <f t="shared" si="49"/>
        <v>118.5</v>
      </c>
      <c r="N111" s="223">
        <f t="shared" si="49"/>
        <v>212.1</v>
      </c>
      <c r="O111" s="223">
        <f t="shared" si="49"/>
        <v>280.89999999999998</v>
      </c>
      <c r="P111" s="223">
        <f t="shared" si="49"/>
        <v>287.89999999999998</v>
      </c>
      <c r="Q111" s="223">
        <f t="shared" si="49"/>
        <v>293.60601086624018</v>
      </c>
      <c r="R111" s="223">
        <f t="shared" si="49"/>
        <v>300.38470093430618</v>
      </c>
      <c r="S111" s="223">
        <f t="shared" si="49"/>
        <v>318.20247266473632</v>
      </c>
      <c r="T111" s="223">
        <f t="shared" si="49"/>
        <v>321.45288608959282</v>
      </c>
      <c r="U111" s="223">
        <f t="shared" si="49"/>
        <v>333.20823485675942</v>
      </c>
      <c r="V111" s="223">
        <f t="shared" si="49"/>
        <v>331.23415251224333</v>
      </c>
      <c r="W111" s="223">
        <f t="shared" si="49"/>
        <v>343.95323499001728</v>
      </c>
      <c r="X111" s="223">
        <f t="shared" si="49"/>
        <v>340.53421401224369</v>
      </c>
      <c r="Y111" s="223">
        <f t="shared" si="49"/>
        <v>354.11558095942371</v>
      </c>
      <c r="Z111" s="223">
        <f t="shared" si="49"/>
        <v>351.13722981504628</v>
      </c>
      <c r="AA111" s="72"/>
      <c r="AB111" s="76"/>
      <c r="AC111" s="222">
        <v>276.12072519150979</v>
      </c>
      <c r="AD111" s="222">
        <v>280.11248157743472</v>
      </c>
      <c r="AE111" s="222">
        <v>307.76863087895379</v>
      </c>
      <c r="AF111" s="222">
        <v>298.88444275372092</v>
      </c>
      <c r="AG111" s="222">
        <v>305.60000000000002</v>
      </c>
      <c r="AH111" s="222">
        <v>191.7</v>
      </c>
      <c r="AI111" s="222">
        <v>230.8</v>
      </c>
      <c r="AJ111" s="222">
        <v>257.4516862612785</v>
      </c>
      <c r="AK111" s="222">
        <v>118.5</v>
      </c>
      <c r="AL111" s="222">
        <v>212.1</v>
      </c>
      <c r="AM111" s="222">
        <v>280.89999999999998</v>
      </c>
      <c r="AN111" s="222">
        <v>287.89999999999998</v>
      </c>
      <c r="AO111" s="222">
        <v>293.60601086624018</v>
      </c>
      <c r="AP111" s="222">
        <v>300.38470093430618</v>
      </c>
      <c r="AQ111" s="222">
        <v>318.20247266473632</v>
      </c>
      <c r="AR111" s="222">
        <v>321.45288608959282</v>
      </c>
      <c r="AS111" s="222">
        <v>333.20823485675942</v>
      </c>
      <c r="AT111" s="222">
        <v>331.23415251224333</v>
      </c>
      <c r="AU111" s="222">
        <v>343.95323499001728</v>
      </c>
      <c r="AV111" s="222">
        <v>340.53421401224369</v>
      </c>
      <c r="AW111" s="222">
        <v>354.11558095942371</v>
      </c>
      <c r="AX111" s="222">
        <v>351.13722981504628</v>
      </c>
      <c r="AY111" s="76"/>
      <c r="AZ111" s="77" t="s">
        <v>1259</v>
      </c>
      <c r="BA111" s="77" t="s">
        <v>1276</v>
      </c>
      <c r="BB111" s="78" t="s">
        <v>1261</v>
      </c>
      <c r="BC111" s="76"/>
      <c r="BD111" s="79">
        <f>_xll.VAData($AZ111,BD$2,$BA111,$BB111)</f>
        <v>283.26260952639524</v>
      </c>
      <c r="BE111" s="79">
        <f>_xll.VAData($AZ111,BE$2,$BA111,$BB111)</f>
        <v>287.87168975745624</v>
      </c>
      <c r="BF111" s="79">
        <f>_xll.VAData($AZ111,BF$2,$BA111,$BB111)</f>
        <v>296.35885270691858</v>
      </c>
      <c r="BG111" s="79">
        <f>_xll.VAData($AZ111,BG$2,$BA111,$BB111)</f>
        <v>292.6370844348998</v>
      </c>
      <c r="BH111" s="79">
        <f>_xll.VAData($AZ111,BH$2,$BA111,$BB111)</f>
        <v>293.8917046284746</v>
      </c>
      <c r="BI111" s="79">
        <f>_xll.VAData($AZ111,BI$2,$BA111,$BB111)</f>
        <v>189.80597071245981</v>
      </c>
      <c r="BJ111" s="79">
        <f>_xll.VAData($AZ111,BJ$2,$BA111,$BB111)</f>
        <v>221.21223557512101</v>
      </c>
      <c r="BK111" s="79">
        <f>_xll.VAData($AZ111,BK$2,$BA111,$BB111)</f>
        <v>250.48127629614299</v>
      </c>
      <c r="BL111" s="79">
        <f>_xll.VAData($AZ111,BL$2,$BA111,$BB111)</f>
        <v>118.5</v>
      </c>
      <c r="BM111" s="79">
        <f>_xll.VAData($AZ111,BM$2,$BA111,$BB111)</f>
        <v>212.11</v>
      </c>
      <c r="BN111" s="79">
        <f>_xll.VAData($AZ111,BN$2,$BA111,$BB111)</f>
        <v>258.3</v>
      </c>
      <c r="BO111" s="79">
        <f>_xll.VAData($AZ111,BO$2,$BA111,$BB111)</f>
        <v>259.7</v>
      </c>
      <c r="BP111" s="79">
        <f>_xll.VAData($AZ111,BP$2,$BA111,$BB111)</f>
        <v>280.60000000000002</v>
      </c>
      <c r="BQ111" s="79">
        <f>_xll.VAData($AZ111,BQ$2,$BA111,$BB111)</f>
        <v>266.10000000000002</v>
      </c>
      <c r="BR111" s="79">
        <f>_xll.VAData($AZ111,BR$2,$BA111,$BB111)</f>
        <v>258.3</v>
      </c>
      <c r="BS111" s="79">
        <f>_xll.VAData($AZ111,BS$2,$BA111,$BB111)</f>
        <v>256</v>
      </c>
      <c r="BT111" s="79">
        <f>_xll.VAData($AZ111,BT$2,$BA111,$BB111)</f>
        <v>248.1</v>
      </c>
      <c r="BU111" s="79">
        <f>_xll.VAData($AZ111,BU$2,$BA111,$BB111)</f>
        <v>250.5</v>
      </c>
      <c r="BV111" s="79">
        <f>_xll.VAData($AZ111,BV$2,$BA111,$BB111)</f>
        <v>248.16170540931921</v>
      </c>
      <c r="BW111" s="79">
        <f>_xll.VAData($AZ111,BW$2,$BA111,$BB111)</f>
        <v>246.03909093834841</v>
      </c>
      <c r="BX111" s="79">
        <f>_xll.VAData($AZ111,BX$2,$BA111,$BB111)</f>
        <v>255.80365412352475</v>
      </c>
      <c r="BY111" s="79">
        <f>_xll.VAData($AZ111,BY$2,$BA111,$BB111)</f>
        <v>254.64942717482299</v>
      </c>
    </row>
    <row r="112" spans="2:77">
      <c r="B112" s="74"/>
      <c r="C112" s="72" t="s">
        <v>72</v>
      </c>
      <c r="D112" s="225" t="s">
        <v>1343</v>
      </c>
      <c r="E112" s="226" t="e">
        <f>HY!#REF!</f>
        <v>#REF!</v>
      </c>
      <c r="F112" s="226" t="e">
        <f>HY!#REF!</f>
        <v>#REF!</v>
      </c>
      <c r="G112" s="226" t="e">
        <f>HY!#REF!</f>
        <v>#REF!</v>
      </c>
      <c r="H112" s="226" t="e">
        <f>HY!#REF!</f>
        <v>#REF!</v>
      </c>
      <c r="I112" s="226" t="e">
        <f>HY!#REF!</f>
        <v>#REF!</v>
      </c>
      <c r="J112" s="226" t="e">
        <f>HY!#REF!</f>
        <v>#REF!</v>
      </c>
      <c r="K112" s="226" t="e">
        <f>HY!#REF!</f>
        <v>#REF!</v>
      </c>
      <c r="L112" s="226" t="e">
        <f>HY!#REF!</f>
        <v>#REF!</v>
      </c>
      <c r="M112" s="226" t="e">
        <f>HY!#REF!</f>
        <v>#REF!</v>
      </c>
      <c r="N112" s="226" t="e">
        <f>HY!#REF!</f>
        <v>#REF!</v>
      </c>
      <c r="O112" s="226" t="e">
        <f>HY!#REF!</f>
        <v>#REF!</v>
      </c>
      <c r="P112" s="226" t="e">
        <f>HY!#REF!</f>
        <v>#REF!</v>
      </c>
      <c r="Q112" s="226" t="e">
        <f>HY!#REF!</f>
        <v>#REF!</v>
      </c>
      <c r="R112" s="226" t="e">
        <f>HY!#REF!</f>
        <v>#REF!</v>
      </c>
      <c r="S112" s="226" t="e">
        <f>HY!#REF!</f>
        <v>#REF!</v>
      </c>
      <c r="T112" s="226" t="e">
        <f>HY!#REF!</f>
        <v>#REF!</v>
      </c>
      <c r="U112" s="226" t="e">
        <f>HY!#REF!</f>
        <v>#REF!</v>
      </c>
      <c r="V112" s="226" t="e">
        <f>HY!#REF!</f>
        <v>#REF!</v>
      </c>
      <c r="W112" s="226" t="e">
        <f>HY!#REF!</f>
        <v>#REF!</v>
      </c>
      <c r="X112" s="226" t="e">
        <f>HY!#REF!</f>
        <v>#REF!</v>
      </c>
      <c r="Y112" s="226" t="e">
        <f>HY!#REF!</f>
        <v>#REF!</v>
      </c>
      <c r="Z112" s="226" t="e">
        <f>HY!#REF!</f>
        <v>#REF!</v>
      </c>
      <c r="AA112" s="72"/>
      <c r="AB112" s="76"/>
      <c r="AC112" s="221"/>
      <c r="AD112" s="221"/>
      <c r="AE112" s="221"/>
      <c r="AF112" s="221"/>
      <c r="AG112" s="221"/>
      <c r="AH112" s="221"/>
      <c r="AI112" s="221"/>
      <c r="AJ112" s="221"/>
      <c r="AK112" s="221"/>
      <c r="AL112" s="221"/>
      <c r="AM112" s="221"/>
      <c r="AN112" s="221"/>
      <c r="AO112" s="221"/>
      <c r="AP112" s="221"/>
      <c r="AQ112" s="221"/>
      <c r="AR112" s="221"/>
      <c r="AS112" s="221"/>
      <c r="AT112" s="221"/>
      <c r="AU112" s="221"/>
      <c r="AV112" s="221"/>
      <c r="AW112" s="221"/>
      <c r="AX112" s="221"/>
      <c r="AY112" s="76"/>
      <c r="AZ112" s="77"/>
      <c r="BA112" s="77"/>
      <c r="BB112" s="78"/>
      <c r="BC112" s="76"/>
      <c r="BD112" s="221"/>
      <c r="BE112" s="221"/>
      <c r="BF112" s="221"/>
      <c r="BG112" s="221"/>
      <c r="BH112" s="221"/>
      <c r="BI112" s="221"/>
      <c r="BJ112" s="221"/>
      <c r="BK112" s="221"/>
      <c r="BL112" s="221"/>
      <c r="BM112" s="221"/>
      <c r="BN112" s="221"/>
      <c r="BO112" s="221"/>
      <c r="BP112" s="221"/>
      <c r="BQ112" s="221"/>
      <c r="BR112" s="221"/>
      <c r="BS112" s="221"/>
      <c r="BT112" s="221"/>
      <c r="BU112" s="221"/>
      <c r="BV112" s="221"/>
      <c r="BW112" s="221"/>
      <c r="BX112" s="221"/>
      <c r="BY112" s="221"/>
    </row>
    <row r="113" spans="1:77">
      <c r="B113" s="74"/>
      <c r="C113" s="81" t="s">
        <v>88</v>
      </c>
      <c r="D113" s="72" t="s">
        <v>1344</v>
      </c>
      <c r="E113" s="227" t="str">
        <f t="shared" ref="E113:Z113" si="50">IFERROR(ROUND(E111/E112-1,3),"")</f>
        <v/>
      </c>
      <c r="F113" s="227" t="str">
        <f t="shared" si="50"/>
        <v/>
      </c>
      <c r="G113" s="227" t="str">
        <f t="shared" si="50"/>
        <v/>
      </c>
      <c r="H113" s="227" t="str">
        <f t="shared" si="50"/>
        <v/>
      </c>
      <c r="I113" s="227" t="str">
        <f t="shared" si="50"/>
        <v/>
      </c>
      <c r="J113" s="227" t="str">
        <f t="shared" si="50"/>
        <v/>
      </c>
      <c r="K113" s="227" t="str">
        <f t="shared" si="50"/>
        <v/>
      </c>
      <c r="L113" s="227" t="str">
        <f t="shared" si="50"/>
        <v/>
      </c>
      <c r="M113" s="227" t="str">
        <f t="shared" si="50"/>
        <v/>
      </c>
      <c r="N113" s="227" t="str">
        <f t="shared" si="50"/>
        <v/>
      </c>
      <c r="O113" s="227" t="str">
        <f t="shared" si="50"/>
        <v/>
      </c>
      <c r="P113" s="227" t="str">
        <f t="shared" si="50"/>
        <v/>
      </c>
      <c r="Q113" s="227" t="str">
        <f t="shared" si="50"/>
        <v/>
      </c>
      <c r="R113" s="227" t="str">
        <f t="shared" si="50"/>
        <v/>
      </c>
      <c r="S113" s="227" t="str">
        <f t="shared" si="50"/>
        <v/>
      </c>
      <c r="T113" s="227" t="str">
        <f t="shared" si="50"/>
        <v/>
      </c>
      <c r="U113" s="227" t="str">
        <f t="shared" si="50"/>
        <v/>
      </c>
      <c r="V113" s="227" t="str">
        <f t="shared" si="50"/>
        <v/>
      </c>
      <c r="W113" s="227" t="str">
        <f t="shared" si="50"/>
        <v/>
      </c>
      <c r="X113" s="227" t="str">
        <f t="shared" si="50"/>
        <v/>
      </c>
      <c r="Y113" s="227" t="str">
        <f t="shared" si="50"/>
        <v/>
      </c>
      <c r="Z113" s="227" t="str">
        <f t="shared" si="50"/>
        <v/>
      </c>
      <c r="AA113" s="72"/>
      <c r="AB113" s="76"/>
      <c r="AC113" s="221"/>
      <c r="AD113" s="221"/>
      <c r="AE113" s="221"/>
      <c r="AF113" s="221"/>
      <c r="AG113" s="221"/>
      <c r="AH113" s="221"/>
      <c r="AI113" s="221"/>
      <c r="AJ113" s="221"/>
      <c r="AK113" s="221"/>
      <c r="AL113" s="221"/>
      <c r="AM113" s="221"/>
      <c r="AN113" s="221"/>
      <c r="AO113" s="221"/>
      <c r="AP113" s="221"/>
      <c r="AQ113" s="221"/>
      <c r="AR113" s="221"/>
      <c r="AS113" s="221"/>
      <c r="AT113" s="221"/>
      <c r="AU113" s="221"/>
      <c r="AV113" s="221"/>
      <c r="AW113" s="221"/>
      <c r="AX113" s="221"/>
      <c r="AY113" s="76"/>
      <c r="AZ113" s="77"/>
      <c r="BA113" s="77"/>
      <c r="BB113" s="78"/>
      <c r="BC113" s="76"/>
      <c r="BD113" s="221"/>
      <c r="BE113" s="221"/>
      <c r="BF113" s="221"/>
      <c r="BG113" s="221"/>
      <c r="BH113" s="221"/>
      <c r="BI113" s="221"/>
      <c r="BJ113" s="221"/>
      <c r="BK113" s="221"/>
      <c r="BL113" s="221"/>
      <c r="BM113" s="221"/>
      <c r="BN113" s="221"/>
      <c r="BO113" s="221"/>
      <c r="BP113" s="221"/>
      <c r="BQ113" s="221"/>
      <c r="BR113" s="221"/>
      <c r="BS113" s="221"/>
      <c r="BT113" s="221"/>
      <c r="BU113" s="221"/>
      <c r="BV113" s="221"/>
      <c r="BW113" s="221"/>
      <c r="BX113" s="221"/>
      <c r="BY113" s="221"/>
    </row>
    <row r="114" spans="1:77">
      <c r="B114" s="74"/>
      <c r="C114" s="72"/>
      <c r="D114" s="72"/>
      <c r="E114" s="75"/>
      <c r="F114" s="75"/>
      <c r="G114" s="75"/>
      <c r="H114" s="75"/>
      <c r="I114" s="75"/>
      <c r="J114" s="75"/>
      <c r="K114" s="75"/>
      <c r="L114" s="75"/>
      <c r="M114" s="75"/>
      <c r="N114" s="75"/>
      <c r="O114" s="75"/>
      <c r="P114" s="75"/>
      <c r="Q114" s="75"/>
      <c r="R114" s="75"/>
      <c r="S114" s="75"/>
      <c r="T114" s="75"/>
      <c r="U114" s="75"/>
      <c r="V114" s="75"/>
      <c r="W114" s="75"/>
      <c r="X114" s="75"/>
      <c r="Y114" s="75"/>
      <c r="Z114" s="75"/>
      <c r="AA114" s="72"/>
      <c r="AB114" s="76"/>
      <c r="AC114" s="221"/>
      <c r="AD114" s="221"/>
      <c r="AE114" s="221"/>
      <c r="AF114" s="221"/>
      <c r="AG114" s="221"/>
      <c r="AH114" s="221"/>
      <c r="AI114" s="221"/>
      <c r="AJ114" s="221"/>
      <c r="AK114" s="221"/>
      <c r="AL114" s="221"/>
      <c r="AM114" s="221"/>
      <c r="AN114" s="221"/>
      <c r="AO114" s="221"/>
      <c r="AP114" s="221"/>
      <c r="AQ114" s="221"/>
      <c r="AR114" s="221"/>
      <c r="AS114" s="221"/>
      <c r="AT114" s="221"/>
      <c r="AU114" s="221"/>
      <c r="AV114" s="221"/>
      <c r="AW114" s="221"/>
      <c r="AX114" s="221"/>
      <c r="AY114" s="76"/>
      <c r="AZ114" s="77"/>
      <c r="BA114" s="77"/>
      <c r="BB114" s="78"/>
      <c r="BC114" s="76"/>
      <c r="BD114" s="221"/>
      <c r="BE114" s="221"/>
      <c r="BF114" s="221"/>
      <c r="BG114" s="221"/>
      <c r="BH114" s="221"/>
      <c r="BI114" s="221"/>
      <c r="BJ114" s="221"/>
      <c r="BK114" s="221"/>
      <c r="BL114" s="221"/>
      <c r="BM114" s="221"/>
      <c r="BN114" s="221"/>
      <c r="BO114" s="221"/>
      <c r="BP114" s="221"/>
      <c r="BQ114" s="221"/>
      <c r="BR114" s="221"/>
      <c r="BS114" s="221"/>
      <c r="BT114" s="221"/>
      <c r="BU114" s="221"/>
      <c r="BV114" s="221"/>
      <c r="BW114" s="221"/>
      <c r="BX114" s="221"/>
      <c r="BY114" s="221"/>
    </row>
    <row r="115" spans="1:77">
      <c r="B115" s="74" t="str">
        <f>BA115</f>
        <v>EBITDA - Domestic - Auckland</v>
      </c>
      <c r="C115" s="72" t="s">
        <v>72</v>
      </c>
      <c r="D115" s="224" t="s">
        <v>1342</v>
      </c>
      <c r="E115" s="223">
        <f t="shared" ref="E115:Z115" si="51">AC115</f>
        <v>131</v>
      </c>
      <c r="F115" s="223">
        <f t="shared" si="51"/>
        <v>129.69999999999999</v>
      </c>
      <c r="G115" s="223">
        <f t="shared" si="51"/>
        <v>138</v>
      </c>
      <c r="H115" s="223">
        <f t="shared" si="51"/>
        <v>129.9</v>
      </c>
      <c r="I115" s="223">
        <f t="shared" si="51"/>
        <v>137.4</v>
      </c>
      <c r="J115" s="223">
        <f t="shared" si="51"/>
        <v>56.5</v>
      </c>
      <c r="K115" s="223">
        <f t="shared" si="51"/>
        <v>94.9</v>
      </c>
      <c r="L115" s="223">
        <f t="shared" si="51"/>
        <v>108.5</v>
      </c>
      <c r="M115" s="223">
        <f t="shared" si="51"/>
        <v>16</v>
      </c>
      <c r="N115" s="223">
        <f t="shared" si="51"/>
        <v>84.9</v>
      </c>
      <c r="O115" s="223">
        <f t="shared" si="51"/>
        <v>127.8</v>
      </c>
      <c r="P115" s="223">
        <f t="shared" si="51"/>
        <v>124.8</v>
      </c>
      <c r="Q115" s="223">
        <f t="shared" si="51"/>
        <v>124.3682316174654</v>
      </c>
      <c r="R115" s="223">
        <f t="shared" si="51"/>
        <v>128.32337281861541</v>
      </c>
      <c r="S115" s="223">
        <f t="shared" si="51"/>
        <v>137.51292438871499</v>
      </c>
      <c r="T115" s="223">
        <f t="shared" si="51"/>
        <v>139.56266771311181</v>
      </c>
      <c r="U115" s="223">
        <f t="shared" si="51"/>
        <v>144.66408967309229</v>
      </c>
      <c r="V115" s="223">
        <f t="shared" si="51"/>
        <v>144.5561862760643</v>
      </c>
      <c r="W115" s="223">
        <f t="shared" si="51"/>
        <v>150.2260618786423</v>
      </c>
      <c r="X115" s="223">
        <f t="shared" si="51"/>
        <v>149.173164812528</v>
      </c>
      <c r="Y115" s="223">
        <f t="shared" si="51"/>
        <v>154.92009929186429</v>
      </c>
      <c r="Z115" s="223">
        <f t="shared" si="51"/>
        <v>154.20209185567629</v>
      </c>
      <c r="AA115" s="72"/>
      <c r="AB115" s="76"/>
      <c r="AC115" s="222">
        <v>131</v>
      </c>
      <c r="AD115" s="222">
        <v>129.69999999999999</v>
      </c>
      <c r="AE115" s="222">
        <v>138</v>
      </c>
      <c r="AF115" s="222">
        <v>129.9</v>
      </c>
      <c r="AG115" s="222">
        <v>137.4</v>
      </c>
      <c r="AH115" s="222">
        <v>56.5</v>
      </c>
      <c r="AI115" s="222">
        <v>94.9</v>
      </c>
      <c r="AJ115" s="222">
        <v>108.5</v>
      </c>
      <c r="AK115" s="222">
        <v>16</v>
      </c>
      <c r="AL115" s="222">
        <v>84.9</v>
      </c>
      <c r="AM115" s="222">
        <v>127.8</v>
      </c>
      <c r="AN115" s="222">
        <v>124.8</v>
      </c>
      <c r="AO115" s="222">
        <v>124.3682316174654</v>
      </c>
      <c r="AP115" s="222">
        <v>128.32337281861541</v>
      </c>
      <c r="AQ115" s="222">
        <v>137.51292438871499</v>
      </c>
      <c r="AR115" s="222">
        <v>139.56266771311181</v>
      </c>
      <c r="AS115" s="222">
        <v>144.66408967309229</v>
      </c>
      <c r="AT115" s="222">
        <v>144.5561862760643</v>
      </c>
      <c r="AU115" s="222">
        <v>150.2260618786423</v>
      </c>
      <c r="AV115" s="222">
        <v>149.173164812528</v>
      </c>
      <c r="AW115" s="222">
        <v>154.92009929186429</v>
      </c>
      <c r="AX115" s="222">
        <v>154.20209185567629</v>
      </c>
      <c r="AY115" s="76"/>
      <c r="AZ115" s="77" t="s">
        <v>1259</v>
      </c>
      <c r="BA115" s="77" t="s">
        <v>1283</v>
      </c>
      <c r="BB115" s="78" t="s">
        <v>1261</v>
      </c>
      <c r="BC115" s="76"/>
      <c r="BD115" s="79">
        <f>_xll.VAData($AZ115,BD$2,$BA115,$BB115)</f>
        <v>132.4992134170825</v>
      </c>
      <c r="BE115" s="79">
        <f>_xll.VAData($AZ115,BE$2,$BA115,$BB115)</f>
        <v>134.12343230658624</v>
      </c>
      <c r="BF115" s="79">
        <f>_xll.VAData($AZ115,BF$2,$BA115,$BB115)</f>
        <v>142.33635705474461</v>
      </c>
      <c r="BG115" s="79">
        <f>_xll.VAData($AZ115,BG$2,$BA115,$BB115)</f>
        <v>132.53471763300001</v>
      </c>
      <c r="BH115" s="79">
        <f>_xll.VAData($AZ115,BH$2,$BA115,$BB115)</f>
        <v>138.88606115021381</v>
      </c>
      <c r="BI115" s="79">
        <f>_xll.VAData($AZ115,BI$2,$BA115,$BB115)</f>
        <v>69.423976190720637</v>
      </c>
      <c r="BJ115" s="79">
        <f>_xll.VAData($AZ115,BJ$2,$BA115,$BB115)</f>
        <v>95.229192614556879</v>
      </c>
      <c r="BK115" s="79">
        <f>_xll.VAData($AZ115,BK$2,$BA115,$BB115)</f>
        <v>105.52801980842941</v>
      </c>
      <c r="BL115" s="79">
        <f>_xll.VAData($AZ115,BL$2,$BA115,$BB115)</f>
        <v>16</v>
      </c>
      <c r="BM115" s="79">
        <f>_xll.VAData($AZ115,BM$2,$BA115,$BB115)</f>
        <v>84.9</v>
      </c>
      <c r="BN115" s="79">
        <f>_xll.VAData($AZ115,BN$2,$BA115,$BB115)</f>
        <v>130.6</v>
      </c>
      <c r="BO115" s="79">
        <f>_xll.VAData($AZ115,BO$2,$BA115,$BB115)</f>
        <v>120.9</v>
      </c>
      <c r="BP115" s="79">
        <f>_xll.VAData($AZ115,BP$2,$BA115,$BB115)</f>
        <v>125.7</v>
      </c>
      <c r="BQ115" s="79">
        <f>_xll.VAData($AZ115,BQ$2,$BA115,$BB115)</f>
        <v>111.3</v>
      </c>
      <c r="BR115" s="79">
        <f>_xll.VAData($AZ115,BR$2,$BA115,$BB115)</f>
        <v>107.7</v>
      </c>
      <c r="BS115" s="79">
        <f>_xll.VAData($AZ115,BS$2,$BA115,$BB115)</f>
        <v>101.9</v>
      </c>
      <c r="BT115" s="79">
        <f>_xll.VAData($AZ115,BT$2,$BA115,$BB115)</f>
        <v>89.6</v>
      </c>
      <c r="BU115" s="79">
        <f>_xll.VAData($AZ115,BU$2,$BA115,$BB115)</f>
        <v>90.2</v>
      </c>
      <c r="BV115" s="79">
        <f>_xll.VAData($AZ115,BV$2,$BA115,$BB115)</f>
        <v>87.553912535193462</v>
      </c>
      <c r="BW115" s="79">
        <f>_xll.VAData($AZ115,BW$2,$BA115,$BB115)</f>
        <v>91.345114531913225</v>
      </c>
      <c r="BX115" s="79">
        <f>_xll.VAData($AZ115,BX$2,$BA115,$BB115)</f>
        <v>98.69798120794178</v>
      </c>
      <c r="BY115" s="79">
        <f>_xll.VAData($AZ115,BY$2,$BA115,$BB115)</f>
        <v>96.225447203940703</v>
      </c>
    </row>
    <row r="116" spans="1:77">
      <c r="B116" s="74"/>
      <c r="C116" s="72" t="s">
        <v>72</v>
      </c>
      <c r="D116" s="225" t="s">
        <v>1343</v>
      </c>
      <c r="E116" s="226" t="e">
        <f>HY!#REF!</f>
        <v>#REF!</v>
      </c>
      <c r="F116" s="226" t="e">
        <f>HY!#REF!</f>
        <v>#REF!</v>
      </c>
      <c r="G116" s="226" t="e">
        <f>HY!#REF!</f>
        <v>#REF!</v>
      </c>
      <c r="H116" s="226" t="e">
        <f>HY!#REF!</f>
        <v>#REF!</v>
      </c>
      <c r="I116" s="226" t="e">
        <f>HY!#REF!</f>
        <v>#REF!</v>
      </c>
      <c r="J116" s="226" t="e">
        <f>HY!#REF!</f>
        <v>#REF!</v>
      </c>
      <c r="K116" s="226" t="e">
        <f>HY!#REF!</f>
        <v>#REF!</v>
      </c>
      <c r="L116" s="226" t="e">
        <f>HY!#REF!</f>
        <v>#REF!</v>
      </c>
      <c r="M116" s="226" t="e">
        <f>HY!#REF!</f>
        <v>#REF!</v>
      </c>
      <c r="N116" s="226" t="e">
        <f>HY!#REF!</f>
        <v>#REF!</v>
      </c>
      <c r="O116" s="226" t="e">
        <f>HY!#REF!</f>
        <v>#REF!</v>
      </c>
      <c r="P116" s="226" t="e">
        <f>HY!#REF!</f>
        <v>#REF!</v>
      </c>
      <c r="Q116" s="226" t="e">
        <f>HY!#REF!</f>
        <v>#REF!</v>
      </c>
      <c r="R116" s="226" t="e">
        <f>HY!#REF!</f>
        <v>#REF!</v>
      </c>
      <c r="S116" s="226" t="e">
        <f>HY!#REF!</f>
        <v>#REF!</v>
      </c>
      <c r="T116" s="226" t="e">
        <f>HY!#REF!</f>
        <v>#REF!</v>
      </c>
      <c r="U116" s="226" t="e">
        <f>HY!#REF!</f>
        <v>#REF!</v>
      </c>
      <c r="V116" s="226" t="e">
        <f>HY!#REF!</f>
        <v>#REF!</v>
      </c>
      <c r="W116" s="226" t="e">
        <f>HY!#REF!</f>
        <v>#REF!</v>
      </c>
      <c r="X116" s="226" t="e">
        <f>HY!#REF!</f>
        <v>#REF!</v>
      </c>
      <c r="Y116" s="226" t="e">
        <f>HY!#REF!</f>
        <v>#REF!</v>
      </c>
      <c r="Z116" s="226" t="e">
        <f>HY!#REF!</f>
        <v>#REF!</v>
      </c>
      <c r="AA116" s="72"/>
      <c r="AB116" s="76"/>
      <c r="AC116" s="221"/>
      <c r="AD116" s="221"/>
      <c r="AE116" s="221"/>
      <c r="AF116" s="221"/>
      <c r="AG116" s="221"/>
      <c r="AH116" s="221"/>
      <c r="AI116" s="221"/>
      <c r="AJ116" s="221"/>
      <c r="AK116" s="221"/>
      <c r="AL116" s="221"/>
      <c r="AM116" s="221"/>
      <c r="AN116" s="221"/>
      <c r="AO116" s="221"/>
      <c r="AP116" s="221"/>
      <c r="AQ116" s="221"/>
      <c r="AR116" s="221"/>
      <c r="AS116" s="221"/>
      <c r="AT116" s="221"/>
      <c r="AU116" s="221"/>
      <c r="AV116" s="221"/>
      <c r="AW116" s="221"/>
      <c r="AX116" s="221"/>
      <c r="AY116" s="76"/>
      <c r="AZ116" s="77"/>
      <c r="BA116" s="77"/>
      <c r="BB116" s="78"/>
      <c r="BC116" s="76"/>
      <c r="BD116" s="221"/>
      <c r="BE116" s="221"/>
      <c r="BF116" s="221"/>
      <c r="BG116" s="221"/>
      <c r="BH116" s="221"/>
      <c r="BI116" s="221"/>
      <c r="BJ116" s="221"/>
      <c r="BK116" s="221"/>
      <c r="BL116" s="221"/>
      <c r="BM116" s="221"/>
      <c r="BN116" s="221"/>
      <c r="BO116" s="221"/>
      <c r="BP116" s="221"/>
      <c r="BQ116" s="221"/>
      <c r="BR116" s="221"/>
      <c r="BS116" s="221"/>
      <c r="BT116" s="221"/>
      <c r="BU116" s="221"/>
      <c r="BV116" s="221"/>
      <c r="BW116" s="221"/>
      <c r="BX116" s="221"/>
      <c r="BY116" s="221"/>
    </row>
    <row r="117" spans="1:77">
      <c r="B117" s="74"/>
      <c r="C117" s="81" t="s">
        <v>88</v>
      </c>
      <c r="D117" s="72" t="s">
        <v>1344</v>
      </c>
      <c r="E117" s="227" t="str">
        <f t="shared" ref="E117:Z117" si="52">IFERROR(ROUND(E115/E116-1,3),"")</f>
        <v/>
      </c>
      <c r="F117" s="227" t="str">
        <f t="shared" si="52"/>
        <v/>
      </c>
      <c r="G117" s="227" t="str">
        <f t="shared" si="52"/>
        <v/>
      </c>
      <c r="H117" s="227" t="str">
        <f t="shared" si="52"/>
        <v/>
      </c>
      <c r="I117" s="227" t="str">
        <f t="shared" si="52"/>
        <v/>
      </c>
      <c r="J117" s="227" t="str">
        <f t="shared" si="52"/>
        <v/>
      </c>
      <c r="K117" s="227" t="str">
        <f t="shared" si="52"/>
        <v/>
      </c>
      <c r="L117" s="227" t="str">
        <f t="shared" si="52"/>
        <v/>
      </c>
      <c r="M117" s="227" t="str">
        <f t="shared" si="52"/>
        <v/>
      </c>
      <c r="N117" s="227" t="str">
        <f t="shared" si="52"/>
        <v/>
      </c>
      <c r="O117" s="227" t="str">
        <f t="shared" si="52"/>
        <v/>
      </c>
      <c r="P117" s="227" t="str">
        <f t="shared" si="52"/>
        <v/>
      </c>
      <c r="Q117" s="227" t="str">
        <f t="shared" si="52"/>
        <v/>
      </c>
      <c r="R117" s="227" t="str">
        <f t="shared" si="52"/>
        <v/>
      </c>
      <c r="S117" s="227" t="str">
        <f t="shared" si="52"/>
        <v/>
      </c>
      <c r="T117" s="227" t="str">
        <f t="shared" si="52"/>
        <v/>
      </c>
      <c r="U117" s="227" t="str">
        <f t="shared" si="52"/>
        <v/>
      </c>
      <c r="V117" s="227" t="str">
        <f t="shared" si="52"/>
        <v/>
      </c>
      <c r="W117" s="227" t="str">
        <f t="shared" si="52"/>
        <v/>
      </c>
      <c r="X117" s="227" t="str">
        <f t="shared" si="52"/>
        <v/>
      </c>
      <c r="Y117" s="227" t="str">
        <f t="shared" si="52"/>
        <v/>
      </c>
      <c r="Z117" s="227" t="str">
        <f t="shared" si="52"/>
        <v/>
      </c>
      <c r="AA117" s="72"/>
      <c r="AB117" s="76"/>
      <c r="AC117" s="221"/>
      <c r="AD117" s="221"/>
      <c r="AE117" s="221"/>
      <c r="AF117" s="221"/>
      <c r="AG117" s="221"/>
      <c r="AH117" s="221"/>
      <c r="AI117" s="221"/>
      <c r="AJ117" s="221"/>
      <c r="AK117" s="221"/>
      <c r="AL117" s="221"/>
      <c r="AM117" s="221"/>
      <c r="AN117" s="221"/>
      <c r="AO117" s="221"/>
      <c r="AP117" s="221"/>
      <c r="AQ117" s="221"/>
      <c r="AR117" s="221"/>
      <c r="AS117" s="221"/>
      <c r="AT117" s="221"/>
      <c r="AU117" s="221"/>
      <c r="AV117" s="221"/>
      <c r="AW117" s="221"/>
      <c r="AX117" s="221"/>
      <c r="AY117" s="76"/>
      <c r="AZ117" s="77"/>
      <c r="BA117" s="77"/>
      <c r="BB117" s="78"/>
      <c r="BC117" s="76"/>
      <c r="BD117" s="221"/>
      <c r="BE117" s="221"/>
      <c r="BF117" s="221"/>
      <c r="BG117" s="221"/>
      <c r="BH117" s="221"/>
      <c r="BI117" s="221"/>
      <c r="BJ117" s="221"/>
      <c r="BK117" s="221"/>
      <c r="BL117" s="221"/>
      <c r="BM117" s="221"/>
      <c r="BN117" s="221"/>
      <c r="BO117" s="221"/>
      <c r="BP117" s="221"/>
      <c r="BQ117" s="221"/>
      <c r="BR117" s="221"/>
      <c r="BS117" s="221"/>
      <c r="BT117" s="221"/>
      <c r="BU117" s="221"/>
      <c r="BV117" s="221"/>
      <c r="BW117" s="221"/>
      <c r="BX117" s="221"/>
      <c r="BY117" s="221"/>
    </row>
    <row r="119" spans="1:77">
      <c r="A119" s="229"/>
      <c r="B119" s="229" t="s">
        <v>1363</v>
      </c>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c r="AA119" s="72"/>
      <c r="AB119" s="72"/>
      <c r="AC119" s="67"/>
      <c r="AD119" s="67"/>
      <c r="AE119" s="67"/>
      <c r="AF119" s="72"/>
      <c r="AG119" s="67"/>
      <c r="AH119" s="67"/>
      <c r="AI119" s="67"/>
      <c r="AJ119" s="72"/>
      <c r="AK119" s="67"/>
      <c r="AL119" s="67"/>
      <c r="AM119" s="67"/>
      <c r="AN119" s="67"/>
      <c r="AO119" s="67"/>
      <c r="AP119" s="67"/>
      <c r="AQ119" s="67"/>
      <c r="AR119" s="67"/>
      <c r="AS119" s="67"/>
      <c r="AT119" s="67"/>
      <c r="AU119" s="67"/>
      <c r="AV119" s="67"/>
      <c r="AW119" s="67"/>
      <c r="AX119" s="67"/>
      <c r="AY119" s="72"/>
      <c r="AZ119" s="67"/>
      <c r="BA119" s="67"/>
      <c r="BB119" s="67"/>
      <c r="BC119" s="72"/>
      <c r="BD119" s="67"/>
      <c r="BE119" s="67"/>
      <c r="BF119" s="67"/>
      <c r="BG119" s="72"/>
      <c r="BH119" s="67"/>
      <c r="BI119" s="67"/>
      <c r="BJ119" s="67"/>
      <c r="BK119" s="72"/>
      <c r="BL119" s="67"/>
      <c r="BM119" s="67"/>
      <c r="BN119" s="67"/>
      <c r="BO119" s="67"/>
      <c r="BP119" s="67"/>
      <c r="BQ119" s="67"/>
      <c r="BR119" s="67"/>
      <c r="BS119" s="67"/>
      <c r="BT119" s="67"/>
      <c r="BU119" s="67"/>
      <c r="BV119" s="67"/>
      <c r="BW119" s="67"/>
      <c r="BX119" s="67"/>
      <c r="BY119" s="67"/>
    </row>
    <row r="120" spans="1:77">
      <c r="B120" s="73"/>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67"/>
      <c r="AD120" s="67"/>
      <c r="AE120" s="67"/>
      <c r="AF120" s="72"/>
      <c r="AG120" s="67"/>
      <c r="AH120" s="67"/>
      <c r="AI120" s="67"/>
      <c r="AJ120" s="72"/>
      <c r="AK120" s="67"/>
      <c r="AL120" s="67"/>
      <c r="AM120" s="67"/>
      <c r="AN120" s="67"/>
      <c r="AO120" s="67"/>
      <c r="AP120" s="67"/>
      <c r="AQ120" s="67"/>
      <c r="AR120" s="67"/>
      <c r="AS120" s="67"/>
      <c r="AT120" s="67"/>
      <c r="AU120" s="67"/>
      <c r="AV120" s="67"/>
      <c r="AW120" s="67"/>
      <c r="AX120" s="67"/>
      <c r="AY120" s="72"/>
      <c r="AZ120" s="67"/>
      <c r="BA120" s="67"/>
      <c r="BB120" s="67"/>
      <c r="BC120" s="72"/>
      <c r="BD120" s="67"/>
      <c r="BE120" s="67"/>
      <c r="BF120" s="67"/>
      <c r="BG120" s="72"/>
      <c r="BH120" s="67"/>
      <c r="BI120" s="67"/>
      <c r="BJ120" s="67"/>
      <c r="BK120" s="72"/>
      <c r="BL120" s="67"/>
      <c r="BM120" s="67"/>
      <c r="BN120" s="67"/>
      <c r="BO120" s="67"/>
      <c r="BP120" s="67"/>
      <c r="BQ120" s="67"/>
      <c r="BR120" s="67"/>
      <c r="BS120" s="67"/>
      <c r="BT120" s="67"/>
      <c r="BU120" s="67"/>
      <c r="BV120" s="67"/>
      <c r="BW120" s="67"/>
      <c r="BX120" s="67"/>
      <c r="BY120" s="67"/>
    </row>
    <row r="121" spans="1:77">
      <c r="B121" s="237" t="s">
        <v>1353</v>
      </c>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67"/>
      <c r="AD121" s="67"/>
      <c r="AE121" s="67"/>
      <c r="AF121" s="72"/>
      <c r="AG121" s="67"/>
      <c r="AH121" s="67"/>
      <c r="AI121" s="67"/>
      <c r="AJ121" s="72"/>
      <c r="AK121" s="67"/>
      <c r="AL121" s="67"/>
      <c r="AM121" s="67"/>
      <c r="AN121" s="67"/>
      <c r="AO121" s="67"/>
      <c r="AP121" s="67"/>
      <c r="AQ121" s="67"/>
      <c r="AR121" s="67"/>
      <c r="AS121" s="67"/>
      <c r="AT121" s="67"/>
      <c r="AU121" s="67"/>
      <c r="AV121" s="67"/>
      <c r="AW121" s="67"/>
      <c r="AX121" s="67"/>
      <c r="AY121" s="72"/>
      <c r="AZ121" s="67"/>
      <c r="BA121" s="67"/>
      <c r="BB121" s="67"/>
      <c r="BC121" s="72"/>
      <c r="BD121" s="67"/>
      <c r="BE121" s="67"/>
      <c r="BF121" s="67"/>
      <c r="BG121" s="72"/>
      <c r="BH121" s="67"/>
      <c r="BI121" s="67"/>
      <c r="BJ121" s="67"/>
      <c r="BK121" s="72"/>
      <c r="BL121" s="67"/>
      <c r="BM121" s="67"/>
      <c r="BN121" s="67"/>
      <c r="BO121" s="67"/>
      <c r="BP121" s="67"/>
      <c r="BQ121" s="67"/>
      <c r="BR121" s="67"/>
      <c r="BS121" s="67"/>
      <c r="BT121" s="67"/>
      <c r="BU121" s="67"/>
      <c r="BV121" s="67"/>
      <c r="BW121" s="67"/>
      <c r="BX121" s="67"/>
      <c r="BY121" s="67"/>
    </row>
    <row r="122" spans="1:77">
      <c r="B122" s="73"/>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67"/>
      <c r="AD122" s="67"/>
      <c r="AE122" s="67"/>
      <c r="AF122" s="72"/>
      <c r="AG122" s="67"/>
      <c r="AH122" s="67"/>
      <c r="AI122" s="67"/>
      <c r="AJ122" s="72"/>
      <c r="AK122" s="67"/>
      <c r="AL122" s="67"/>
      <c r="AM122" s="67"/>
      <c r="AN122" s="67"/>
      <c r="AO122" s="67"/>
      <c r="AP122" s="67"/>
      <c r="AQ122" s="67"/>
      <c r="AR122" s="67"/>
      <c r="AS122" s="67"/>
      <c r="AT122" s="67"/>
      <c r="AU122" s="67"/>
      <c r="AV122" s="67"/>
      <c r="AW122" s="67"/>
      <c r="AX122" s="67"/>
      <c r="AY122" s="72"/>
      <c r="AZ122" s="67"/>
      <c r="BA122" s="67"/>
      <c r="BB122" s="67"/>
      <c r="BC122" s="72"/>
      <c r="BD122" s="67"/>
      <c r="BE122" s="67"/>
      <c r="BF122" s="67"/>
      <c r="BG122" s="72"/>
      <c r="BH122" s="67"/>
      <c r="BI122" s="67"/>
      <c r="BJ122" s="67"/>
      <c r="BK122" s="72"/>
      <c r="BL122" s="67"/>
      <c r="BM122" s="67"/>
      <c r="BN122" s="67"/>
      <c r="BO122" s="67"/>
      <c r="BP122" s="67"/>
      <c r="BQ122" s="67"/>
      <c r="BR122" s="67"/>
      <c r="BS122" s="67"/>
      <c r="BT122" s="67"/>
      <c r="BU122" s="67"/>
      <c r="BV122" s="67"/>
      <c r="BW122" s="67"/>
      <c r="BX122" s="67"/>
      <c r="BY122" s="67"/>
    </row>
    <row r="123" spans="1:77">
      <c r="B123" s="74" t="str">
        <f>BA123</f>
        <v>Total revenue - Slot - Hamilton</v>
      </c>
      <c r="C123" s="72" t="s">
        <v>72</v>
      </c>
      <c r="D123" s="224" t="s">
        <v>1342</v>
      </c>
      <c r="E123" s="223">
        <f t="shared" ref="E123:Z123" si="53">AC123</f>
        <v>21.3</v>
      </c>
      <c r="F123" s="223">
        <f t="shared" si="53"/>
        <v>21.6</v>
      </c>
      <c r="G123" s="223">
        <f t="shared" si="53"/>
        <v>22.8</v>
      </c>
      <c r="H123" s="223">
        <f t="shared" si="53"/>
        <v>21.7</v>
      </c>
      <c r="I123" s="223">
        <f t="shared" si="53"/>
        <v>24.2</v>
      </c>
      <c r="J123" s="223">
        <f t="shared" si="53"/>
        <v>17.2</v>
      </c>
      <c r="K123" s="223">
        <f t="shared" si="53"/>
        <v>26.5</v>
      </c>
      <c r="L123" s="223">
        <f t="shared" si="53"/>
        <v>26.5</v>
      </c>
      <c r="M123" s="223">
        <f t="shared" si="53"/>
        <v>16.899999999999999</v>
      </c>
      <c r="N123" s="223">
        <f t="shared" si="53"/>
        <v>23.9</v>
      </c>
      <c r="O123" s="223">
        <f t="shared" si="53"/>
        <v>28.3</v>
      </c>
      <c r="P123" s="223">
        <f t="shared" si="53"/>
        <v>25.8</v>
      </c>
      <c r="Q123" s="223">
        <f t="shared" si="53"/>
        <v>27.41381557226098</v>
      </c>
      <c r="R123" s="223">
        <f t="shared" si="53"/>
        <v>26.2436175769103</v>
      </c>
      <c r="S123" s="223">
        <f t="shared" si="53"/>
        <v>28.53212668931058</v>
      </c>
      <c r="T123" s="223">
        <f t="shared" si="53"/>
        <v>27.066046984449152</v>
      </c>
      <c r="U123" s="223">
        <f t="shared" si="53"/>
        <v>29.690642970670829</v>
      </c>
      <c r="V123" s="223">
        <f t="shared" si="53"/>
        <v>27.93525399829317</v>
      </c>
      <c r="W123" s="223">
        <f t="shared" si="53"/>
        <v>30.525334396343869</v>
      </c>
      <c r="X123" s="223">
        <f t="shared" si="53"/>
        <v>28.717865512405901</v>
      </c>
      <c r="Y123" s="223">
        <f t="shared" si="53"/>
        <v>31.37533374933167</v>
      </c>
      <c r="Z123" s="223">
        <f t="shared" si="53"/>
        <v>29.567157460052101</v>
      </c>
      <c r="AA123" s="72"/>
      <c r="AB123" s="76"/>
      <c r="AC123" s="222">
        <v>21.3</v>
      </c>
      <c r="AD123" s="222">
        <v>21.6</v>
      </c>
      <c r="AE123" s="222">
        <v>22.8</v>
      </c>
      <c r="AF123" s="222">
        <v>21.7</v>
      </c>
      <c r="AG123" s="222">
        <v>24.2</v>
      </c>
      <c r="AH123" s="222">
        <v>17.2</v>
      </c>
      <c r="AI123" s="222">
        <v>26.5</v>
      </c>
      <c r="AJ123" s="222">
        <v>26.5</v>
      </c>
      <c r="AK123" s="222">
        <v>16.899999999999999</v>
      </c>
      <c r="AL123" s="222">
        <v>23.9</v>
      </c>
      <c r="AM123" s="222">
        <v>28.3</v>
      </c>
      <c r="AN123" s="222">
        <v>25.8</v>
      </c>
      <c r="AO123" s="222">
        <v>27.41381557226098</v>
      </c>
      <c r="AP123" s="222">
        <v>26.2436175769103</v>
      </c>
      <c r="AQ123" s="222">
        <v>28.53212668931058</v>
      </c>
      <c r="AR123" s="222">
        <v>27.066046984449152</v>
      </c>
      <c r="AS123" s="222">
        <v>29.690642970670829</v>
      </c>
      <c r="AT123" s="222">
        <v>27.93525399829317</v>
      </c>
      <c r="AU123" s="222">
        <v>30.525334396343869</v>
      </c>
      <c r="AV123" s="222">
        <v>28.717865512405901</v>
      </c>
      <c r="AW123" s="222">
        <v>31.37533374933167</v>
      </c>
      <c r="AX123" s="222">
        <v>29.567157460052101</v>
      </c>
      <c r="AY123" s="76"/>
      <c r="AZ123" s="77" t="s">
        <v>1259</v>
      </c>
      <c r="BA123" s="77" t="s">
        <v>1294</v>
      </c>
      <c r="BB123" s="78" t="s">
        <v>1261</v>
      </c>
      <c r="BC123" s="76"/>
      <c r="BD123" s="79">
        <f>_xll.VAData($AZ123,BD$2,$BA123,$BB123)</f>
        <v>21.303032999999999</v>
      </c>
      <c r="BE123" s="79">
        <f>_xll.VAData($AZ123,BE$2,$BA123,$BB123)</f>
        <v>21.594057599999999</v>
      </c>
      <c r="BF123" s="79">
        <f>_xll.VAData($AZ123,BF$2,$BA123,$BB123)</f>
        <v>22.798745310000001</v>
      </c>
      <c r="BG123" s="79">
        <f>_xll.VAData($AZ123,BG$2,$BA123,$BB123)</f>
        <v>21.698027887999999</v>
      </c>
      <c r="BH123" s="79">
        <f>_xll.VAData($AZ123,BH$2,$BA123,$BB123)</f>
        <v>24.199084221846402</v>
      </c>
      <c r="BI123" s="79">
        <f>_xll.VAData($AZ123,BI$2,$BA123,$BB123)</f>
        <v>17.2009157781536</v>
      </c>
      <c r="BJ123" s="79">
        <f>_xll.VAData($AZ123,BJ$2,$BA123,$BB123)</f>
        <v>26.486398138699951</v>
      </c>
      <c r="BK123" s="79">
        <f>_xll.VAData($AZ123,BK$2,$BA123,$BB123)</f>
        <v>26.719034108588549</v>
      </c>
      <c r="BL123" s="79">
        <f>_xll.VAData($AZ123,BL$2,$BA123,$BB123)</f>
        <v>16.899999999999999</v>
      </c>
      <c r="BM123" s="79">
        <f>_xll.VAData($AZ123,BM$2,$BA123,$BB123)</f>
        <v>23.9</v>
      </c>
      <c r="BN123" s="79">
        <f>_xll.VAData($AZ123,BN$2,$BA123,$BB123)</f>
        <v>28.3</v>
      </c>
      <c r="BO123" s="79">
        <f>_xll.VAData($AZ123,BO$2,$BA123,$BB123)</f>
        <v>25.8</v>
      </c>
      <c r="BP123" s="79">
        <f>_xll.VAData($AZ123,BP$2,$BA123,$BB123)</f>
        <v>26.7</v>
      </c>
      <c r="BQ123" s="79">
        <f>_xll.VAData($AZ123,BQ$2,$BA123,$BB123)</f>
        <v>25.9</v>
      </c>
      <c r="BR123" s="79">
        <f>_xll.VAData($AZ123,BR$2,$BA123,$BB123)</f>
        <v>26</v>
      </c>
      <c r="BS123" s="79">
        <f>_xll.VAData($AZ123,BS$2,$BA123,$BB123)</f>
        <v>24.7</v>
      </c>
      <c r="BT123" s="79">
        <f>_xll.VAData($AZ123,BT$2,$BA123,$BB123)</f>
        <v>24.8</v>
      </c>
      <c r="BU123" s="79">
        <f>_xll.VAData($AZ123,BU$2,$BA123,$BB123)</f>
        <v>25</v>
      </c>
      <c r="BV123" s="79">
        <f>_xll.VAData($AZ123,BV$2,$BA123,$BB123)</f>
        <v>25.42</v>
      </c>
      <c r="BW123" s="79">
        <f>_xll.VAData($AZ123,BW$2,$BA123,$BB123)</f>
        <v>25.75</v>
      </c>
      <c r="BX123" s="79">
        <f>_xll.VAData($AZ123,BX$2,$BA123,$BB123)</f>
        <v>26.055499999999999</v>
      </c>
      <c r="BY123" s="79">
        <f>_xll.VAData($AZ123,BY$2,$BA123,$BB123)</f>
        <v>26.393750000000001</v>
      </c>
    </row>
    <row r="124" spans="1:77">
      <c r="B124" s="74"/>
      <c r="C124" s="72" t="s">
        <v>72</v>
      </c>
      <c r="D124" s="225" t="s">
        <v>1343</v>
      </c>
      <c r="E124" s="226">
        <f>HY!E126</f>
        <v>18.530999999999999</v>
      </c>
      <c r="F124" s="226">
        <f>HY!F126</f>
        <v>21.201029999999999</v>
      </c>
      <c r="G124" s="226">
        <f>HY!G126</f>
        <v>19.835999999999999</v>
      </c>
      <c r="H124" s="226">
        <f>HY!H126</f>
        <v>21.45768</v>
      </c>
      <c r="I124" s="226">
        <f>HY!I126</f>
        <v>21.053999999999998</v>
      </c>
      <c r="J124" s="226">
        <f>HY!J126</f>
        <v>17.70102</v>
      </c>
      <c r="K124" s="226">
        <f>HY!K126</f>
        <v>23.055</v>
      </c>
      <c r="L124" s="226">
        <f>HY!L126</f>
        <v>26.052150000000001</v>
      </c>
      <c r="M124" s="226">
        <f>HY!M126</f>
        <v>17.661000000000001</v>
      </c>
      <c r="N124" s="226">
        <f>HY!N126</f>
        <v>24.099</v>
      </c>
      <c r="O124" s="226">
        <f>HY!O126</f>
        <v>28.2</v>
      </c>
      <c r="P124" s="226">
        <f>HY!P126</f>
        <v>25.8</v>
      </c>
      <c r="Q124" s="226">
        <f>HY!Q126</f>
        <v>26.4</v>
      </c>
      <c r="R124" s="226">
        <f>HY!R126</f>
        <v>25.9</v>
      </c>
      <c r="S124" s="226">
        <f>HY!S126</f>
        <v>26</v>
      </c>
      <c r="T124" s="226">
        <f>HY!T126</f>
        <v>24.700000000000003</v>
      </c>
      <c r="U124" s="226">
        <f>HY!U126</f>
        <v>24.8</v>
      </c>
      <c r="V124" s="226">
        <f>HY!V126</f>
        <v>24.999999999999996</v>
      </c>
      <c r="W124" s="226">
        <f>HY!W126</f>
        <v>25.295999999999999</v>
      </c>
      <c r="X124" s="226">
        <f>HY!X126</f>
        <v>25.5</v>
      </c>
      <c r="Y124" s="226">
        <f>HY!Y126</f>
        <v>26.307839999999995</v>
      </c>
      <c r="Z124" s="226">
        <f>HY!Z126</f>
        <v>26.52</v>
      </c>
      <c r="AA124" s="72"/>
      <c r="AB124" s="76"/>
      <c r="AC124" s="221"/>
      <c r="AD124" s="221"/>
      <c r="AE124" s="221"/>
      <c r="AF124" s="221"/>
      <c r="AG124" s="221"/>
      <c r="AH124" s="221"/>
      <c r="AI124" s="221"/>
      <c r="AJ124" s="221"/>
      <c r="AK124" s="221"/>
      <c r="AL124" s="221"/>
      <c r="AM124" s="221"/>
      <c r="AN124" s="221"/>
      <c r="AO124" s="221"/>
      <c r="AP124" s="221"/>
      <c r="AQ124" s="221"/>
      <c r="AR124" s="221"/>
      <c r="AS124" s="221"/>
      <c r="AT124" s="221"/>
      <c r="AU124" s="221"/>
      <c r="AV124" s="221"/>
      <c r="AW124" s="221"/>
      <c r="AX124" s="221"/>
      <c r="AY124" s="76"/>
      <c r="AZ124" s="77"/>
      <c r="BA124" s="77"/>
      <c r="BB124" s="78"/>
      <c r="BC124" s="76"/>
      <c r="BD124" s="221"/>
      <c r="BE124" s="221"/>
      <c r="BF124" s="221"/>
      <c r="BG124" s="221"/>
      <c r="BH124" s="221"/>
      <c r="BI124" s="221"/>
      <c r="BJ124" s="221"/>
      <c r="BK124" s="221"/>
      <c r="BL124" s="221"/>
      <c r="BM124" s="221"/>
      <c r="BN124" s="221"/>
      <c r="BO124" s="221"/>
      <c r="BP124" s="221"/>
      <c r="BQ124" s="221"/>
      <c r="BR124" s="221"/>
      <c r="BS124" s="221"/>
      <c r="BT124" s="221"/>
      <c r="BU124" s="221"/>
      <c r="BV124" s="221"/>
      <c r="BW124" s="221"/>
      <c r="BX124" s="221"/>
      <c r="BY124" s="221"/>
    </row>
    <row r="125" spans="1:77">
      <c r="B125" s="74"/>
      <c r="C125" s="81" t="s">
        <v>88</v>
      </c>
      <c r="D125" s="72" t="s">
        <v>1344</v>
      </c>
      <c r="E125" s="227">
        <f t="shared" ref="E125:Z125" si="54">IFERROR(ROUND(E123/E124-1,3),"")</f>
        <v>0.14899999999999999</v>
      </c>
      <c r="F125" s="227">
        <f t="shared" si="54"/>
        <v>1.9E-2</v>
      </c>
      <c r="G125" s="227">
        <f t="shared" si="54"/>
        <v>0.14899999999999999</v>
      </c>
      <c r="H125" s="227">
        <f t="shared" si="54"/>
        <v>1.0999999999999999E-2</v>
      </c>
      <c r="I125" s="227">
        <f t="shared" si="54"/>
        <v>0.14899999999999999</v>
      </c>
      <c r="J125" s="227">
        <f t="shared" si="54"/>
        <v>-2.8000000000000001E-2</v>
      </c>
      <c r="K125" s="227">
        <f t="shared" si="54"/>
        <v>0.14899999999999999</v>
      </c>
      <c r="L125" s="227">
        <f t="shared" si="54"/>
        <v>1.7000000000000001E-2</v>
      </c>
      <c r="M125" s="227">
        <f t="shared" si="54"/>
        <v>-4.2999999999999997E-2</v>
      </c>
      <c r="N125" s="227">
        <f t="shared" si="54"/>
        <v>-8.0000000000000002E-3</v>
      </c>
      <c r="O125" s="227">
        <f t="shared" si="54"/>
        <v>4.0000000000000001E-3</v>
      </c>
      <c r="P125" s="227">
        <f t="shared" si="54"/>
        <v>0</v>
      </c>
      <c r="Q125" s="227">
        <f t="shared" si="54"/>
        <v>3.7999999999999999E-2</v>
      </c>
      <c r="R125" s="227">
        <f t="shared" si="54"/>
        <v>1.2999999999999999E-2</v>
      </c>
      <c r="S125" s="227">
        <f t="shared" si="54"/>
        <v>9.7000000000000003E-2</v>
      </c>
      <c r="T125" s="227">
        <f t="shared" si="54"/>
        <v>9.6000000000000002E-2</v>
      </c>
      <c r="U125" s="227">
        <f t="shared" si="54"/>
        <v>0.19700000000000001</v>
      </c>
      <c r="V125" s="227">
        <f t="shared" si="54"/>
        <v>0.11700000000000001</v>
      </c>
      <c r="W125" s="227">
        <f t="shared" si="54"/>
        <v>0.20699999999999999</v>
      </c>
      <c r="X125" s="227">
        <f t="shared" si="54"/>
        <v>0.126</v>
      </c>
      <c r="Y125" s="227">
        <f t="shared" si="54"/>
        <v>0.193</v>
      </c>
      <c r="Z125" s="227">
        <f t="shared" si="54"/>
        <v>0.115</v>
      </c>
      <c r="AA125" s="72"/>
      <c r="AB125" s="76"/>
      <c r="AC125" s="221"/>
      <c r="AD125" s="221"/>
      <c r="AE125" s="221"/>
      <c r="AF125" s="221"/>
      <c r="AG125" s="221"/>
      <c r="AH125" s="221"/>
      <c r="AI125" s="221"/>
      <c r="AJ125" s="221"/>
      <c r="AK125" s="221"/>
      <c r="AL125" s="221"/>
      <c r="AM125" s="221"/>
      <c r="AN125" s="221"/>
      <c r="AO125" s="221"/>
      <c r="AP125" s="221"/>
      <c r="AQ125" s="221"/>
      <c r="AR125" s="221"/>
      <c r="AS125" s="221"/>
      <c r="AT125" s="221"/>
      <c r="AU125" s="221"/>
      <c r="AV125" s="221"/>
      <c r="AW125" s="221"/>
      <c r="AX125" s="221"/>
      <c r="AY125" s="76"/>
      <c r="AZ125" s="77"/>
      <c r="BA125" s="77"/>
      <c r="BB125" s="78"/>
      <c r="BC125" s="76"/>
      <c r="BD125" s="221"/>
      <c r="BE125" s="221"/>
      <c r="BF125" s="221"/>
      <c r="BG125" s="221"/>
      <c r="BH125" s="221"/>
      <c r="BI125" s="221"/>
      <c r="BJ125" s="221"/>
      <c r="BK125" s="221"/>
      <c r="BL125" s="221"/>
      <c r="BM125" s="221"/>
      <c r="BN125" s="221"/>
      <c r="BO125" s="221"/>
      <c r="BP125" s="221"/>
      <c r="BQ125" s="221"/>
      <c r="BR125" s="221"/>
      <c r="BS125" s="221"/>
      <c r="BT125" s="221"/>
      <c r="BU125" s="221"/>
      <c r="BV125" s="221"/>
      <c r="BW125" s="221"/>
      <c r="BX125" s="221"/>
      <c r="BY125" s="221"/>
    </row>
    <row r="126" spans="1:77">
      <c r="B126" s="74"/>
      <c r="C126" s="72"/>
      <c r="D126" s="72"/>
      <c r="E126" s="75"/>
      <c r="F126" s="75"/>
      <c r="G126" s="75"/>
      <c r="H126" s="75"/>
      <c r="I126" s="75"/>
      <c r="J126" s="75"/>
      <c r="K126" s="75"/>
      <c r="L126" s="75"/>
      <c r="M126" s="75"/>
      <c r="N126" s="75"/>
      <c r="O126" s="75"/>
      <c r="P126" s="75"/>
      <c r="Q126" s="75"/>
      <c r="R126" s="75"/>
      <c r="S126" s="75"/>
      <c r="T126" s="75"/>
      <c r="U126" s="75"/>
      <c r="V126" s="75"/>
      <c r="W126" s="75"/>
      <c r="X126" s="75"/>
      <c r="Y126" s="75"/>
      <c r="Z126" s="75"/>
      <c r="AA126" s="72"/>
      <c r="AB126" s="76"/>
      <c r="AC126" s="221"/>
      <c r="AD126" s="221"/>
      <c r="AE126" s="221"/>
      <c r="AF126" s="221"/>
      <c r="AG126" s="221"/>
      <c r="AH126" s="221"/>
      <c r="AI126" s="221"/>
      <c r="AJ126" s="221"/>
      <c r="AK126" s="221"/>
      <c r="AL126" s="221"/>
      <c r="AM126" s="221"/>
      <c r="AN126" s="221"/>
      <c r="AO126" s="221"/>
      <c r="AP126" s="221"/>
      <c r="AQ126" s="221"/>
      <c r="AR126" s="221"/>
      <c r="AS126" s="221"/>
      <c r="AT126" s="221"/>
      <c r="AU126" s="221"/>
      <c r="AV126" s="221"/>
      <c r="AW126" s="221"/>
      <c r="AX126" s="221"/>
      <c r="AY126" s="76"/>
      <c r="AZ126" s="77"/>
      <c r="BA126" s="77"/>
      <c r="BB126" s="78"/>
      <c r="BC126" s="76"/>
      <c r="BD126" s="221"/>
      <c r="BE126" s="221"/>
      <c r="BF126" s="221"/>
      <c r="BG126" s="221"/>
      <c r="BH126" s="221"/>
      <c r="BI126" s="221"/>
      <c r="BJ126" s="221"/>
      <c r="BK126" s="221"/>
      <c r="BL126" s="221"/>
      <c r="BM126" s="221"/>
      <c r="BN126" s="221"/>
      <c r="BO126" s="221"/>
      <c r="BP126" s="221"/>
      <c r="BQ126" s="221"/>
      <c r="BR126" s="221"/>
      <c r="BS126" s="221"/>
      <c r="BT126" s="221"/>
      <c r="BU126" s="221"/>
      <c r="BV126" s="221"/>
      <c r="BW126" s="221"/>
      <c r="BX126" s="221"/>
      <c r="BY126" s="221"/>
    </row>
    <row r="127" spans="1:77">
      <c r="B127" s="74" t="str">
        <f>BA127</f>
        <v>Number of slot machines - Hamilton</v>
      </c>
      <c r="C127" s="72" t="s">
        <v>72</v>
      </c>
      <c r="D127" s="224" t="s">
        <v>1342</v>
      </c>
      <c r="E127" s="223">
        <f t="shared" ref="E127:Z127" si="55">AC127</f>
        <v>339</v>
      </c>
      <c r="F127" s="223">
        <f t="shared" si="55"/>
        <v>339</v>
      </c>
      <c r="G127" s="223">
        <f t="shared" si="55"/>
        <v>339</v>
      </c>
      <c r="H127" s="223">
        <f t="shared" si="55"/>
        <v>339</v>
      </c>
      <c r="I127" s="223">
        <f t="shared" si="55"/>
        <v>339</v>
      </c>
      <c r="J127" s="223">
        <f t="shared" si="55"/>
        <v>339</v>
      </c>
      <c r="K127" s="223">
        <f t="shared" si="55"/>
        <v>342.75</v>
      </c>
      <c r="L127" s="223">
        <f t="shared" si="55"/>
        <v>342.75</v>
      </c>
      <c r="M127" s="223">
        <f t="shared" si="55"/>
        <v>342.75</v>
      </c>
      <c r="N127" s="223">
        <f t="shared" si="55"/>
        <v>342.75</v>
      </c>
      <c r="O127" s="223">
        <f t="shared" si="55"/>
        <v>342.75</v>
      </c>
      <c r="P127" s="223">
        <f t="shared" si="55"/>
        <v>342.75</v>
      </c>
      <c r="Q127" s="223">
        <f t="shared" si="55"/>
        <v>344</v>
      </c>
      <c r="R127" s="223">
        <f t="shared" si="55"/>
        <v>344</v>
      </c>
      <c r="S127" s="223">
        <f t="shared" si="55"/>
        <v>346.5</v>
      </c>
      <c r="T127" s="223">
        <f t="shared" si="55"/>
        <v>346.5</v>
      </c>
      <c r="U127" s="223">
        <f t="shared" si="55"/>
        <v>346.5</v>
      </c>
      <c r="V127" s="223">
        <f t="shared" si="55"/>
        <v>346.5</v>
      </c>
      <c r="W127" s="223">
        <f t="shared" si="55"/>
        <v>346.5</v>
      </c>
      <c r="X127" s="223">
        <f t="shared" si="55"/>
        <v>346.5</v>
      </c>
      <c r="Y127" s="223">
        <f t="shared" si="55"/>
        <v>346.5</v>
      </c>
      <c r="Z127" s="223">
        <f t="shared" si="55"/>
        <v>346.5</v>
      </c>
      <c r="AA127" s="72"/>
      <c r="AB127" s="76"/>
      <c r="AC127" s="222">
        <v>339</v>
      </c>
      <c r="AD127" s="222">
        <v>339</v>
      </c>
      <c r="AE127" s="222">
        <v>339</v>
      </c>
      <c r="AF127" s="222">
        <v>339</v>
      </c>
      <c r="AG127" s="222">
        <v>339</v>
      </c>
      <c r="AH127" s="222">
        <v>339</v>
      </c>
      <c r="AI127" s="222">
        <v>342.75</v>
      </c>
      <c r="AJ127" s="222">
        <v>342.75</v>
      </c>
      <c r="AK127" s="222">
        <v>342.75</v>
      </c>
      <c r="AL127" s="222">
        <v>342.75</v>
      </c>
      <c r="AM127" s="222">
        <v>342.75</v>
      </c>
      <c r="AN127" s="222">
        <v>342.75</v>
      </c>
      <c r="AO127" s="222">
        <v>344</v>
      </c>
      <c r="AP127" s="222">
        <v>344</v>
      </c>
      <c r="AQ127" s="222">
        <v>346.5</v>
      </c>
      <c r="AR127" s="222">
        <v>346.5</v>
      </c>
      <c r="AS127" s="222">
        <v>346.5</v>
      </c>
      <c r="AT127" s="222">
        <v>346.5</v>
      </c>
      <c r="AU127" s="222">
        <v>346.5</v>
      </c>
      <c r="AV127" s="222">
        <v>346.5</v>
      </c>
      <c r="AW127" s="222">
        <v>346.5</v>
      </c>
      <c r="AX127" s="222">
        <v>346.5</v>
      </c>
      <c r="AY127" s="76"/>
      <c r="AZ127" s="77" t="s">
        <v>1259</v>
      </c>
      <c r="BA127" s="77" t="s">
        <v>1364</v>
      </c>
      <c r="BB127" s="78" t="s">
        <v>1261</v>
      </c>
      <c r="BC127" s="76"/>
      <c r="BD127" s="79" t="str">
        <f>_xll.VAData($AZ127,BD$2,$BA127,$BB127)</f>
        <v>-</v>
      </c>
      <c r="BE127" s="79" t="str">
        <f>_xll.VAData($AZ127,BE$2,$BA127,$BB127)</f>
        <v>-</v>
      </c>
      <c r="BF127" s="79" t="str">
        <f>_xll.VAData($AZ127,BF$2,$BA127,$BB127)</f>
        <v>-</v>
      </c>
      <c r="BG127" s="79" t="str">
        <f>_xll.VAData($AZ127,BG$2,$BA127,$BB127)</f>
        <v>-</v>
      </c>
      <c r="BH127" s="79" t="str">
        <f>_xll.VAData($AZ127,BH$2,$BA127,$BB127)</f>
        <v>-</v>
      </c>
      <c r="BI127" s="79" t="str">
        <f>_xll.VAData($AZ127,BI$2,$BA127,$BB127)</f>
        <v>-</v>
      </c>
      <c r="BJ127" s="79" t="str">
        <f>_xll.VAData($AZ127,BJ$2,$BA127,$BB127)</f>
        <v>-</v>
      </c>
      <c r="BK127" s="79" t="str">
        <f>_xll.VAData($AZ127,BK$2,$BA127,$BB127)</f>
        <v>-</v>
      </c>
      <c r="BL127" s="79" t="str">
        <f>_xll.VAData($AZ127,BL$2,$BA127,$BB127)</f>
        <v>-</v>
      </c>
      <c r="BM127" s="79" t="str">
        <f>_xll.VAData($AZ127,BM$2,$BA127,$BB127)</f>
        <v>-</v>
      </c>
      <c r="BN127" s="79" t="str">
        <f>_xll.VAData($AZ127,BN$2,$BA127,$BB127)</f>
        <v>-</v>
      </c>
      <c r="BO127" s="79" t="str">
        <f>_xll.VAData($AZ127,BO$2,$BA127,$BB127)</f>
        <v>-</v>
      </c>
      <c r="BP127" s="79" t="str">
        <f>_xll.VAData($AZ127,BP$2,$BA127,$BB127)</f>
        <v>-</v>
      </c>
      <c r="BQ127" s="79" t="str">
        <f>_xll.VAData($AZ127,BQ$2,$BA127,$BB127)</f>
        <v>-</v>
      </c>
      <c r="BR127" s="79" t="str">
        <f>_xll.VAData($AZ127,BR$2,$BA127,$BB127)</f>
        <v>-</v>
      </c>
      <c r="BS127" s="79" t="str">
        <f>_xll.VAData($AZ127,BS$2,$BA127,$BB127)</f>
        <v>-</v>
      </c>
      <c r="BT127" s="79" t="str">
        <f>_xll.VAData($AZ127,BT$2,$BA127,$BB127)</f>
        <v>-</v>
      </c>
      <c r="BU127" s="79" t="str">
        <f>_xll.VAData($AZ127,BU$2,$BA127,$BB127)</f>
        <v>-</v>
      </c>
      <c r="BV127" s="79" t="str">
        <f>_xll.VAData($AZ127,BV$2,$BA127,$BB127)</f>
        <v>-</v>
      </c>
      <c r="BW127" s="79" t="str">
        <f>_xll.VAData($AZ127,BW$2,$BA127,$BB127)</f>
        <v>-</v>
      </c>
      <c r="BX127" s="79" t="str">
        <f>_xll.VAData($AZ127,BX$2,$BA127,$BB127)</f>
        <v>-</v>
      </c>
      <c r="BY127" s="79" t="str">
        <f>_xll.VAData($AZ127,BY$2,$BA127,$BB127)</f>
        <v>-</v>
      </c>
    </row>
    <row r="128" spans="1:77">
      <c r="B128" s="74"/>
      <c r="C128" s="72" t="s">
        <v>72</v>
      </c>
      <c r="D128" s="225" t="s">
        <v>1343</v>
      </c>
      <c r="E128" s="226">
        <f>HY!E108</f>
        <v>339</v>
      </c>
      <c r="F128" s="226">
        <f>HY!F108</f>
        <v>339</v>
      </c>
      <c r="G128" s="226">
        <f>HY!G108</f>
        <v>339</v>
      </c>
      <c r="H128" s="226">
        <f>HY!H108</f>
        <v>339</v>
      </c>
      <c r="I128" s="226">
        <f>HY!I108</f>
        <v>339</v>
      </c>
      <c r="J128" s="226">
        <f>HY!J108</f>
        <v>339</v>
      </c>
      <c r="K128" s="226">
        <f>HY!K108</f>
        <v>339</v>
      </c>
      <c r="L128" s="226">
        <f>HY!L108</f>
        <v>339</v>
      </c>
      <c r="M128" s="226">
        <f>HY!M108</f>
        <v>425</v>
      </c>
      <c r="N128" s="226">
        <f>HY!N108</f>
        <v>425</v>
      </c>
      <c r="O128" s="226">
        <f>HY!O108</f>
        <v>425</v>
      </c>
      <c r="P128" s="226">
        <f>HY!P108</f>
        <v>425</v>
      </c>
      <c r="Q128" s="226">
        <f>HY!Q108</f>
        <v>425</v>
      </c>
      <c r="R128" s="226">
        <f>HY!R108</f>
        <v>425</v>
      </c>
      <c r="S128" s="226">
        <f>HY!S108</f>
        <v>425</v>
      </c>
      <c r="T128" s="226">
        <f>HY!T108</f>
        <v>425</v>
      </c>
      <c r="U128" s="226">
        <f>HY!U108</f>
        <v>425</v>
      </c>
      <c r="V128" s="226">
        <f>HY!V108</f>
        <v>425</v>
      </c>
      <c r="W128" s="226">
        <f>HY!W108</f>
        <v>425</v>
      </c>
      <c r="X128" s="226">
        <f>HY!X108</f>
        <v>425</v>
      </c>
      <c r="Y128" s="226">
        <f>HY!Y108</f>
        <v>425</v>
      </c>
      <c r="Z128" s="226">
        <f>HY!Z108</f>
        <v>425</v>
      </c>
      <c r="AA128" s="72"/>
      <c r="AB128" s="76"/>
      <c r="AC128" s="221"/>
      <c r="AD128" s="221"/>
      <c r="AE128" s="221"/>
      <c r="AF128" s="221"/>
      <c r="AG128" s="221"/>
      <c r="AH128" s="221"/>
      <c r="AI128" s="221"/>
      <c r="AJ128" s="221"/>
      <c r="AK128" s="221"/>
      <c r="AL128" s="221"/>
      <c r="AM128" s="221"/>
      <c r="AN128" s="221"/>
      <c r="AO128" s="221"/>
      <c r="AP128" s="221"/>
      <c r="AQ128" s="221"/>
      <c r="AR128" s="221"/>
      <c r="AS128" s="221"/>
      <c r="AT128" s="221"/>
      <c r="AU128" s="221"/>
      <c r="AV128" s="221"/>
      <c r="AW128" s="221"/>
      <c r="AX128" s="221"/>
      <c r="AY128" s="76"/>
      <c r="AZ128" s="77"/>
      <c r="BA128" s="77"/>
      <c r="BB128" s="78"/>
      <c r="BC128" s="76"/>
      <c r="BD128" s="221"/>
      <c r="BE128" s="221"/>
      <c r="BF128" s="221"/>
      <c r="BG128" s="221"/>
      <c r="BH128" s="221"/>
      <c r="BI128" s="221"/>
      <c r="BJ128" s="221"/>
      <c r="BK128" s="221"/>
      <c r="BL128" s="221"/>
      <c r="BM128" s="221"/>
      <c r="BN128" s="221"/>
      <c r="BO128" s="221"/>
      <c r="BP128" s="221"/>
      <c r="BQ128" s="221"/>
      <c r="BR128" s="221"/>
      <c r="BS128" s="221"/>
      <c r="BT128" s="221"/>
      <c r="BU128" s="221"/>
      <c r="BV128" s="221"/>
      <c r="BW128" s="221"/>
      <c r="BX128" s="221"/>
      <c r="BY128" s="221"/>
    </row>
    <row r="129" spans="2:77">
      <c r="B129" s="74"/>
      <c r="C129" s="81" t="s">
        <v>88</v>
      </c>
      <c r="D129" s="72" t="s">
        <v>1344</v>
      </c>
      <c r="E129" s="227">
        <f t="shared" ref="E129:Z129" si="56">IFERROR(ROUND(E127/E128-1,3),"")</f>
        <v>0</v>
      </c>
      <c r="F129" s="227">
        <f t="shared" si="56"/>
        <v>0</v>
      </c>
      <c r="G129" s="227">
        <f t="shared" si="56"/>
        <v>0</v>
      </c>
      <c r="H129" s="227">
        <f t="shared" si="56"/>
        <v>0</v>
      </c>
      <c r="I129" s="227">
        <f t="shared" si="56"/>
        <v>0</v>
      </c>
      <c r="J129" s="227">
        <f t="shared" si="56"/>
        <v>0</v>
      </c>
      <c r="K129" s="227">
        <f t="shared" si="56"/>
        <v>1.0999999999999999E-2</v>
      </c>
      <c r="L129" s="227">
        <f t="shared" si="56"/>
        <v>1.0999999999999999E-2</v>
      </c>
      <c r="M129" s="227">
        <f t="shared" si="56"/>
        <v>-0.19400000000000001</v>
      </c>
      <c r="N129" s="227">
        <f t="shared" si="56"/>
        <v>-0.19400000000000001</v>
      </c>
      <c r="O129" s="227">
        <f t="shared" si="56"/>
        <v>-0.19400000000000001</v>
      </c>
      <c r="P129" s="227">
        <f t="shared" si="56"/>
        <v>-0.19400000000000001</v>
      </c>
      <c r="Q129" s="227">
        <f t="shared" si="56"/>
        <v>-0.191</v>
      </c>
      <c r="R129" s="227">
        <f t="shared" si="56"/>
        <v>-0.191</v>
      </c>
      <c r="S129" s="227">
        <f t="shared" si="56"/>
        <v>-0.185</v>
      </c>
      <c r="T129" s="227">
        <f t="shared" si="56"/>
        <v>-0.185</v>
      </c>
      <c r="U129" s="227">
        <f t="shared" si="56"/>
        <v>-0.185</v>
      </c>
      <c r="V129" s="227">
        <f t="shared" si="56"/>
        <v>-0.185</v>
      </c>
      <c r="W129" s="227">
        <f t="shared" si="56"/>
        <v>-0.185</v>
      </c>
      <c r="X129" s="227">
        <f t="shared" si="56"/>
        <v>-0.185</v>
      </c>
      <c r="Y129" s="227">
        <f t="shared" si="56"/>
        <v>-0.185</v>
      </c>
      <c r="Z129" s="227">
        <f t="shared" si="56"/>
        <v>-0.185</v>
      </c>
      <c r="AA129" s="72"/>
      <c r="AB129" s="76"/>
      <c r="AC129" s="221"/>
      <c r="AD129" s="221"/>
      <c r="AE129" s="221"/>
      <c r="AF129" s="221"/>
      <c r="AG129" s="221"/>
      <c r="AH129" s="221"/>
      <c r="AI129" s="221"/>
      <c r="AJ129" s="221"/>
      <c r="AK129" s="221"/>
      <c r="AL129" s="221"/>
      <c r="AM129" s="221"/>
      <c r="AN129" s="221"/>
      <c r="AO129" s="221"/>
      <c r="AP129" s="221"/>
      <c r="AQ129" s="221"/>
      <c r="AR129" s="221"/>
      <c r="AS129" s="221"/>
      <c r="AT129" s="221"/>
      <c r="AU129" s="221"/>
      <c r="AV129" s="221"/>
      <c r="AW129" s="221"/>
      <c r="AX129" s="221"/>
      <c r="AY129" s="76"/>
      <c r="AZ129" s="77"/>
      <c r="BA129" s="77"/>
      <c r="BB129" s="78"/>
      <c r="BC129" s="76"/>
      <c r="BD129" s="221"/>
      <c r="BE129" s="221"/>
      <c r="BF129" s="221"/>
      <c r="BG129" s="221"/>
      <c r="BH129" s="221"/>
      <c r="BI129" s="221"/>
      <c r="BJ129" s="221"/>
      <c r="BK129" s="221"/>
      <c r="BL129" s="221"/>
      <c r="BM129" s="221"/>
      <c r="BN129" s="221"/>
      <c r="BO129" s="221"/>
      <c r="BP129" s="221"/>
      <c r="BQ129" s="221"/>
      <c r="BR129" s="221"/>
      <c r="BS129" s="221"/>
      <c r="BT129" s="221"/>
      <c r="BU129" s="221"/>
      <c r="BV129" s="221"/>
      <c r="BW129" s="221"/>
      <c r="BX129" s="221"/>
      <c r="BY129" s="221"/>
    </row>
    <row r="130" spans="2:77">
      <c r="B130" s="74"/>
      <c r="C130" s="72"/>
      <c r="D130" s="72"/>
      <c r="E130" s="75"/>
      <c r="F130" s="75"/>
      <c r="G130" s="75"/>
      <c r="H130" s="75"/>
      <c r="I130" s="75"/>
      <c r="J130" s="75"/>
      <c r="K130" s="75"/>
      <c r="L130" s="75"/>
      <c r="M130" s="75"/>
      <c r="N130" s="75"/>
      <c r="O130" s="75"/>
      <c r="P130" s="75"/>
      <c r="Q130" s="75"/>
      <c r="R130" s="75"/>
      <c r="S130" s="75"/>
      <c r="T130" s="75"/>
      <c r="U130" s="75"/>
      <c r="V130" s="75"/>
      <c r="W130" s="75"/>
      <c r="X130" s="75"/>
      <c r="Y130" s="75"/>
      <c r="Z130" s="75"/>
      <c r="AA130" s="72"/>
      <c r="AB130" s="76"/>
      <c r="AC130" s="221"/>
      <c r="AD130" s="221"/>
      <c r="AE130" s="221"/>
      <c r="AF130" s="221"/>
      <c r="AG130" s="221"/>
      <c r="AH130" s="221"/>
      <c r="AI130" s="221"/>
      <c r="AJ130" s="221"/>
      <c r="AK130" s="221"/>
      <c r="AL130" s="221"/>
      <c r="AM130" s="221"/>
      <c r="AN130" s="221"/>
      <c r="AO130" s="221"/>
      <c r="AP130" s="221"/>
      <c r="AQ130" s="221"/>
      <c r="AR130" s="221"/>
      <c r="AS130" s="221"/>
      <c r="AT130" s="221"/>
      <c r="AU130" s="221"/>
      <c r="AV130" s="221"/>
      <c r="AW130" s="221"/>
      <c r="AX130" s="221"/>
      <c r="AY130" s="76"/>
      <c r="AZ130" s="77"/>
      <c r="BA130" s="77"/>
      <c r="BB130" s="78"/>
      <c r="BC130" s="76"/>
      <c r="BD130" s="221"/>
      <c r="BE130" s="221"/>
      <c r="BF130" s="221"/>
      <c r="BG130" s="221"/>
      <c r="BH130" s="221"/>
      <c r="BI130" s="221"/>
      <c r="BJ130" s="221"/>
      <c r="BK130" s="221"/>
      <c r="BL130" s="221"/>
      <c r="BM130" s="221"/>
      <c r="BN130" s="221"/>
      <c r="BO130" s="221"/>
      <c r="BP130" s="221"/>
      <c r="BQ130" s="221"/>
      <c r="BR130" s="221"/>
      <c r="BS130" s="221"/>
      <c r="BT130" s="221"/>
      <c r="BU130" s="221"/>
      <c r="BV130" s="221"/>
      <c r="BW130" s="221"/>
      <c r="BX130" s="221"/>
      <c r="BY130" s="221"/>
    </row>
    <row r="131" spans="2:77">
      <c r="B131" s="74" t="str">
        <f>BA131</f>
        <v>Slot machine win per unit per day - Hamilton</v>
      </c>
      <c r="C131" s="72" t="s">
        <v>72</v>
      </c>
      <c r="D131" s="224" t="s">
        <v>1342</v>
      </c>
      <c r="E131" s="223">
        <f t="shared" ref="E131:Z131" si="57">AC131</f>
        <v>343.17805238273661</v>
      </c>
      <c r="F131" s="223">
        <f t="shared" si="57"/>
        <v>351.83792213875898</v>
      </c>
      <c r="G131" s="223">
        <f t="shared" si="57"/>
        <v>367.34552086039457</v>
      </c>
      <c r="H131" s="223">
        <f t="shared" si="57"/>
        <v>353.46680140792029</v>
      </c>
      <c r="I131" s="223">
        <f t="shared" si="57"/>
        <v>389.90182477287459</v>
      </c>
      <c r="J131" s="223">
        <f t="shared" si="57"/>
        <v>279.54737288331353</v>
      </c>
      <c r="K131" s="223">
        <f t="shared" si="57"/>
        <v>423.25352178101173</v>
      </c>
      <c r="L131" s="223">
        <f t="shared" si="57"/>
        <v>422.607612197609</v>
      </c>
      <c r="M131" s="223">
        <f t="shared" si="57"/>
        <v>268.40698919111571</v>
      </c>
      <c r="N131" s="223">
        <f t="shared" si="57"/>
        <v>383.72435375364671</v>
      </c>
      <c r="O131" s="223">
        <f t="shared" si="57"/>
        <v>449.46259136737132</v>
      </c>
      <c r="P131" s="223">
        <f t="shared" si="57"/>
        <v>414.229637106447</v>
      </c>
      <c r="Q131" s="223">
        <f t="shared" si="57"/>
        <v>432.05072493784542</v>
      </c>
      <c r="R131" s="223">
        <f t="shared" si="57"/>
        <v>422.24297130763341</v>
      </c>
      <c r="S131" s="223">
        <f t="shared" si="57"/>
        <v>441.01844926026502</v>
      </c>
      <c r="T131" s="223">
        <f t="shared" si="57"/>
        <v>428.53590711985248</v>
      </c>
      <c r="U131" s="223">
        <f t="shared" si="57"/>
        <v>454.1090398095335</v>
      </c>
      <c r="V131" s="223">
        <f t="shared" si="57"/>
        <v>441.39302479051298</v>
      </c>
      <c r="W131" s="223">
        <f t="shared" si="57"/>
        <v>467.63959251052898</v>
      </c>
      <c r="X131" s="223">
        <f t="shared" si="57"/>
        <v>454.44576302830001</v>
      </c>
      <c r="Y131" s="223">
        <f t="shared" si="57"/>
        <v>481.38022564764151</v>
      </c>
      <c r="Z131" s="223">
        <f t="shared" si="57"/>
        <v>467.68891941295652</v>
      </c>
      <c r="AA131" s="72"/>
      <c r="AB131" s="76"/>
      <c r="AC131" s="222">
        <v>343.17805238273661</v>
      </c>
      <c r="AD131" s="222">
        <v>351.83792213875898</v>
      </c>
      <c r="AE131" s="222">
        <v>367.34552086039457</v>
      </c>
      <c r="AF131" s="222">
        <v>353.46680140792029</v>
      </c>
      <c r="AG131" s="222">
        <v>389.90182477287459</v>
      </c>
      <c r="AH131" s="222">
        <v>279.54737288331353</v>
      </c>
      <c r="AI131" s="222">
        <v>423.25352178101173</v>
      </c>
      <c r="AJ131" s="222">
        <v>422.607612197609</v>
      </c>
      <c r="AK131" s="222">
        <v>268.40698919111571</v>
      </c>
      <c r="AL131" s="222">
        <v>383.72435375364671</v>
      </c>
      <c r="AM131" s="222">
        <v>449.46259136737132</v>
      </c>
      <c r="AN131" s="222">
        <v>414.229637106447</v>
      </c>
      <c r="AO131" s="222">
        <v>432.05072493784542</v>
      </c>
      <c r="AP131" s="222">
        <v>422.24297130763341</v>
      </c>
      <c r="AQ131" s="222">
        <v>441.01844926026502</v>
      </c>
      <c r="AR131" s="222">
        <v>428.53590711985248</v>
      </c>
      <c r="AS131" s="222">
        <v>454.1090398095335</v>
      </c>
      <c r="AT131" s="222">
        <v>441.39302479051298</v>
      </c>
      <c r="AU131" s="222">
        <v>467.63959251052898</v>
      </c>
      <c r="AV131" s="222">
        <v>454.44576302830001</v>
      </c>
      <c r="AW131" s="222">
        <v>481.38022564764151</v>
      </c>
      <c r="AX131" s="222">
        <v>467.68891941295652</v>
      </c>
      <c r="AY131" s="76"/>
      <c r="AZ131" s="77" t="s">
        <v>1259</v>
      </c>
      <c r="BA131" s="77" t="s">
        <v>1365</v>
      </c>
      <c r="BB131" s="78" t="s">
        <v>1261</v>
      </c>
      <c r="BC131" s="76"/>
      <c r="BD131" s="79" t="str">
        <f>_xll.VAData($AZ131,BD$2,$BA131,$BB131)</f>
        <v>-</v>
      </c>
      <c r="BE131" s="79" t="str">
        <f>_xll.VAData($AZ131,BE$2,$BA131,$BB131)</f>
        <v>-</v>
      </c>
      <c r="BF131" s="79" t="str">
        <f>_xll.VAData($AZ131,BF$2,$BA131,$BB131)</f>
        <v>-</v>
      </c>
      <c r="BG131" s="79" t="str">
        <f>_xll.VAData($AZ131,BG$2,$BA131,$BB131)</f>
        <v>-</v>
      </c>
      <c r="BH131" s="79" t="str">
        <f>_xll.VAData($AZ131,BH$2,$BA131,$BB131)</f>
        <v>-</v>
      </c>
      <c r="BI131" s="79" t="str">
        <f>_xll.VAData($AZ131,BI$2,$BA131,$BB131)</f>
        <v>-</v>
      </c>
      <c r="BJ131" s="79" t="str">
        <f>_xll.VAData($AZ131,BJ$2,$BA131,$BB131)</f>
        <v>-</v>
      </c>
      <c r="BK131" s="79" t="str">
        <f>_xll.VAData($AZ131,BK$2,$BA131,$BB131)</f>
        <v>-</v>
      </c>
      <c r="BL131" s="79" t="str">
        <f>_xll.VAData($AZ131,BL$2,$BA131,$BB131)</f>
        <v>-</v>
      </c>
      <c r="BM131" s="79" t="str">
        <f>_xll.VAData($AZ131,BM$2,$BA131,$BB131)</f>
        <v>-</v>
      </c>
      <c r="BN131" s="79" t="str">
        <f>_xll.VAData($AZ131,BN$2,$BA131,$BB131)</f>
        <v>-</v>
      </c>
      <c r="BO131" s="79" t="str">
        <f>_xll.VAData($AZ131,BO$2,$BA131,$BB131)</f>
        <v>-</v>
      </c>
      <c r="BP131" s="79" t="str">
        <f>_xll.VAData($AZ131,BP$2,$BA131,$BB131)</f>
        <v>-</v>
      </c>
      <c r="BQ131" s="79" t="str">
        <f>_xll.VAData($AZ131,BQ$2,$BA131,$BB131)</f>
        <v>-</v>
      </c>
      <c r="BR131" s="79" t="str">
        <f>_xll.VAData($AZ131,BR$2,$BA131,$BB131)</f>
        <v>-</v>
      </c>
      <c r="BS131" s="79" t="str">
        <f>_xll.VAData($AZ131,BS$2,$BA131,$BB131)</f>
        <v>-</v>
      </c>
      <c r="BT131" s="79" t="str">
        <f>_xll.VAData($AZ131,BT$2,$BA131,$BB131)</f>
        <v>-</v>
      </c>
      <c r="BU131" s="79" t="str">
        <f>_xll.VAData($AZ131,BU$2,$BA131,$BB131)</f>
        <v>-</v>
      </c>
      <c r="BV131" s="79" t="str">
        <f>_xll.VAData($AZ131,BV$2,$BA131,$BB131)</f>
        <v>-</v>
      </c>
      <c r="BW131" s="79" t="str">
        <f>_xll.VAData($AZ131,BW$2,$BA131,$BB131)</f>
        <v>-</v>
      </c>
      <c r="BX131" s="79" t="str">
        <f>_xll.VAData($AZ131,BX$2,$BA131,$BB131)</f>
        <v>-</v>
      </c>
      <c r="BY131" s="79" t="str">
        <f>_xll.VAData($AZ131,BY$2,$BA131,$BB131)</f>
        <v>-</v>
      </c>
    </row>
    <row r="132" spans="2:77">
      <c r="B132" s="74"/>
      <c r="C132" s="72" t="s">
        <v>72</v>
      </c>
      <c r="D132" s="225" t="s">
        <v>1343</v>
      </c>
      <c r="E132" s="226">
        <f>HY!E117</f>
        <v>297.08541746825705</v>
      </c>
      <c r="F132" s="226">
        <f>HY!F117</f>
        <v>345.52437295262308</v>
      </c>
      <c r="G132" s="226">
        <f>HY!G117</f>
        <v>318.00692574066949</v>
      </c>
      <c r="H132" s="226">
        <f>HY!H117</f>
        <v>349.70713342785899</v>
      </c>
      <c r="I132" s="226">
        <f>HY!I117</f>
        <v>337.53366679492115</v>
      </c>
      <c r="J132" s="226">
        <f>HY!J117</f>
        <v>286.89779247301374</v>
      </c>
      <c r="K132" s="226">
        <f>HY!K117</f>
        <v>369.61331281262022</v>
      </c>
      <c r="L132" s="226">
        <f>HY!L117</f>
        <v>424.585635359116</v>
      </c>
      <c r="M132" s="226">
        <f>HY!M117</f>
        <v>225.84398976982095</v>
      </c>
      <c r="N132" s="226">
        <f>HY!N117</f>
        <v>313.27916802079949</v>
      </c>
      <c r="O132" s="226">
        <f>HY!O117</f>
        <v>360.61381074168798</v>
      </c>
      <c r="P132" s="226">
        <f>HY!P117</f>
        <v>335.39161520961977</v>
      </c>
      <c r="Q132" s="226">
        <f>HY!Q117</f>
        <v>337.59590792838878</v>
      </c>
      <c r="R132" s="226">
        <f>HY!R117</f>
        <v>334.84162895927602</v>
      </c>
      <c r="S132" s="226">
        <f>HY!S117</f>
        <v>332.48081841432224</v>
      </c>
      <c r="T132" s="226">
        <f>HY!T117</f>
        <v>321.09197270068256</v>
      </c>
      <c r="U132" s="226">
        <f>HY!U117</f>
        <v>317.13554987212274</v>
      </c>
      <c r="V132" s="226">
        <f>HY!V117</f>
        <v>324.99187520311989</v>
      </c>
      <c r="W132" s="226">
        <f>HY!W117</f>
        <v>323.47826086956519</v>
      </c>
      <c r="X132" s="226">
        <f>HY!X117</f>
        <v>331.49171270718227</v>
      </c>
      <c r="Y132" s="226">
        <f>HY!Y117</f>
        <v>336.4173913043478</v>
      </c>
      <c r="Z132" s="226">
        <f>HY!Z117</f>
        <v>344.75138121546956</v>
      </c>
      <c r="AA132" s="72"/>
      <c r="AB132" s="76"/>
      <c r="AC132" s="221"/>
      <c r="AD132" s="221"/>
      <c r="AE132" s="221"/>
      <c r="AF132" s="221"/>
      <c r="AG132" s="221"/>
      <c r="AH132" s="221"/>
      <c r="AI132" s="221"/>
      <c r="AJ132" s="221"/>
      <c r="AK132" s="221"/>
      <c r="AL132" s="221"/>
      <c r="AM132" s="221"/>
      <c r="AN132" s="221"/>
      <c r="AO132" s="221"/>
      <c r="AP132" s="221"/>
      <c r="AQ132" s="221"/>
      <c r="AR132" s="221"/>
      <c r="AS132" s="221"/>
      <c r="AT132" s="221"/>
      <c r="AU132" s="221"/>
      <c r="AV132" s="221"/>
      <c r="AW132" s="221"/>
      <c r="AX132" s="221"/>
      <c r="AY132" s="76"/>
      <c r="AZ132" s="77"/>
      <c r="BA132" s="77"/>
      <c r="BB132" s="78"/>
      <c r="BC132" s="76"/>
      <c r="BD132" s="221"/>
      <c r="BE132" s="221"/>
      <c r="BF132" s="221"/>
      <c r="BG132" s="221"/>
      <c r="BH132" s="221"/>
      <c r="BI132" s="221"/>
      <c r="BJ132" s="221"/>
      <c r="BK132" s="221"/>
      <c r="BL132" s="221"/>
      <c r="BM132" s="221"/>
      <c r="BN132" s="221"/>
      <c r="BO132" s="221"/>
      <c r="BP132" s="221"/>
      <c r="BQ132" s="221"/>
      <c r="BR132" s="221"/>
      <c r="BS132" s="221"/>
      <c r="BT132" s="221"/>
      <c r="BU132" s="221"/>
      <c r="BV132" s="221"/>
      <c r="BW132" s="221"/>
      <c r="BX132" s="221"/>
      <c r="BY132" s="221"/>
    </row>
    <row r="133" spans="2:77">
      <c r="B133" s="74"/>
      <c r="C133" s="81" t="s">
        <v>88</v>
      </c>
      <c r="D133" s="72" t="s">
        <v>1344</v>
      </c>
      <c r="E133" s="227">
        <f t="shared" ref="E133:Z133" si="58">IFERROR(ROUND(E131/E132-1,3),"")</f>
        <v>0.155</v>
      </c>
      <c r="F133" s="227">
        <f t="shared" si="58"/>
        <v>1.7999999999999999E-2</v>
      </c>
      <c r="G133" s="227">
        <f t="shared" si="58"/>
        <v>0.155</v>
      </c>
      <c r="H133" s="227">
        <f t="shared" si="58"/>
        <v>1.0999999999999999E-2</v>
      </c>
      <c r="I133" s="227">
        <f t="shared" si="58"/>
        <v>0.155</v>
      </c>
      <c r="J133" s="227">
        <f t="shared" si="58"/>
        <v>-2.5999999999999999E-2</v>
      </c>
      <c r="K133" s="227">
        <f t="shared" si="58"/>
        <v>0.14499999999999999</v>
      </c>
      <c r="L133" s="227">
        <f t="shared" si="58"/>
        <v>-5.0000000000000001E-3</v>
      </c>
      <c r="M133" s="227">
        <f t="shared" si="58"/>
        <v>0.188</v>
      </c>
      <c r="N133" s="227">
        <f t="shared" si="58"/>
        <v>0.22500000000000001</v>
      </c>
      <c r="O133" s="227">
        <f t="shared" si="58"/>
        <v>0.246</v>
      </c>
      <c r="P133" s="227">
        <f t="shared" si="58"/>
        <v>0.23499999999999999</v>
      </c>
      <c r="Q133" s="227">
        <f t="shared" si="58"/>
        <v>0.28000000000000003</v>
      </c>
      <c r="R133" s="227">
        <f t="shared" si="58"/>
        <v>0.26100000000000001</v>
      </c>
      <c r="S133" s="227">
        <f t="shared" si="58"/>
        <v>0.32600000000000001</v>
      </c>
      <c r="T133" s="227">
        <f t="shared" si="58"/>
        <v>0.33500000000000002</v>
      </c>
      <c r="U133" s="227">
        <f t="shared" si="58"/>
        <v>0.432</v>
      </c>
      <c r="V133" s="227">
        <f t="shared" si="58"/>
        <v>0.35799999999999998</v>
      </c>
      <c r="W133" s="227">
        <f t="shared" si="58"/>
        <v>0.44600000000000001</v>
      </c>
      <c r="X133" s="227">
        <f t="shared" si="58"/>
        <v>0.371</v>
      </c>
      <c r="Y133" s="227">
        <f t="shared" si="58"/>
        <v>0.43099999999999999</v>
      </c>
      <c r="Z133" s="227">
        <f t="shared" si="58"/>
        <v>0.35699999999999998</v>
      </c>
      <c r="AA133" s="72"/>
      <c r="AB133" s="76"/>
      <c r="AC133" s="221"/>
      <c r="AD133" s="221"/>
      <c r="AE133" s="221"/>
      <c r="AF133" s="221"/>
      <c r="AG133" s="221"/>
      <c r="AH133" s="221"/>
      <c r="AI133" s="221"/>
      <c r="AJ133" s="221"/>
      <c r="AK133" s="221"/>
      <c r="AL133" s="221"/>
      <c r="AM133" s="221"/>
      <c r="AN133" s="221"/>
      <c r="AO133" s="221"/>
      <c r="AP133" s="221"/>
      <c r="AQ133" s="221"/>
      <c r="AR133" s="221"/>
      <c r="AS133" s="221"/>
      <c r="AT133" s="221"/>
      <c r="AU133" s="221"/>
      <c r="AV133" s="221"/>
      <c r="AW133" s="221"/>
      <c r="AX133" s="221"/>
      <c r="AY133" s="76"/>
      <c r="AZ133" s="77"/>
      <c r="BA133" s="77"/>
      <c r="BB133" s="78"/>
      <c r="BC133" s="76"/>
      <c r="BD133" s="221"/>
      <c r="BE133" s="221"/>
      <c r="BF133" s="221"/>
      <c r="BG133" s="221"/>
      <c r="BH133" s="221"/>
      <c r="BI133" s="221"/>
      <c r="BJ133" s="221"/>
      <c r="BK133" s="221"/>
      <c r="BL133" s="221"/>
      <c r="BM133" s="221"/>
      <c r="BN133" s="221"/>
      <c r="BO133" s="221"/>
      <c r="BP133" s="221"/>
      <c r="BQ133" s="221"/>
      <c r="BR133" s="221"/>
      <c r="BS133" s="221"/>
      <c r="BT133" s="221"/>
      <c r="BU133" s="221"/>
      <c r="BV133" s="221"/>
      <c r="BW133" s="221"/>
      <c r="BX133" s="221"/>
      <c r="BY133" s="221"/>
    </row>
    <row r="134" spans="2:77">
      <c r="B134" s="74"/>
      <c r="C134" s="81"/>
      <c r="D134" s="72"/>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c r="AA134" s="72"/>
      <c r="AB134" s="76"/>
      <c r="AC134" s="221"/>
      <c r="AD134" s="221"/>
      <c r="AE134" s="221"/>
      <c r="AF134" s="221"/>
      <c r="AG134" s="221"/>
      <c r="AH134" s="221"/>
      <c r="AI134" s="221"/>
      <c r="AJ134" s="221"/>
      <c r="AK134" s="221"/>
      <c r="AL134" s="221"/>
      <c r="AM134" s="221"/>
      <c r="AN134" s="221"/>
      <c r="AO134" s="221"/>
      <c r="AP134" s="221"/>
      <c r="AQ134" s="221"/>
      <c r="AR134" s="221"/>
      <c r="AS134" s="221"/>
      <c r="AT134" s="221"/>
      <c r="AU134" s="221"/>
      <c r="AV134" s="221"/>
      <c r="AW134" s="221"/>
      <c r="AX134" s="221"/>
      <c r="AY134" s="76"/>
      <c r="AZ134" s="77"/>
      <c r="BA134" s="77"/>
      <c r="BB134" s="78"/>
      <c r="BC134" s="76"/>
      <c r="BD134" s="221"/>
      <c r="BE134" s="221"/>
      <c r="BF134" s="221"/>
      <c r="BG134" s="221"/>
      <c r="BH134" s="221"/>
      <c r="BI134" s="221"/>
      <c r="BJ134" s="221"/>
      <c r="BK134" s="221"/>
      <c r="BL134" s="221"/>
      <c r="BM134" s="221"/>
      <c r="BN134" s="221"/>
      <c r="BO134" s="221"/>
      <c r="BP134" s="221"/>
      <c r="BQ134" s="221"/>
      <c r="BR134" s="221"/>
      <c r="BS134" s="221"/>
      <c r="BT134" s="221"/>
      <c r="BU134" s="221"/>
      <c r="BV134" s="221"/>
      <c r="BW134" s="221"/>
      <c r="BX134" s="221"/>
      <c r="BY134" s="221"/>
    </row>
    <row r="135" spans="2:77">
      <c r="B135" s="237" t="s">
        <v>1356</v>
      </c>
      <c r="C135" s="81"/>
      <c r="D135" s="72"/>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c r="AA135" s="72"/>
      <c r="AB135" s="76"/>
      <c r="AC135" s="221"/>
      <c r="AD135" s="221"/>
      <c r="AE135" s="221"/>
      <c r="AF135" s="221"/>
      <c r="AG135" s="221"/>
      <c r="AH135" s="221"/>
      <c r="AI135" s="221"/>
      <c r="AJ135" s="221"/>
      <c r="AK135" s="221"/>
      <c r="AL135" s="221"/>
      <c r="AM135" s="221"/>
      <c r="AN135" s="221"/>
      <c r="AO135" s="221"/>
      <c r="AP135" s="221"/>
      <c r="AQ135" s="221"/>
      <c r="AR135" s="221"/>
      <c r="AS135" s="221"/>
      <c r="AT135" s="221"/>
      <c r="AU135" s="221"/>
      <c r="AV135" s="221"/>
      <c r="AW135" s="221"/>
      <c r="AX135" s="221"/>
      <c r="AY135" s="76"/>
      <c r="AZ135" s="77"/>
      <c r="BA135" s="77"/>
      <c r="BB135" s="78"/>
      <c r="BC135" s="76"/>
      <c r="BD135" s="221"/>
      <c r="BE135" s="221"/>
      <c r="BF135" s="221"/>
      <c r="BG135" s="221"/>
      <c r="BH135" s="221"/>
      <c r="BI135" s="221"/>
      <c r="BJ135" s="221"/>
      <c r="BK135" s="221"/>
      <c r="BL135" s="221"/>
      <c r="BM135" s="221"/>
      <c r="BN135" s="221"/>
      <c r="BO135" s="221"/>
      <c r="BP135" s="221"/>
      <c r="BQ135" s="221"/>
      <c r="BR135" s="221"/>
      <c r="BS135" s="221"/>
      <c r="BT135" s="221"/>
      <c r="BU135" s="221"/>
      <c r="BV135" s="221"/>
      <c r="BW135" s="221"/>
      <c r="BX135" s="221"/>
      <c r="BY135" s="221"/>
    </row>
    <row r="136" spans="2:77">
      <c r="B136" s="74"/>
      <c r="C136" s="81"/>
      <c r="D136" s="72"/>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c r="AA136" s="72"/>
      <c r="AB136" s="76"/>
      <c r="AC136" s="221"/>
      <c r="AD136" s="221"/>
      <c r="AE136" s="221"/>
      <c r="AF136" s="221"/>
      <c r="AG136" s="221"/>
      <c r="AH136" s="221"/>
      <c r="AI136" s="221"/>
      <c r="AJ136" s="221"/>
      <c r="AK136" s="221"/>
      <c r="AL136" s="221"/>
      <c r="AM136" s="221"/>
      <c r="AN136" s="221"/>
      <c r="AO136" s="221"/>
      <c r="AP136" s="221"/>
      <c r="AQ136" s="221"/>
      <c r="AR136" s="221"/>
      <c r="AS136" s="221"/>
      <c r="AT136" s="221"/>
      <c r="AU136" s="221"/>
      <c r="AV136" s="221"/>
      <c r="AW136" s="221"/>
      <c r="AX136" s="221"/>
      <c r="AY136" s="76"/>
      <c r="AZ136" s="77"/>
      <c r="BA136" s="77"/>
      <c r="BB136" s="78"/>
      <c r="BC136" s="76"/>
      <c r="BD136" s="221"/>
      <c r="BE136" s="221"/>
      <c r="BF136" s="221"/>
      <c r="BG136" s="221"/>
      <c r="BH136" s="221"/>
      <c r="BI136" s="221"/>
      <c r="BJ136" s="221"/>
      <c r="BK136" s="221"/>
      <c r="BL136" s="221"/>
      <c r="BM136" s="221"/>
      <c r="BN136" s="221"/>
      <c r="BO136" s="221"/>
      <c r="BP136" s="221"/>
      <c r="BQ136" s="221"/>
      <c r="BR136" s="221"/>
      <c r="BS136" s="221"/>
      <c r="BT136" s="221"/>
      <c r="BU136" s="221"/>
      <c r="BV136" s="221"/>
      <c r="BW136" s="221"/>
      <c r="BX136" s="221"/>
      <c r="BY136" s="221"/>
    </row>
    <row r="137" spans="2:77">
      <c r="B137" s="74" t="str">
        <f>BA137</f>
        <v>Total revenue - Table - Hamilton</v>
      </c>
      <c r="C137" s="72" t="s">
        <v>72</v>
      </c>
      <c r="D137" s="224" t="s">
        <v>1342</v>
      </c>
      <c r="E137" s="223">
        <f t="shared" ref="E137:Z137" si="59">AC137</f>
        <v>4.8</v>
      </c>
      <c r="F137" s="223">
        <f t="shared" si="59"/>
        <v>4.5999999999999996</v>
      </c>
      <c r="G137" s="223">
        <f t="shared" si="59"/>
        <v>4.3</v>
      </c>
      <c r="H137" s="223">
        <f t="shared" si="59"/>
        <v>4.5999999999999996</v>
      </c>
      <c r="I137" s="223">
        <f t="shared" si="59"/>
        <v>5.0999999999999996</v>
      </c>
      <c r="J137" s="223">
        <f t="shared" si="59"/>
        <v>3.3</v>
      </c>
      <c r="K137" s="223">
        <f t="shared" si="59"/>
        <v>5.222005034905882</v>
      </c>
      <c r="L137" s="223">
        <f t="shared" si="59"/>
        <v>6.3</v>
      </c>
      <c r="M137" s="223">
        <f t="shared" si="59"/>
        <v>3.3</v>
      </c>
      <c r="N137" s="223">
        <f t="shared" si="59"/>
        <v>4.8</v>
      </c>
      <c r="O137" s="223">
        <f t="shared" si="59"/>
        <v>6.2</v>
      </c>
      <c r="P137" s="223">
        <f t="shared" si="59"/>
        <v>5.3</v>
      </c>
      <c r="Q137" s="223">
        <f t="shared" si="59"/>
        <v>6.1643240437158484</v>
      </c>
      <c r="R137" s="223">
        <f t="shared" si="59"/>
        <v>5.6970976954145858</v>
      </c>
      <c r="S137" s="223">
        <f t="shared" si="59"/>
        <v>6.4159435294175298</v>
      </c>
      <c r="T137" s="223">
        <f t="shared" si="59"/>
        <v>5.8246262309029078</v>
      </c>
      <c r="U137" s="223">
        <f t="shared" si="59"/>
        <v>6.6179208844385764</v>
      </c>
      <c r="V137" s="223">
        <f t="shared" si="59"/>
        <v>5.9819253312362202</v>
      </c>
      <c r="W137" s="223">
        <f t="shared" si="59"/>
        <v>6.80433398152205</v>
      </c>
      <c r="X137" s="223">
        <f t="shared" si="59"/>
        <v>6.1499298099098167</v>
      </c>
      <c r="Y137" s="223">
        <f t="shared" si="59"/>
        <v>6.9940667122177844</v>
      </c>
      <c r="Z137" s="223">
        <f t="shared" si="59"/>
        <v>6.3332283933590299</v>
      </c>
      <c r="AA137" s="72"/>
      <c r="AB137" s="76"/>
      <c r="AC137" s="222">
        <v>4.8</v>
      </c>
      <c r="AD137" s="222">
        <v>4.5999999999999996</v>
      </c>
      <c r="AE137" s="222">
        <v>4.3</v>
      </c>
      <c r="AF137" s="222">
        <v>4.5999999999999996</v>
      </c>
      <c r="AG137" s="222">
        <v>5.0999999999999996</v>
      </c>
      <c r="AH137" s="222">
        <v>3.3</v>
      </c>
      <c r="AI137" s="222">
        <v>5.222005034905882</v>
      </c>
      <c r="AJ137" s="222">
        <v>6.3</v>
      </c>
      <c r="AK137" s="222">
        <v>3.3</v>
      </c>
      <c r="AL137" s="222">
        <v>4.8</v>
      </c>
      <c r="AM137" s="222">
        <v>6.2</v>
      </c>
      <c r="AN137" s="222">
        <v>5.3</v>
      </c>
      <c r="AO137" s="222">
        <v>6.1643240437158484</v>
      </c>
      <c r="AP137" s="222">
        <v>5.6970976954145858</v>
      </c>
      <c r="AQ137" s="222">
        <v>6.4159435294175298</v>
      </c>
      <c r="AR137" s="222">
        <v>5.8246262309029078</v>
      </c>
      <c r="AS137" s="222">
        <v>6.6179208844385764</v>
      </c>
      <c r="AT137" s="222">
        <v>5.9819253312362202</v>
      </c>
      <c r="AU137" s="222">
        <v>6.80433398152205</v>
      </c>
      <c r="AV137" s="222">
        <v>6.1499298099098167</v>
      </c>
      <c r="AW137" s="222">
        <v>6.9940667122177844</v>
      </c>
      <c r="AX137" s="222">
        <v>6.3332283933590299</v>
      </c>
      <c r="AY137" s="76"/>
      <c r="AZ137" s="77" t="s">
        <v>1259</v>
      </c>
      <c r="BA137" s="77" t="s">
        <v>1366</v>
      </c>
      <c r="BB137" s="78" t="s">
        <v>1261</v>
      </c>
      <c r="BC137" s="76"/>
      <c r="BD137" s="79">
        <f>_xll.VAData($AZ137,BD$2,$BA137,$BB137)</f>
        <v>4.8230892000000001</v>
      </c>
      <c r="BE137" s="79">
        <f>_xll.VAData($AZ137,BE$2,$BA137,$BB137)</f>
        <v>4.5809600000000001</v>
      </c>
      <c r="BF137" s="79">
        <f>_xll.VAData($AZ137,BF$2,$BA137,$BB137)</f>
        <v>4.2823184960000003</v>
      </c>
      <c r="BG137" s="79">
        <f>_xll.VAData($AZ137,BG$2,$BA137,$BB137)</f>
        <v>4.6037695999999997</v>
      </c>
      <c r="BH137" s="79">
        <f>_xll.VAData($AZ137,BH$2,$BA137,$BB137)</f>
        <v>5.0926618673702402</v>
      </c>
      <c r="BI137" s="79">
        <f>_xll.VAData($AZ137,BI$2,$BA137,$BB137)</f>
        <v>3.3073381326297602</v>
      </c>
      <c r="BJ137" s="79">
        <f>_xll.VAData($AZ137,BJ$2,$BA137,$BB137)</f>
        <v>5.1935151047176449</v>
      </c>
      <c r="BK137" s="79">
        <f>_xll.VAData($AZ137,BK$2,$BA137,$BB137)</f>
        <v>5.6360071989446396</v>
      </c>
      <c r="BL137" s="79">
        <f>_xll.VAData($AZ137,BL$2,$BA137,$BB137)</f>
        <v>3.3</v>
      </c>
      <c r="BM137" s="79">
        <f>_xll.VAData($AZ137,BM$2,$BA137,$BB137)</f>
        <v>4.8</v>
      </c>
      <c r="BN137" s="79">
        <f>_xll.VAData($AZ137,BN$2,$BA137,$BB137)</f>
        <v>6.2</v>
      </c>
      <c r="BO137" s="79">
        <f>_xll.VAData($AZ137,BO$2,$BA137,$BB137)</f>
        <v>5.3</v>
      </c>
      <c r="BP137" s="79">
        <f>_xll.VAData($AZ137,BP$2,$BA137,$BB137)</f>
        <v>5.7</v>
      </c>
      <c r="BQ137" s="79">
        <f>_xll.VAData($AZ137,BQ$2,$BA137,$BB137)</f>
        <v>6.2</v>
      </c>
      <c r="BR137" s="79">
        <f>_xll.VAData($AZ137,BR$2,$BA137,$BB137)</f>
        <v>6.9</v>
      </c>
      <c r="BS137" s="79">
        <f>_xll.VAData($AZ137,BS$2,$BA137,$BB137)</f>
        <v>6.5</v>
      </c>
      <c r="BT137" s="79">
        <f>_xll.VAData($AZ137,BT$2,$BA137,$BB137)</f>
        <v>7.1</v>
      </c>
      <c r="BU137" s="79">
        <f>_xll.VAData($AZ137,BU$2,$BA137,$BB137)</f>
        <v>6.9</v>
      </c>
      <c r="BV137" s="79">
        <f>_xll.VAData($AZ137,BV$2,$BA137,$BB137)</f>
        <v>7.2774999999999999</v>
      </c>
      <c r="BW137" s="79">
        <f>_xll.VAData($AZ137,BW$2,$BA137,$BB137)</f>
        <v>7.1070000000000002</v>
      </c>
      <c r="BX137" s="79">
        <f>_xll.VAData($AZ137,BX$2,$BA137,$BB137)</f>
        <v>7.4594374999999999</v>
      </c>
      <c r="BY137" s="79">
        <f>_xll.VAData($AZ137,BY$2,$BA137,$BB137)</f>
        <v>7.284675</v>
      </c>
    </row>
    <row r="138" spans="2:77">
      <c r="B138" s="74"/>
      <c r="C138" s="72" t="s">
        <v>72</v>
      </c>
      <c r="D138" s="225" t="s">
        <v>1343</v>
      </c>
      <c r="E138" s="226">
        <f>HY!E155</f>
        <v>4.1760000000000002</v>
      </c>
      <c r="F138" s="226">
        <f>HY!F155</f>
        <v>4.54488</v>
      </c>
      <c r="G138" s="226">
        <f>HY!G155</f>
        <v>3.7410000000000001</v>
      </c>
      <c r="H138" s="226">
        <f>HY!H155</f>
        <v>4.4883300000000004</v>
      </c>
      <c r="I138" s="226">
        <f>HY!I155</f>
        <v>4.4369999999999994</v>
      </c>
      <c r="J138" s="226">
        <f>HY!J155</f>
        <v>3.4478100000000009</v>
      </c>
      <c r="K138" s="226">
        <f>HY!K155</f>
        <v>4.524</v>
      </c>
      <c r="L138" s="226">
        <f>HY!L155</f>
        <v>6.0691199999999998</v>
      </c>
      <c r="M138" s="226">
        <f>HY!M155</f>
        <v>3.7410000000000001</v>
      </c>
      <c r="N138" s="226">
        <f>HY!N155</f>
        <v>4.9589999999999996</v>
      </c>
      <c r="O138" s="226">
        <f>HY!O155</f>
        <v>6.6</v>
      </c>
      <c r="P138" s="226">
        <f>HY!P155</f>
        <v>5.9</v>
      </c>
      <c r="Q138" s="226">
        <f>HY!Q155</f>
        <v>6.5</v>
      </c>
      <c r="R138" s="226">
        <f>HY!R155</f>
        <v>6.8000000000000007</v>
      </c>
      <c r="S138" s="226">
        <f>HY!S155</f>
        <v>6.5</v>
      </c>
      <c r="T138" s="226">
        <f>HY!T155</f>
        <v>7</v>
      </c>
      <c r="U138" s="226">
        <f>HY!U155</f>
        <v>7</v>
      </c>
      <c r="V138" s="226">
        <f>HY!V155</f>
        <v>6.9</v>
      </c>
      <c r="W138" s="226">
        <f>HY!W155</f>
        <v>6.9690000000000003</v>
      </c>
      <c r="X138" s="226">
        <f>HY!X155</f>
        <v>6.9690000000000003</v>
      </c>
      <c r="Y138" s="226">
        <f>HY!Y155</f>
        <v>7.1406999999999989</v>
      </c>
      <c r="Z138" s="226">
        <f>HY!Z155</f>
        <v>7.0386900000000008</v>
      </c>
      <c r="AA138" s="72"/>
      <c r="AB138" s="76"/>
      <c r="AC138" s="221"/>
      <c r="AD138" s="221"/>
      <c r="AE138" s="221"/>
      <c r="AF138" s="221"/>
      <c r="AG138" s="221"/>
      <c r="AH138" s="221"/>
      <c r="AI138" s="221"/>
      <c r="AJ138" s="221"/>
      <c r="AK138" s="221"/>
      <c r="AL138" s="221"/>
      <c r="AM138" s="221"/>
      <c r="AN138" s="221"/>
      <c r="AO138" s="221"/>
      <c r="AP138" s="221"/>
      <c r="AQ138" s="221"/>
      <c r="AR138" s="221"/>
      <c r="AS138" s="221"/>
      <c r="AT138" s="221"/>
      <c r="AU138" s="221"/>
      <c r="AV138" s="221"/>
      <c r="AW138" s="221"/>
      <c r="AX138" s="221"/>
      <c r="AY138" s="76"/>
      <c r="AZ138" s="77"/>
      <c r="BA138" s="77"/>
      <c r="BB138" s="78"/>
      <c r="BC138" s="76"/>
      <c r="BD138" s="221"/>
      <c r="BE138" s="221"/>
      <c r="BF138" s="221"/>
      <c r="BG138" s="221"/>
      <c r="BH138" s="221"/>
      <c r="BI138" s="221"/>
      <c r="BJ138" s="221"/>
      <c r="BK138" s="221"/>
      <c r="BL138" s="221"/>
      <c r="BM138" s="221"/>
      <c r="BN138" s="221"/>
      <c r="BO138" s="221"/>
      <c r="BP138" s="221"/>
      <c r="BQ138" s="221"/>
      <c r="BR138" s="221"/>
      <c r="BS138" s="221"/>
      <c r="BT138" s="221"/>
      <c r="BU138" s="221"/>
      <c r="BV138" s="221"/>
      <c r="BW138" s="221"/>
      <c r="BX138" s="221"/>
      <c r="BY138" s="221"/>
    </row>
    <row r="139" spans="2:77">
      <c r="B139" s="74"/>
      <c r="C139" s="81" t="s">
        <v>88</v>
      </c>
      <c r="D139" s="72" t="s">
        <v>1344</v>
      </c>
      <c r="E139" s="227">
        <f t="shared" ref="E139:Z139" si="60">IFERROR(ROUND(E137/E138-1,3),"")</f>
        <v>0.14899999999999999</v>
      </c>
      <c r="F139" s="227">
        <f t="shared" si="60"/>
        <v>1.2E-2</v>
      </c>
      <c r="G139" s="227">
        <f t="shared" si="60"/>
        <v>0.14899999999999999</v>
      </c>
      <c r="H139" s="227">
        <f t="shared" si="60"/>
        <v>2.5000000000000001E-2</v>
      </c>
      <c r="I139" s="227">
        <f t="shared" si="60"/>
        <v>0.14899999999999999</v>
      </c>
      <c r="J139" s="227">
        <f t="shared" si="60"/>
        <v>-4.2999999999999997E-2</v>
      </c>
      <c r="K139" s="227">
        <f t="shared" si="60"/>
        <v>0.154</v>
      </c>
      <c r="L139" s="227">
        <f t="shared" si="60"/>
        <v>3.7999999999999999E-2</v>
      </c>
      <c r="M139" s="227">
        <f t="shared" si="60"/>
        <v>-0.11799999999999999</v>
      </c>
      <c r="N139" s="227">
        <f t="shared" si="60"/>
        <v>-3.2000000000000001E-2</v>
      </c>
      <c r="O139" s="227">
        <f t="shared" si="60"/>
        <v>-6.0999999999999999E-2</v>
      </c>
      <c r="P139" s="227">
        <f t="shared" si="60"/>
        <v>-0.10199999999999999</v>
      </c>
      <c r="Q139" s="227">
        <f t="shared" si="60"/>
        <v>-5.1999999999999998E-2</v>
      </c>
      <c r="R139" s="227">
        <f t="shared" si="60"/>
        <v>-0.16200000000000001</v>
      </c>
      <c r="S139" s="227">
        <f t="shared" si="60"/>
        <v>-1.2999999999999999E-2</v>
      </c>
      <c r="T139" s="227">
        <f t="shared" si="60"/>
        <v>-0.16800000000000001</v>
      </c>
      <c r="U139" s="227">
        <f t="shared" si="60"/>
        <v>-5.5E-2</v>
      </c>
      <c r="V139" s="227">
        <f t="shared" si="60"/>
        <v>-0.13300000000000001</v>
      </c>
      <c r="W139" s="227">
        <f t="shared" si="60"/>
        <v>-2.4E-2</v>
      </c>
      <c r="X139" s="227">
        <f t="shared" si="60"/>
        <v>-0.11799999999999999</v>
      </c>
      <c r="Y139" s="227">
        <f t="shared" si="60"/>
        <v>-2.1000000000000001E-2</v>
      </c>
      <c r="Z139" s="227">
        <f t="shared" si="60"/>
        <v>-0.1</v>
      </c>
      <c r="AA139" s="72"/>
      <c r="AB139" s="76"/>
      <c r="AC139" s="221"/>
      <c r="AD139" s="221"/>
      <c r="AE139" s="221"/>
      <c r="AF139" s="221"/>
      <c r="AG139" s="221"/>
      <c r="AH139" s="221"/>
      <c r="AI139" s="221"/>
      <c r="AJ139" s="221"/>
      <c r="AK139" s="221"/>
      <c r="AL139" s="221"/>
      <c r="AM139" s="221"/>
      <c r="AN139" s="221"/>
      <c r="AO139" s="221"/>
      <c r="AP139" s="221"/>
      <c r="AQ139" s="221"/>
      <c r="AR139" s="221"/>
      <c r="AS139" s="221"/>
      <c r="AT139" s="221"/>
      <c r="AU139" s="221"/>
      <c r="AV139" s="221"/>
      <c r="AW139" s="221"/>
      <c r="AX139" s="221"/>
      <c r="AY139" s="76"/>
      <c r="AZ139" s="77"/>
      <c r="BA139" s="77"/>
      <c r="BB139" s="78"/>
      <c r="BC139" s="76"/>
      <c r="BD139" s="221"/>
      <c r="BE139" s="221"/>
      <c r="BF139" s="221"/>
      <c r="BG139" s="221"/>
      <c r="BH139" s="221"/>
      <c r="BI139" s="221"/>
      <c r="BJ139" s="221"/>
      <c r="BK139" s="221"/>
      <c r="BL139" s="221"/>
      <c r="BM139" s="221"/>
      <c r="BN139" s="221"/>
      <c r="BO139" s="221"/>
      <c r="BP139" s="221"/>
      <c r="BQ139" s="221"/>
      <c r="BR139" s="221"/>
      <c r="BS139" s="221"/>
      <c r="BT139" s="221"/>
      <c r="BU139" s="221"/>
      <c r="BV139" s="221"/>
      <c r="BW139" s="221"/>
      <c r="BX139" s="221"/>
      <c r="BY139" s="221"/>
    </row>
    <row r="140" spans="2:77">
      <c r="B140" s="74"/>
      <c r="C140" s="72"/>
      <c r="D140" s="72"/>
      <c r="E140" s="75"/>
      <c r="F140" s="75"/>
      <c r="G140" s="75"/>
      <c r="H140" s="75"/>
      <c r="I140" s="75"/>
      <c r="J140" s="75"/>
      <c r="K140" s="75"/>
      <c r="L140" s="75"/>
      <c r="M140" s="75"/>
      <c r="N140" s="75"/>
      <c r="O140" s="75"/>
      <c r="P140" s="75"/>
      <c r="Q140" s="75"/>
      <c r="R140" s="75"/>
      <c r="S140" s="75"/>
      <c r="T140" s="75"/>
      <c r="U140" s="75"/>
      <c r="V140" s="75"/>
      <c r="W140" s="75"/>
      <c r="X140" s="75"/>
      <c r="Y140" s="75"/>
      <c r="Z140" s="75"/>
      <c r="AA140" s="72"/>
      <c r="AB140" s="76"/>
      <c r="AC140" s="221"/>
      <c r="AD140" s="221"/>
      <c r="AE140" s="221"/>
      <c r="AF140" s="221"/>
      <c r="AG140" s="221"/>
      <c r="AH140" s="221"/>
      <c r="AI140" s="221"/>
      <c r="AJ140" s="221"/>
      <c r="AK140" s="221"/>
      <c r="AL140" s="221"/>
      <c r="AM140" s="221"/>
      <c r="AN140" s="221"/>
      <c r="AO140" s="221"/>
      <c r="AP140" s="221"/>
      <c r="AQ140" s="221"/>
      <c r="AR140" s="221"/>
      <c r="AS140" s="221"/>
      <c r="AT140" s="221"/>
      <c r="AU140" s="221"/>
      <c r="AV140" s="221"/>
      <c r="AW140" s="221"/>
      <c r="AX140" s="221"/>
      <c r="AY140" s="76"/>
      <c r="AZ140" s="77"/>
      <c r="BA140" s="77"/>
      <c r="BB140" s="78"/>
      <c r="BC140" s="76"/>
      <c r="BD140" s="221"/>
      <c r="BE140" s="221"/>
      <c r="BF140" s="221"/>
      <c r="BG140" s="221"/>
      <c r="BH140" s="221"/>
      <c r="BI140" s="221"/>
      <c r="BJ140" s="221"/>
      <c r="BK140" s="221"/>
      <c r="BL140" s="221"/>
      <c r="BM140" s="221"/>
      <c r="BN140" s="221"/>
      <c r="BO140" s="221"/>
      <c r="BP140" s="221"/>
      <c r="BQ140" s="221"/>
      <c r="BR140" s="221"/>
      <c r="BS140" s="221"/>
      <c r="BT140" s="221"/>
      <c r="BU140" s="221"/>
      <c r="BV140" s="221"/>
      <c r="BW140" s="221"/>
      <c r="BX140" s="221"/>
      <c r="BY140" s="221"/>
    </row>
    <row r="141" spans="2:77">
      <c r="B141" s="74" t="str">
        <f>BA141</f>
        <v>Number of tables - Hamilton</v>
      </c>
      <c r="C141" s="72" t="s">
        <v>72</v>
      </c>
      <c r="D141" s="224" t="s">
        <v>1342</v>
      </c>
      <c r="E141" s="223">
        <f t="shared" ref="E141:Z141" si="61">AC141</f>
        <v>23</v>
      </c>
      <c r="F141" s="223">
        <f t="shared" si="61"/>
        <v>23</v>
      </c>
      <c r="G141" s="223">
        <f t="shared" si="61"/>
        <v>23</v>
      </c>
      <c r="H141" s="223">
        <f t="shared" si="61"/>
        <v>23</v>
      </c>
      <c r="I141" s="223">
        <f t="shared" si="61"/>
        <v>23</v>
      </c>
      <c r="J141" s="223">
        <f t="shared" si="61"/>
        <v>23</v>
      </c>
      <c r="K141" s="223">
        <f t="shared" si="61"/>
        <v>23</v>
      </c>
      <c r="L141" s="223">
        <f t="shared" si="61"/>
        <v>23</v>
      </c>
      <c r="M141" s="223">
        <f t="shared" si="61"/>
        <v>23</v>
      </c>
      <c r="N141" s="223">
        <f t="shared" si="61"/>
        <v>23</v>
      </c>
      <c r="O141" s="223">
        <f t="shared" si="61"/>
        <v>23</v>
      </c>
      <c r="P141" s="223">
        <f t="shared" si="61"/>
        <v>23</v>
      </c>
      <c r="Q141" s="223">
        <f t="shared" si="61"/>
        <v>23</v>
      </c>
      <c r="R141" s="223">
        <f t="shared" si="61"/>
        <v>23</v>
      </c>
      <c r="S141" s="223">
        <f t="shared" si="61"/>
        <v>23</v>
      </c>
      <c r="T141" s="223">
        <f t="shared" si="61"/>
        <v>23</v>
      </c>
      <c r="U141" s="223">
        <f t="shared" si="61"/>
        <v>23</v>
      </c>
      <c r="V141" s="223">
        <f t="shared" si="61"/>
        <v>23</v>
      </c>
      <c r="W141" s="223">
        <f t="shared" si="61"/>
        <v>23</v>
      </c>
      <c r="X141" s="223">
        <f t="shared" si="61"/>
        <v>23</v>
      </c>
      <c r="Y141" s="223">
        <f t="shared" si="61"/>
        <v>23</v>
      </c>
      <c r="Z141" s="223">
        <f t="shared" si="61"/>
        <v>23</v>
      </c>
      <c r="AA141" s="72"/>
      <c r="AB141" s="76"/>
      <c r="AC141" s="222">
        <v>23</v>
      </c>
      <c r="AD141" s="222">
        <v>23</v>
      </c>
      <c r="AE141" s="222">
        <v>23</v>
      </c>
      <c r="AF141" s="222">
        <v>23</v>
      </c>
      <c r="AG141" s="222">
        <v>23</v>
      </c>
      <c r="AH141" s="222">
        <v>23</v>
      </c>
      <c r="AI141" s="222">
        <v>23</v>
      </c>
      <c r="AJ141" s="222">
        <v>23</v>
      </c>
      <c r="AK141" s="222">
        <v>23</v>
      </c>
      <c r="AL141" s="222">
        <v>23</v>
      </c>
      <c r="AM141" s="222">
        <v>23</v>
      </c>
      <c r="AN141" s="222">
        <v>23</v>
      </c>
      <c r="AO141" s="222">
        <v>23</v>
      </c>
      <c r="AP141" s="222">
        <v>23</v>
      </c>
      <c r="AQ141" s="222">
        <v>23</v>
      </c>
      <c r="AR141" s="222">
        <v>23</v>
      </c>
      <c r="AS141" s="222">
        <v>23</v>
      </c>
      <c r="AT141" s="222">
        <v>23</v>
      </c>
      <c r="AU141" s="222">
        <v>23</v>
      </c>
      <c r="AV141" s="222">
        <v>23</v>
      </c>
      <c r="AW141" s="222">
        <v>23</v>
      </c>
      <c r="AX141" s="222">
        <v>23</v>
      </c>
      <c r="AY141" s="76"/>
      <c r="AZ141" s="77" t="s">
        <v>1259</v>
      </c>
      <c r="BA141" s="77" t="s">
        <v>1367</v>
      </c>
      <c r="BB141" s="78" t="s">
        <v>1261</v>
      </c>
      <c r="BC141" s="76"/>
      <c r="BD141" s="79" t="str">
        <f>_xll.VAData($AZ141,BD$2,$BA141,$BB141)</f>
        <v>-</v>
      </c>
      <c r="BE141" s="79" t="str">
        <f>_xll.VAData($AZ141,BE$2,$BA141,$BB141)</f>
        <v>-</v>
      </c>
      <c r="BF141" s="79" t="str">
        <f>_xll.VAData($AZ141,BF$2,$BA141,$BB141)</f>
        <v>-</v>
      </c>
      <c r="BG141" s="79" t="str">
        <f>_xll.VAData($AZ141,BG$2,$BA141,$BB141)</f>
        <v>-</v>
      </c>
      <c r="BH141" s="79" t="str">
        <f>_xll.VAData($AZ141,BH$2,$BA141,$BB141)</f>
        <v>-</v>
      </c>
      <c r="BI141" s="79" t="str">
        <f>_xll.VAData($AZ141,BI$2,$BA141,$BB141)</f>
        <v>-</v>
      </c>
      <c r="BJ141" s="79" t="str">
        <f>_xll.VAData($AZ141,BJ$2,$BA141,$BB141)</f>
        <v>-</v>
      </c>
      <c r="BK141" s="79" t="str">
        <f>_xll.VAData($AZ141,BK$2,$BA141,$BB141)</f>
        <v>-</v>
      </c>
      <c r="BL141" s="79" t="str">
        <f>_xll.VAData($AZ141,BL$2,$BA141,$BB141)</f>
        <v>-</v>
      </c>
      <c r="BM141" s="79" t="str">
        <f>_xll.VAData($AZ141,BM$2,$BA141,$BB141)</f>
        <v>-</v>
      </c>
      <c r="BN141" s="79" t="str">
        <f>_xll.VAData($AZ141,BN$2,$BA141,$BB141)</f>
        <v>-</v>
      </c>
      <c r="BO141" s="79" t="str">
        <f>_xll.VAData($AZ141,BO$2,$BA141,$BB141)</f>
        <v>-</v>
      </c>
      <c r="BP141" s="79" t="str">
        <f>_xll.VAData($AZ141,BP$2,$BA141,$BB141)</f>
        <v>-</v>
      </c>
      <c r="BQ141" s="79" t="str">
        <f>_xll.VAData($AZ141,BQ$2,$BA141,$BB141)</f>
        <v>-</v>
      </c>
      <c r="BR141" s="79" t="str">
        <f>_xll.VAData($AZ141,BR$2,$BA141,$BB141)</f>
        <v>-</v>
      </c>
      <c r="BS141" s="79" t="str">
        <f>_xll.VAData($AZ141,BS$2,$BA141,$BB141)</f>
        <v>-</v>
      </c>
      <c r="BT141" s="79" t="str">
        <f>_xll.VAData($AZ141,BT$2,$BA141,$BB141)</f>
        <v>-</v>
      </c>
      <c r="BU141" s="79" t="str">
        <f>_xll.VAData($AZ141,BU$2,$BA141,$BB141)</f>
        <v>-</v>
      </c>
      <c r="BV141" s="79" t="str">
        <f>_xll.VAData($AZ141,BV$2,$BA141,$BB141)</f>
        <v>-</v>
      </c>
      <c r="BW141" s="79" t="str">
        <f>_xll.VAData($AZ141,BW$2,$BA141,$BB141)</f>
        <v>-</v>
      </c>
      <c r="BX141" s="79" t="str">
        <f>_xll.VAData($AZ141,BX$2,$BA141,$BB141)</f>
        <v>-</v>
      </c>
      <c r="BY141" s="79" t="str">
        <f>_xll.VAData($AZ141,BY$2,$BA141,$BB141)</f>
        <v>-</v>
      </c>
    </row>
    <row r="142" spans="2:77">
      <c r="B142" s="59"/>
      <c r="C142" s="72" t="s">
        <v>72</v>
      </c>
      <c r="D142" s="225" t="s">
        <v>1343</v>
      </c>
      <c r="E142" s="226" t="e">
        <f>HY!#REF!</f>
        <v>#REF!</v>
      </c>
      <c r="F142" s="226" t="e">
        <f>HY!#REF!</f>
        <v>#REF!</v>
      </c>
      <c r="G142" s="226" t="e">
        <f>HY!#REF!</f>
        <v>#REF!</v>
      </c>
      <c r="H142" s="226" t="e">
        <f>HY!#REF!</f>
        <v>#REF!</v>
      </c>
      <c r="I142" s="226" t="e">
        <f>HY!#REF!</f>
        <v>#REF!</v>
      </c>
      <c r="J142" s="226" t="e">
        <f>HY!#REF!</f>
        <v>#REF!</v>
      </c>
      <c r="K142" s="226" t="e">
        <f>HY!#REF!</f>
        <v>#REF!</v>
      </c>
      <c r="L142" s="226" t="e">
        <f>HY!#REF!</f>
        <v>#REF!</v>
      </c>
      <c r="M142" s="226" t="e">
        <f>HY!#REF!</f>
        <v>#REF!</v>
      </c>
      <c r="N142" s="226" t="e">
        <f>HY!#REF!</f>
        <v>#REF!</v>
      </c>
      <c r="O142" s="226" t="e">
        <f>HY!#REF!</f>
        <v>#REF!</v>
      </c>
      <c r="P142" s="226" t="e">
        <f>HY!#REF!</f>
        <v>#REF!</v>
      </c>
      <c r="Q142" s="226" t="e">
        <f>HY!#REF!</f>
        <v>#REF!</v>
      </c>
      <c r="R142" s="226" t="e">
        <f>HY!#REF!</f>
        <v>#REF!</v>
      </c>
      <c r="S142" s="226" t="e">
        <f>HY!#REF!</f>
        <v>#REF!</v>
      </c>
      <c r="T142" s="226" t="e">
        <f>HY!#REF!</f>
        <v>#REF!</v>
      </c>
      <c r="U142" s="226" t="e">
        <f>HY!#REF!</f>
        <v>#REF!</v>
      </c>
      <c r="V142" s="226" t="e">
        <f>HY!#REF!</f>
        <v>#REF!</v>
      </c>
      <c r="W142" s="226" t="e">
        <f>HY!#REF!</f>
        <v>#REF!</v>
      </c>
      <c r="X142" s="226" t="e">
        <f>HY!#REF!</f>
        <v>#REF!</v>
      </c>
      <c r="Y142" s="226" t="e">
        <f>HY!#REF!</f>
        <v>#REF!</v>
      </c>
      <c r="Z142" s="226" t="e">
        <f>HY!#REF!</f>
        <v>#REF!</v>
      </c>
      <c r="AA142" s="72"/>
      <c r="AB142" s="76"/>
      <c r="AC142" s="221"/>
      <c r="AD142" s="221"/>
      <c r="AE142" s="221"/>
      <c r="AF142" s="221"/>
      <c r="AG142" s="221"/>
      <c r="AH142" s="221"/>
      <c r="AI142" s="221"/>
      <c r="AJ142" s="221"/>
      <c r="AK142" s="221"/>
      <c r="AL142" s="221"/>
      <c r="AM142" s="221"/>
      <c r="AN142" s="221"/>
      <c r="AO142" s="221"/>
      <c r="AP142" s="221"/>
      <c r="AQ142" s="221"/>
      <c r="AR142" s="221"/>
      <c r="AS142" s="221"/>
      <c r="AT142" s="221"/>
      <c r="AU142" s="221"/>
      <c r="AV142" s="221"/>
      <c r="AW142" s="221"/>
      <c r="AX142" s="221"/>
      <c r="AY142" s="76"/>
      <c r="AZ142" s="77"/>
      <c r="BA142" s="77"/>
      <c r="BB142" s="78"/>
      <c r="BC142" s="76"/>
      <c r="BD142" s="221"/>
      <c r="BE142" s="221"/>
      <c r="BF142" s="221"/>
      <c r="BG142" s="221"/>
      <c r="BH142" s="221"/>
      <c r="BI142" s="221"/>
      <c r="BJ142" s="221"/>
      <c r="BK142" s="221"/>
      <c r="BL142" s="221"/>
      <c r="BM142" s="221"/>
      <c r="BN142" s="221"/>
      <c r="BO142" s="221"/>
      <c r="BP142" s="221"/>
      <c r="BQ142" s="221"/>
      <c r="BR142" s="221"/>
      <c r="BS142" s="221"/>
      <c r="BT142" s="221"/>
      <c r="BU142" s="221"/>
      <c r="BV142" s="221"/>
      <c r="BW142" s="221"/>
      <c r="BX142" s="221"/>
      <c r="BY142" s="221"/>
    </row>
    <row r="143" spans="2:77">
      <c r="B143" s="74"/>
      <c r="C143" s="81" t="s">
        <v>88</v>
      </c>
      <c r="D143" s="72" t="s">
        <v>1344</v>
      </c>
      <c r="E143" s="227" t="str">
        <f t="shared" ref="E143:Z143" si="62">IFERROR(ROUND(E141/E142-1,3),"")</f>
        <v/>
      </c>
      <c r="F143" s="227" t="str">
        <f t="shared" si="62"/>
        <v/>
      </c>
      <c r="G143" s="227" t="str">
        <f t="shared" si="62"/>
        <v/>
      </c>
      <c r="H143" s="227" t="str">
        <f t="shared" si="62"/>
        <v/>
      </c>
      <c r="I143" s="227" t="str">
        <f t="shared" si="62"/>
        <v/>
      </c>
      <c r="J143" s="227" t="str">
        <f t="shared" si="62"/>
        <v/>
      </c>
      <c r="K143" s="227" t="str">
        <f t="shared" si="62"/>
        <v/>
      </c>
      <c r="L143" s="227" t="str">
        <f t="shared" si="62"/>
        <v/>
      </c>
      <c r="M143" s="227" t="str">
        <f t="shared" si="62"/>
        <v/>
      </c>
      <c r="N143" s="227" t="str">
        <f t="shared" si="62"/>
        <v/>
      </c>
      <c r="O143" s="227" t="str">
        <f t="shared" si="62"/>
        <v/>
      </c>
      <c r="P143" s="227" t="str">
        <f t="shared" si="62"/>
        <v/>
      </c>
      <c r="Q143" s="227" t="str">
        <f t="shared" si="62"/>
        <v/>
      </c>
      <c r="R143" s="227" t="str">
        <f t="shared" si="62"/>
        <v/>
      </c>
      <c r="S143" s="227" t="str">
        <f t="shared" si="62"/>
        <v/>
      </c>
      <c r="T143" s="227" t="str">
        <f t="shared" si="62"/>
        <v/>
      </c>
      <c r="U143" s="227" t="str">
        <f t="shared" si="62"/>
        <v/>
      </c>
      <c r="V143" s="227" t="str">
        <f t="shared" si="62"/>
        <v/>
      </c>
      <c r="W143" s="227" t="str">
        <f t="shared" si="62"/>
        <v/>
      </c>
      <c r="X143" s="227" t="str">
        <f t="shared" si="62"/>
        <v/>
      </c>
      <c r="Y143" s="227" t="str">
        <f t="shared" si="62"/>
        <v/>
      </c>
      <c r="Z143" s="227" t="str">
        <f t="shared" si="62"/>
        <v/>
      </c>
      <c r="AA143" s="72"/>
      <c r="AB143" s="76"/>
      <c r="AC143" s="221"/>
      <c r="AD143" s="221"/>
      <c r="AE143" s="221"/>
      <c r="AF143" s="221"/>
      <c r="AG143" s="221"/>
      <c r="AH143" s="221"/>
      <c r="AI143" s="221"/>
      <c r="AJ143" s="221"/>
      <c r="AK143" s="221"/>
      <c r="AL143" s="221"/>
      <c r="AM143" s="221"/>
      <c r="AN143" s="221"/>
      <c r="AO143" s="221"/>
      <c r="AP143" s="221"/>
      <c r="AQ143" s="221"/>
      <c r="AR143" s="221"/>
      <c r="AS143" s="221"/>
      <c r="AT143" s="221"/>
      <c r="AU143" s="221"/>
      <c r="AV143" s="221"/>
      <c r="AW143" s="221"/>
      <c r="AX143" s="221"/>
      <c r="AY143" s="76"/>
      <c r="AZ143" s="77"/>
      <c r="BA143" s="77"/>
      <c r="BB143" s="78"/>
      <c r="BC143" s="76"/>
      <c r="BD143" s="221"/>
      <c r="BE143" s="221"/>
      <c r="BF143" s="221"/>
      <c r="BG143" s="221"/>
      <c r="BH143" s="221"/>
      <c r="BI143" s="221"/>
      <c r="BJ143" s="221"/>
      <c r="BK143" s="221"/>
      <c r="BL143" s="221"/>
      <c r="BM143" s="221"/>
      <c r="BN143" s="221"/>
      <c r="BO143" s="221"/>
      <c r="BP143" s="221"/>
      <c r="BQ143" s="221"/>
      <c r="BR143" s="221"/>
      <c r="BS143" s="221"/>
      <c r="BT143" s="221"/>
      <c r="BU143" s="221"/>
      <c r="BV143" s="221"/>
      <c r="BW143" s="221"/>
      <c r="BX143" s="221"/>
      <c r="BY143" s="221"/>
    </row>
    <row r="144" spans="2:77">
      <c r="B144" s="74"/>
      <c r="C144" s="72"/>
      <c r="D144" s="72"/>
      <c r="E144" s="75"/>
      <c r="F144" s="75"/>
      <c r="G144" s="75"/>
      <c r="H144" s="75"/>
      <c r="I144" s="75"/>
      <c r="J144" s="75"/>
      <c r="K144" s="75"/>
      <c r="L144" s="75"/>
      <c r="M144" s="75"/>
      <c r="N144" s="75"/>
      <c r="O144" s="75"/>
      <c r="P144" s="75"/>
      <c r="Q144" s="75"/>
      <c r="R144" s="75"/>
      <c r="S144" s="75"/>
      <c r="T144" s="75"/>
      <c r="U144" s="75"/>
      <c r="V144" s="75"/>
      <c r="W144" s="75"/>
      <c r="X144" s="75"/>
      <c r="Y144" s="75"/>
      <c r="Z144" s="75"/>
      <c r="AA144" s="72"/>
      <c r="AB144" s="76"/>
      <c r="AC144" s="221"/>
      <c r="AD144" s="221"/>
      <c r="AE144" s="221"/>
      <c r="AF144" s="221"/>
      <c r="AG144" s="221"/>
      <c r="AH144" s="221"/>
      <c r="AI144" s="221"/>
      <c r="AJ144" s="221"/>
      <c r="AK144" s="221"/>
      <c r="AL144" s="221"/>
      <c r="AM144" s="221"/>
      <c r="AN144" s="221"/>
      <c r="AO144" s="221"/>
      <c r="AP144" s="221"/>
      <c r="AQ144" s="221"/>
      <c r="AR144" s="221"/>
      <c r="AS144" s="221"/>
      <c r="AT144" s="221"/>
      <c r="AU144" s="221"/>
      <c r="AV144" s="221"/>
      <c r="AW144" s="221"/>
      <c r="AX144" s="221"/>
      <c r="AY144" s="76"/>
      <c r="AZ144" s="77"/>
      <c r="BA144" s="77"/>
      <c r="BB144" s="78"/>
      <c r="BC144" s="76"/>
      <c r="BD144" s="221"/>
      <c r="BE144" s="221"/>
      <c r="BF144" s="221"/>
      <c r="BG144" s="221"/>
      <c r="BH144" s="221"/>
      <c r="BI144" s="221"/>
      <c r="BJ144" s="221"/>
      <c r="BK144" s="221"/>
      <c r="BL144" s="221"/>
      <c r="BM144" s="221"/>
      <c r="BN144" s="221"/>
      <c r="BO144" s="221"/>
      <c r="BP144" s="221"/>
      <c r="BQ144" s="221"/>
      <c r="BR144" s="221"/>
      <c r="BS144" s="221"/>
      <c r="BT144" s="221"/>
      <c r="BU144" s="221"/>
      <c r="BV144" s="221"/>
      <c r="BW144" s="221"/>
      <c r="BX144" s="221"/>
      <c r="BY144" s="221"/>
    </row>
    <row r="145" spans="2:77">
      <c r="B145" s="74" t="str">
        <f>BA145</f>
        <v>Table games win per unit per day - Hamilton</v>
      </c>
      <c r="C145" s="72" t="s">
        <v>72</v>
      </c>
      <c r="D145" s="224" t="s">
        <v>1342</v>
      </c>
      <c r="E145" s="223">
        <f t="shared" ref="E145:Z145" si="63">AC145</f>
        <v>1139.863904546213</v>
      </c>
      <c r="F145" s="223">
        <f t="shared" si="63"/>
        <v>1096.3730982904499</v>
      </c>
      <c r="G145" s="223">
        <f t="shared" si="63"/>
        <v>1021.128081155983</v>
      </c>
      <c r="H145" s="223">
        <f t="shared" si="63"/>
        <v>1104.3801444911071</v>
      </c>
      <c r="I145" s="223">
        <f t="shared" si="63"/>
        <v>1218.9818951146931</v>
      </c>
      <c r="J145" s="223">
        <f t="shared" si="63"/>
        <v>778.57525611549147</v>
      </c>
      <c r="K145" s="223">
        <f t="shared" si="63"/>
        <v>1242.7290597927399</v>
      </c>
      <c r="L145" s="223">
        <f t="shared" si="63"/>
        <v>1513.33173192409</v>
      </c>
      <c r="M145" s="223">
        <f t="shared" si="63"/>
        <v>791.53293090986267</v>
      </c>
      <c r="N145" s="223">
        <f t="shared" si="63"/>
        <v>1144.3896263118031</v>
      </c>
      <c r="O145" s="223">
        <f t="shared" si="63"/>
        <v>1472.324210038857</v>
      </c>
      <c r="P145" s="223">
        <f t="shared" si="63"/>
        <v>1336.407329060213</v>
      </c>
      <c r="Q145" s="223">
        <f t="shared" si="63"/>
        <v>1450.7139421746899</v>
      </c>
      <c r="R145" s="223">
        <f t="shared" si="63"/>
        <v>1389.7089534367769</v>
      </c>
      <c r="S145" s="223">
        <f t="shared" si="63"/>
        <v>1508.334226562665</v>
      </c>
      <c r="T145" s="223">
        <f t="shared" si="63"/>
        <v>1423.7152471361201</v>
      </c>
      <c r="U145" s="223">
        <f t="shared" si="63"/>
        <v>1553.0793304957151</v>
      </c>
      <c r="V145" s="223">
        <f t="shared" si="63"/>
        <v>1466.43045804812</v>
      </c>
      <c r="W145" s="223">
        <f t="shared" si="63"/>
        <v>1599.33722407445</v>
      </c>
      <c r="X145" s="223">
        <f t="shared" si="63"/>
        <v>1509.7413559607801</v>
      </c>
      <c r="Y145" s="223">
        <f t="shared" si="63"/>
        <v>1646.2763663342801</v>
      </c>
      <c r="Z145" s="223">
        <f t="shared" si="63"/>
        <v>1553.6258721951649</v>
      </c>
      <c r="AA145" s="72"/>
      <c r="AB145" s="76"/>
      <c r="AC145" s="222">
        <v>1139.863904546213</v>
      </c>
      <c r="AD145" s="222">
        <v>1096.3730982904499</v>
      </c>
      <c r="AE145" s="222">
        <v>1021.128081155983</v>
      </c>
      <c r="AF145" s="222">
        <v>1104.3801444911071</v>
      </c>
      <c r="AG145" s="222">
        <v>1218.9818951146931</v>
      </c>
      <c r="AH145" s="222">
        <v>778.57525611549147</v>
      </c>
      <c r="AI145" s="222">
        <v>1242.7290597927399</v>
      </c>
      <c r="AJ145" s="222">
        <v>1513.33173192409</v>
      </c>
      <c r="AK145" s="222">
        <v>791.53293090986267</v>
      </c>
      <c r="AL145" s="222">
        <v>1144.3896263118031</v>
      </c>
      <c r="AM145" s="222">
        <v>1472.324210038857</v>
      </c>
      <c r="AN145" s="222">
        <v>1336.407329060213</v>
      </c>
      <c r="AO145" s="222">
        <v>1450.7139421746899</v>
      </c>
      <c r="AP145" s="222">
        <v>1389.7089534367769</v>
      </c>
      <c r="AQ145" s="222">
        <v>1508.334226562665</v>
      </c>
      <c r="AR145" s="222">
        <v>1423.7152471361201</v>
      </c>
      <c r="AS145" s="222">
        <v>1553.0793304957151</v>
      </c>
      <c r="AT145" s="222">
        <v>1466.43045804812</v>
      </c>
      <c r="AU145" s="222">
        <v>1599.33722407445</v>
      </c>
      <c r="AV145" s="222">
        <v>1509.7413559607801</v>
      </c>
      <c r="AW145" s="222">
        <v>1646.2763663342801</v>
      </c>
      <c r="AX145" s="222">
        <v>1553.6258721951649</v>
      </c>
      <c r="AY145" s="76"/>
      <c r="AZ145" s="77" t="s">
        <v>1259</v>
      </c>
      <c r="BA145" s="77" t="s">
        <v>1368</v>
      </c>
      <c r="BB145" s="78" t="s">
        <v>1261</v>
      </c>
      <c r="BC145" s="76"/>
      <c r="BD145" s="79" t="str">
        <f>_xll.VAData($AZ145,BD$2,$BA145,$BB145)</f>
        <v>-</v>
      </c>
      <c r="BE145" s="79" t="str">
        <f>_xll.VAData($AZ145,BE$2,$BA145,$BB145)</f>
        <v>-</v>
      </c>
      <c r="BF145" s="79" t="str">
        <f>_xll.VAData($AZ145,BF$2,$BA145,$BB145)</f>
        <v>-</v>
      </c>
      <c r="BG145" s="79" t="str">
        <f>_xll.VAData($AZ145,BG$2,$BA145,$BB145)</f>
        <v>-</v>
      </c>
      <c r="BH145" s="79" t="str">
        <f>_xll.VAData($AZ145,BH$2,$BA145,$BB145)</f>
        <v>-</v>
      </c>
      <c r="BI145" s="79" t="str">
        <f>_xll.VAData($AZ145,BI$2,$BA145,$BB145)</f>
        <v>-</v>
      </c>
      <c r="BJ145" s="79" t="str">
        <f>_xll.VAData($AZ145,BJ$2,$BA145,$BB145)</f>
        <v>-</v>
      </c>
      <c r="BK145" s="79" t="str">
        <f>_xll.VAData($AZ145,BK$2,$BA145,$BB145)</f>
        <v>-</v>
      </c>
      <c r="BL145" s="79" t="str">
        <f>_xll.VAData($AZ145,BL$2,$BA145,$BB145)</f>
        <v>-</v>
      </c>
      <c r="BM145" s="79" t="str">
        <f>_xll.VAData($AZ145,BM$2,$BA145,$BB145)</f>
        <v>-</v>
      </c>
      <c r="BN145" s="79" t="str">
        <f>_xll.VAData($AZ145,BN$2,$BA145,$BB145)</f>
        <v>-</v>
      </c>
      <c r="BO145" s="79" t="str">
        <f>_xll.VAData($AZ145,BO$2,$BA145,$BB145)</f>
        <v>-</v>
      </c>
      <c r="BP145" s="79" t="str">
        <f>_xll.VAData($AZ145,BP$2,$BA145,$BB145)</f>
        <v>-</v>
      </c>
      <c r="BQ145" s="79" t="str">
        <f>_xll.VAData($AZ145,BQ$2,$BA145,$BB145)</f>
        <v>-</v>
      </c>
      <c r="BR145" s="79" t="str">
        <f>_xll.VAData($AZ145,BR$2,$BA145,$BB145)</f>
        <v>-</v>
      </c>
      <c r="BS145" s="79" t="str">
        <f>_xll.VAData($AZ145,BS$2,$BA145,$BB145)</f>
        <v>-</v>
      </c>
      <c r="BT145" s="79" t="str">
        <f>_xll.VAData($AZ145,BT$2,$BA145,$BB145)</f>
        <v>-</v>
      </c>
      <c r="BU145" s="79" t="str">
        <f>_xll.VAData($AZ145,BU$2,$BA145,$BB145)</f>
        <v>-</v>
      </c>
      <c r="BV145" s="79" t="str">
        <f>_xll.VAData($AZ145,BV$2,$BA145,$BB145)</f>
        <v>-</v>
      </c>
      <c r="BW145" s="79" t="str">
        <f>_xll.VAData($AZ145,BW$2,$BA145,$BB145)</f>
        <v>-</v>
      </c>
      <c r="BX145" s="79" t="str">
        <f>_xll.VAData($AZ145,BX$2,$BA145,$BB145)</f>
        <v>-</v>
      </c>
      <c r="BY145" s="79" t="str">
        <f>_xll.VAData($AZ145,BY$2,$BA145,$BB145)</f>
        <v>-</v>
      </c>
    </row>
    <row r="146" spans="2:77">
      <c r="B146" s="74"/>
      <c r="C146" s="72" t="s">
        <v>72</v>
      </c>
      <c r="D146" s="225" t="s">
        <v>1343</v>
      </c>
      <c r="E146" s="226">
        <f>HY!E146</f>
        <v>756.52173913043475</v>
      </c>
      <c r="F146" s="226">
        <f>HY!F146</f>
        <v>836.99447513812152</v>
      </c>
      <c r="G146" s="226">
        <f>HY!G146</f>
        <v>677.71739130434787</v>
      </c>
      <c r="H146" s="226">
        <f>HY!H146</f>
        <v>826.58011049723757</v>
      </c>
      <c r="I146" s="226">
        <f>HY!I146</f>
        <v>803.80434782608677</v>
      </c>
      <c r="J146" s="226">
        <f>HY!J146</f>
        <v>631.46703296703311</v>
      </c>
      <c r="K146" s="226">
        <f>HY!K146</f>
        <v>819.56521739130437</v>
      </c>
      <c r="L146" s="226">
        <f>HY!L146</f>
        <v>1117.7016574585634</v>
      </c>
      <c r="M146" s="226">
        <f>HY!M146</f>
        <v>677.71739130434787</v>
      </c>
      <c r="N146" s="226">
        <f>HY!N146</f>
        <v>913.25966850828729</v>
      </c>
      <c r="O146" s="226">
        <f>HY!O146</f>
        <v>1195.6521739130435</v>
      </c>
      <c r="P146" s="226">
        <f>HY!P146</f>
        <v>1086.5561694290975</v>
      </c>
      <c r="Q146" s="226">
        <f>HY!Q146</f>
        <v>1177.536231884058</v>
      </c>
      <c r="R146" s="226">
        <f>HY!R146</f>
        <v>1245.4212454212454</v>
      </c>
      <c r="S146" s="226">
        <f>HY!S146</f>
        <v>1177.536231884058</v>
      </c>
      <c r="T146" s="226">
        <f>HY!T146</f>
        <v>1289.1344383057092</v>
      </c>
      <c r="U146" s="226">
        <f>HY!U146</f>
        <v>1268.1159420289855</v>
      </c>
      <c r="V146" s="226">
        <f>HY!V146</f>
        <v>1270.7182320441989</v>
      </c>
      <c r="W146" s="226">
        <f>HY!W146</f>
        <v>1280.7971014492753</v>
      </c>
      <c r="X146" s="226">
        <f>HY!X146</f>
        <v>1283.4254143646408</v>
      </c>
      <c r="Y146" s="226">
        <f>HY!Y146</f>
        <v>1293.605072463768</v>
      </c>
      <c r="Z146" s="226">
        <f>HY!Z146</f>
        <v>1296.2596685082872</v>
      </c>
      <c r="AA146" s="72"/>
      <c r="AB146" s="76"/>
      <c r="AC146" s="221"/>
      <c r="AD146" s="221"/>
      <c r="AE146" s="221"/>
      <c r="AF146" s="221"/>
      <c r="AG146" s="221"/>
      <c r="AH146" s="221"/>
      <c r="AI146" s="221"/>
      <c r="AJ146" s="221"/>
      <c r="AK146" s="221"/>
      <c r="AL146" s="221"/>
      <c r="AM146" s="221"/>
      <c r="AN146" s="221"/>
      <c r="AO146" s="221"/>
      <c r="AP146" s="221"/>
      <c r="AQ146" s="221"/>
      <c r="AR146" s="221"/>
      <c r="AS146" s="221"/>
      <c r="AT146" s="221"/>
      <c r="AU146" s="221"/>
      <c r="AV146" s="221"/>
      <c r="AW146" s="221"/>
      <c r="AX146" s="221"/>
      <c r="AY146" s="76"/>
      <c r="AZ146" s="77"/>
      <c r="BA146" s="77"/>
      <c r="BB146" s="78"/>
      <c r="BC146" s="76"/>
      <c r="BD146" s="221"/>
      <c r="BE146" s="221"/>
      <c r="BF146" s="221"/>
      <c r="BG146" s="221"/>
      <c r="BH146" s="221"/>
      <c r="BI146" s="221"/>
      <c r="BJ146" s="221"/>
      <c r="BK146" s="221"/>
      <c r="BL146" s="221"/>
      <c r="BM146" s="221"/>
      <c r="BN146" s="221"/>
      <c r="BO146" s="221"/>
      <c r="BP146" s="221"/>
      <c r="BQ146" s="221"/>
      <c r="BR146" s="221"/>
      <c r="BS146" s="221"/>
      <c r="BT146" s="221"/>
      <c r="BU146" s="221"/>
      <c r="BV146" s="221"/>
      <c r="BW146" s="221"/>
      <c r="BX146" s="221"/>
      <c r="BY146" s="221"/>
    </row>
    <row r="147" spans="2:77">
      <c r="B147" s="74"/>
      <c r="C147" s="81" t="s">
        <v>88</v>
      </c>
      <c r="D147" s="72" t="s">
        <v>1344</v>
      </c>
      <c r="E147" s="227">
        <f t="shared" ref="E147:Z147" si="64">IFERROR(ROUND(E145/E146-1,3),"")</f>
        <v>0.50700000000000001</v>
      </c>
      <c r="F147" s="227">
        <f t="shared" si="64"/>
        <v>0.31</v>
      </c>
      <c r="G147" s="227">
        <f t="shared" si="64"/>
        <v>0.50700000000000001</v>
      </c>
      <c r="H147" s="227">
        <f t="shared" si="64"/>
        <v>0.33600000000000002</v>
      </c>
      <c r="I147" s="227">
        <f t="shared" si="64"/>
        <v>0.51700000000000002</v>
      </c>
      <c r="J147" s="227">
        <f t="shared" si="64"/>
        <v>0.23300000000000001</v>
      </c>
      <c r="K147" s="227">
        <f t="shared" si="64"/>
        <v>0.51600000000000001</v>
      </c>
      <c r="L147" s="227">
        <f t="shared" si="64"/>
        <v>0.35399999999999998</v>
      </c>
      <c r="M147" s="227">
        <f t="shared" si="64"/>
        <v>0.16800000000000001</v>
      </c>
      <c r="N147" s="227">
        <f t="shared" si="64"/>
        <v>0.253</v>
      </c>
      <c r="O147" s="227">
        <f t="shared" si="64"/>
        <v>0.23100000000000001</v>
      </c>
      <c r="P147" s="227">
        <f t="shared" si="64"/>
        <v>0.23</v>
      </c>
      <c r="Q147" s="227">
        <f t="shared" si="64"/>
        <v>0.23200000000000001</v>
      </c>
      <c r="R147" s="227">
        <f t="shared" si="64"/>
        <v>0.11600000000000001</v>
      </c>
      <c r="S147" s="227">
        <f t="shared" si="64"/>
        <v>0.28100000000000003</v>
      </c>
      <c r="T147" s="227">
        <f t="shared" si="64"/>
        <v>0.104</v>
      </c>
      <c r="U147" s="227">
        <f t="shared" si="64"/>
        <v>0.22500000000000001</v>
      </c>
      <c r="V147" s="227">
        <f t="shared" si="64"/>
        <v>0.154</v>
      </c>
      <c r="W147" s="227">
        <f t="shared" si="64"/>
        <v>0.249</v>
      </c>
      <c r="X147" s="227">
        <f t="shared" si="64"/>
        <v>0.17599999999999999</v>
      </c>
      <c r="Y147" s="227">
        <f t="shared" si="64"/>
        <v>0.27300000000000002</v>
      </c>
      <c r="Z147" s="227">
        <f t="shared" si="64"/>
        <v>0.19900000000000001</v>
      </c>
      <c r="AA147" s="72"/>
      <c r="AB147" s="76"/>
      <c r="AC147" s="221"/>
      <c r="AD147" s="221"/>
      <c r="AE147" s="221"/>
      <c r="AF147" s="221"/>
      <c r="AG147" s="221"/>
      <c r="AH147" s="221"/>
      <c r="AI147" s="221"/>
      <c r="AJ147" s="221"/>
      <c r="AK147" s="221"/>
      <c r="AL147" s="221"/>
      <c r="AM147" s="221"/>
      <c r="AN147" s="221"/>
      <c r="AO147" s="221"/>
      <c r="AP147" s="221"/>
      <c r="AQ147" s="221"/>
      <c r="AR147" s="221"/>
      <c r="AS147" s="221"/>
      <c r="AT147" s="221"/>
      <c r="AU147" s="221"/>
      <c r="AV147" s="221"/>
      <c r="AW147" s="221"/>
      <c r="AX147" s="221"/>
      <c r="AY147" s="76"/>
      <c r="AZ147" s="77"/>
      <c r="BA147" s="77"/>
      <c r="BB147" s="78"/>
      <c r="BC147" s="76"/>
      <c r="BD147" s="221"/>
      <c r="BE147" s="221"/>
      <c r="BF147" s="221"/>
      <c r="BG147" s="221"/>
      <c r="BH147" s="221"/>
      <c r="BI147" s="221"/>
      <c r="BJ147" s="221"/>
      <c r="BK147" s="221"/>
      <c r="BL147" s="221"/>
      <c r="BM147" s="221"/>
      <c r="BN147" s="221"/>
      <c r="BO147" s="221"/>
      <c r="BP147" s="221"/>
      <c r="BQ147" s="221"/>
      <c r="BR147" s="221"/>
      <c r="BS147" s="221"/>
      <c r="BT147" s="221"/>
      <c r="BU147" s="221"/>
      <c r="BV147" s="221"/>
      <c r="BW147" s="221"/>
      <c r="BX147" s="221"/>
      <c r="BY147" s="221"/>
    </row>
    <row r="149" spans="2:77">
      <c r="B149" s="237" t="s">
        <v>1361</v>
      </c>
    </row>
    <row r="151" spans="2:77">
      <c r="B151" s="74" t="str">
        <f>BA151</f>
        <v>Total revenue - Non-Gaming - Hamilton</v>
      </c>
      <c r="C151" s="72" t="s">
        <v>72</v>
      </c>
      <c r="D151" s="224" t="s">
        <v>1342</v>
      </c>
      <c r="E151" s="223">
        <f t="shared" ref="E151:Z151" si="65">AC151</f>
        <v>4.5</v>
      </c>
      <c r="F151" s="223">
        <f t="shared" si="65"/>
        <v>3.9</v>
      </c>
      <c r="G151" s="223">
        <f t="shared" si="65"/>
        <v>4.4000000000000004</v>
      </c>
      <c r="H151" s="223">
        <f t="shared" si="65"/>
        <v>4</v>
      </c>
      <c r="I151" s="223">
        <f t="shared" si="65"/>
        <v>4.7</v>
      </c>
      <c r="J151" s="223">
        <f t="shared" si="65"/>
        <v>4.3</v>
      </c>
      <c r="K151" s="223">
        <f t="shared" si="65"/>
        <v>5</v>
      </c>
      <c r="L151" s="223">
        <f t="shared" si="65"/>
        <v>3.9</v>
      </c>
      <c r="M151" s="223">
        <f t="shared" si="65"/>
        <v>4.0999999999999996</v>
      </c>
      <c r="N151" s="223">
        <f t="shared" si="65"/>
        <v>3.3</v>
      </c>
      <c r="O151" s="223">
        <f t="shared" si="65"/>
        <v>5</v>
      </c>
      <c r="P151" s="223">
        <f t="shared" si="65"/>
        <v>4.3</v>
      </c>
      <c r="Q151" s="223">
        <f t="shared" si="65"/>
        <v>4.7509999999999986</v>
      </c>
      <c r="R151" s="223">
        <f t="shared" si="65"/>
        <v>4.494701606154238</v>
      </c>
      <c r="S151" s="223">
        <f t="shared" si="65"/>
        <v>4.9152059613949</v>
      </c>
      <c r="T151" s="223">
        <f t="shared" si="65"/>
        <v>4.5956210993600521</v>
      </c>
      <c r="U151" s="223">
        <f t="shared" si="65"/>
        <v>5.0697866220030994</v>
      </c>
      <c r="V151" s="223">
        <f t="shared" si="65"/>
        <v>4.7022817029602031</v>
      </c>
      <c r="W151" s="223">
        <f t="shared" si="65"/>
        <v>5.2131673858190561</v>
      </c>
      <c r="X151" s="223">
        <f t="shared" si="65"/>
        <v>4.8339745100097344</v>
      </c>
      <c r="Y151" s="223">
        <f t="shared" si="65"/>
        <v>5.35924070682755</v>
      </c>
      <c r="Z151" s="223">
        <f t="shared" si="65"/>
        <v>4.9724534975257733</v>
      </c>
      <c r="AA151" s="72"/>
      <c r="AB151" s="76"/>
      <c r="AC151" s="222">
        <v>4.5</v>
      </c>
      <c r="AD151" s="222">
        <v>3.9</v>
      </c>
      <c r="AE151" s="222">
        <v>4.4000000000000004</v>
      </c>
      <c r="AF151" s="222">
        <v>4</v>
      </c>
      <c r="AG151" s="222">
        <v>4.7</v>
      </c>
      <c r="AH151" s="222">
        <v>4.3</v>
      </c>
      <c r="AI151" s="222">
        <v>5</v>
      </c>
      <c r="AJ151" s="222">
        <v>3.9</v>
      </c>
      <c r="AK151" s="222">
        <v>4.0999999999999996</v>
      </c>
      <c r="AL151" s="222">
        <v>3.3</v>
      </c>
      <c r="AM151" s="222">
        <v>5</v>
      </c>
      <c r="AN151" s="222">
        <v>4.3</v>
      </c>
      <c r="AO151" s="222">
        <v>4.7509999999999986</v>
      </c>
      <c r="AP151" s="222">
        <v>4.494701606154238</v>
      </c>
      <c r="AQ151" s="222">
        <v>4.9152059613949</v>
      </c>
      <c r="AR151" s="222">
        <v>4.5956210993600521</v>
      </c>
      <c r="AS151" s="222">
        <v>5.0697866220030994</v>
      </c>
      <c r="AT151" s="222">
        <v>4.7022817029602031</v>
      </c>
      <c r="AU151" s="222">
        <v>5.2131673858190561</v>
      </c>
      <c r="AV151" s="222">
        <v>4.8339745100097344</v>
      </c>
      <c r="AW151" s="222">
        <v>5.35924070682755</v>
      </c>
      <c r="AX151" s="222">
        <v>4.9724534975257733</v>
      </c>
      <c r="AY151" s="76"/>
      <c r="AZ151" s="77" t="s">
        <v>1259</v>
      </c>
      <c r="BA151" s="77" t="s">
        <v>1369</v>
      </c>
      <c r="BB151" s="78" t="s">
        <v>1261</v>
      </c>
      <c r="BC151" s="76"/>
      <c r="BD151" s="79">
        <f>_xll.VAData($AZ151,BD$2,$BA151,$BB151)</f>
        <v>4.4915028000000001</v>
      </c>
      <c r="BE151" s="79">
        <f>_xll.VAData($AZ151,BE$2,$BA151,$BB151)</f>
        <v>3.8821875000000001</v>
      </c>
      <c r="BF151" s="79">
        <f>_xll.VAData($AZ151,BF$2,$BA151,$BB151)</f>
        <v>4.4056387552</v>
      </c>
      <c r="BG151" s="79">
        <f>_xll.VAData($AZ151,BG$2,$BA151,$BB151)</f>
        <v>3.9785599999999999</v>
      </c>
      <c r="BH151" s="79">
        <f>_xll.VAData($AZ151,BH$2,$BA151,$BB151)</f>
        <v>4.7043870328506898</v>
      </c>
      <c r="BI151" s="79">
        <f>_xll.VAData($AZ151,BI$2,$BA151,$BB151)</f>
        <v>4.2956129671493102</v>
      </c>
      <c r="BJ151" s="79">
        <f>_xll.VAData($AZ151,BJ$2,$BA151,$BB151)</f>
        <v>4.9862327066903251</v>
      </c>
      <c r="BK151" s="79">
        <f>_xll.VAData($AZ151,BK$2,$BA151,$BB151)</f>
        <v>4.4153092992545604</v>
      </c>
      <c r="BL151" s="79">
        <f>_xll.VAData($AZ151,BL$2,$BA151,$BB151)</f>
        <v>4.0999999999999996</v>
      </c>
      <c r="BM151" s="79">
        <f>_xll.VAData($AZ151,BM$2,$BA151,$BB151)</f>
        <v>3.3</v>
      </c>
      <c r="BN151" s="79">
        <f>_xll.VAData($AZ151,BN$2,$BA151,$BB151)</f>
        <v>5</v>
      </c>
      <c r="BO151" s="79">
        <f>_xll.VAData($AZ151,BO$2,$BA151,$BB151)</f>
        <v>4.3</v>
      </c>
      <c r="BP151" s="79">
        <f>_xll.VAData($AZ151,BP$2,$BA151,$BB151)</f>
        <v>4.7</v>
      </c>
      <c r="BQ151" s="79">
        <f>_xll.VAData($AZ151,BQ$2,$BA151,$BB151)</f>
        <v>4.2</v>
      </c>
      <c r="BR151" s="79">
        <f>_xll.VAData($AZ151,BR$2,$BA151,$BB151)</f>
        <v>5.4</v>
      </c>
      <c r="BS151" s="79">
        <f>_xll.VAData($AZ151,BS$2,$BA151,$BB151)</f>
        <v>4.7</v>
      </c>
      <c r="BT151" s="79">
        <f>_xll.VAData($AZ151,BT$2,$BA151,$BB151)</f>
        <v>5.5</v>
      </c>
      <c r="BU151" s="79">
        <f>_xll.VAData($AZ151,BU$2,$BA151,$BB151)</f>
        <v>4.4000000000000004</v>
      </c>
      <c r="BV151" s="79">
        <f>_xll.VAData($AZ151,BV$2,$BA151,$BB151)</f>
        <v>5.6375000000000002</v>
      </c>
      <c r="BW151" s="79">
        <f>_xll.VAData($AZ151,BW$2,$BA151,$BB151)</f>
        <v>4.5540000000000003</v>
      </c>
      <c r="BX151" s="79">
        <f>_xll.VAData($AZ151,BX$2,$BA151,$BB151)</f>
        <v>5.7784374999999999</v>
      </c>
      <c r="BY151" s="79">
        <f>_xll.VAData($AZ151,BY$2,$BA151,$BB151)</f>
        <v>4.6678499999999996</v>
      </c>
    </row>
    <row r="152" spans="2:77">
      <c r="B152" s="74"/>
      <c r="C152" s="72" t="s">
        <v>72</v>
      </c>
      <c r="D152" s="225" t="s">
        <v>1343</v>
      </c>
      <c r="E152" s="226">
        <f>HY!E213</f>
        <v>5.3</v>
      </c>
      <c r="F152" s="226">
        <f>HY!F213</f>
        <v>4.6000000000000014</v>
      </c>
      <c r="G152" s="226">
        <f>HY!G213</f>
        <v>5.2</v>
      </c>
      <c r="H152" s="226">
        <f>HY!H213</f>
        <v>4.7</v>
      </c>
      <c r="I152" s="226">
        <f>HY!I213</f>
        <v>5.5</v>
      </c>
      <c r="J152" s="226">
        <f>HY!J213</f>
        <v>5.0999999999999996</v>
      </c>
      <c r="K152" s="226">
        <f>HY!K213</f>
        <v>5.9</v>
      </c>
      <c r="L152" s="226">
        <f>HY!L213</f>
        <v>4.6000000000000014</v>
      </c>
      <c r="M152" s="226">
        <f>HY!M213</f>
        <v>4.6999999999999993</v>
      </c>
      <c r="N152" s="226">
        <f>HY!N213</f>
        <v>3.8000000000000012</v>
      </c>
      <c r="O152" s="226">
        <f>HY!O213</f>
        <v>5.7</v>
      </c>
      <c r="P152" s="226">
        <f>HY!P213</f>
        <v>4.9999999999999991</v>
      </c>
      <c r="Q152" s="226">
        <f>HY!Q213</f>
        <v>5.4</v>
      </c>
      <c r="R152" s="226">
        <f>HY!R213</f>
        <v>5</v>
      </c>
      <c r="S152" s="226">
        <f>HY!S213</f>
        <v>5.4</v>
      </c>
      <c r="T152" s="226">
        <f>HY!T213</f>
        <v>4.6999999999999993</v>
      </c>
      <c r="U152" s="226">
        <f>HY!U213</f>
        <v>5.4</v>
      </c>
      <c r="V152" s="226">
        <f>HY!V213</f>
        <v>4.5999999999999996</v>
      </c>
      <c r="W152" s="226">
        <f>HY!W213</f>
        <v>5</v>
      </c>
      <c r="X152" s="226">
        <f>HY!X213</f>
        <v>4.5</v>
      </c>
      <c r="Y152" s="226">
        <f>HY!Y213</f>
        <v>5</v>
      </c>
      <c r="Z152" s="226">
        <f>HY!Z213</f>
        <v>4.5</v>
      </c>
      <c r="AA152" s="72"/>
      <c r="AB152" s="76"/>
      <c r="AC152" s="221"/>
      <c r="AD152" s="221"/>
      <c r="AE152" s="221"/>
      <c r="AF152" s="221"/>
      <c r="AG152" s="221"/>
      <c r="AH152" s="221"/>
      <c r="AI152" s="221"/>
      <c r="AJ152" s="221"/>
      <c r="AK152" s="221"/>
      <c r="AL152" s="221"/>
      <c r="AM152" s="221"/>
      <c r="AN152" s="221"/>
      <c r="AO152" s="221"/>
      <c r="AP152" s="221"/>
      <c r="AQ152" s="221"/>
      <c r="AR152" s="221"/>
      <c r="AS152" s="221"/>
      <c r="AT152" s="221"/>
      <c r="AU152" s="221"/>
      <c r="AV152" s="221"/>
      <c r="AW152" s="221"/>
      <c r="AX152" s="221"/>
      <c r="AY152" s="76"/>
      <c r="AZ152" s="77"/>
      <c r="BA152" s="77"/>
      <c r="BB152" s="78"/>
      <c r="BC152" s="76"/>
      <c r="BD152" s="221"/>
      <c r="BE152" s="221"/>
      <c r="BF152" s="221"/>
      <c r="BG152" s="221"/>
      <c r="BH152" s="221"/>
      <c r="BI152" s="221"/>
      <c r="BJ152" s="221"/>
      <c r="BK152" s="221"/>
      <c r="BL152" s="221"/>
      <c r="BM152" s="221"/>
      <c r="BN152" s="221"/>
      <c r="BO152" s="221"/>
      <c r="BP152" s="221"/>
      <c r="BQ152" s="221"/>
      <c r="BR152" s="221"/>
      <c r="BS152" s="221"/>
      <c r="BT152" s="221"/>
      <c r="BU152" s="221"/>
      <c r="BV152" s="221"/>
      <c r="BW152" s="221"/>
      <c r="BX152" s="221"/>
      <c r="BY152" s="221"/>
    </row>
    <row r="153" spans="2:77">
      <c r="B153" s="74"/>
      <c r="C153" s="81" t="s">
        <v>88</v>
      </c>
      <c r="D153" s="72" t="s">
        <v>1344</v>
      </c>
      <c r="E153" s="227">
        <f t="shared" ref="E153:Z153" si="66">IFERROR(ROUND(E151/E152-1,3),"")</f>
        <v>-0.151</v>
      </c>
      <c r="F153" s="227">
        <f t="shared" si="66"/>
        <v>-0.152</v>
      </c>
      <c r="G153" s="227">
        <f t="shared" si="66"/>
        <v>-0.154</v>
      </c>
      <c r="H153" s="227">
        <f t="shared" si="66"/>
        <v>-0.14899999999999999</v>
      </c>
      <c r="I153" s="227">
        <f t="shared" si="66"/>
        <v>-0.14499999999999999</v>
      </c>
      <c r="J153" s="227">
        <f t="shared" si="66"/>
        <v>-0.157</v>
      </c>
      <c r="K153" s="227">
        <f t="shared" si="66"/>
        <v>-0.153</v>
      </c>
      <c r="L153" s="227">
        <f t="shared" si="66"/>
        <v>-0.152</v>
      </c>
      <c r="M153" s="227">
        <f t="shared" si="66"/>
        <v>-0.128</v>
      </c>
      <c r="N153" s="227">
        <f t="shared" si="66"/>
        <v>-0.13200000000000001</v>
      </c>
      <c r="O153" s="227">
        <f t="shared" si="66"/>
        <v>-0.123</v>
      </c>
      <c r="P153" s="227">
        <f t="shared" si="66"/>
        <v>-0.14000000000000001</v>
      </c>
      <c r="Q153" s="227">
        <f t="shared" si="66"/>
        <v>-0.12</v>
      </c>
      <c r="R153" s="227">
        <f t="shared" si="66"/>
        <v>-0.10100000000000001</v>
      </c>
      <c r="S153" s="227">
        <f t="shared" si="66"/>
        <v>-0.09</v>
      </c>
      <c r="T153" s="227">
        <f t="shared" si="66"/>
        <v>-2.1999999999999999E-2</v>
      </c>
      <c r="U153" s="227">
        <f t="shared" si="66"/>
        <v>-6.0999999999999999E-2</v>
      </c>
      <c r="V153" s="227">
        <f t="shared" si="66"/>
        <v>2.1999999999999999E-2</v>
      </c>
      <c r="W153" s="227">
        <f t="shared" si="66"/>
        <v>4.2999999999999997E-2</v>
      </c>
      <c r="X153" s="227">
        <f t="shared" si="66"/>
        <v>7.3999999999999996E-2</v>
      </c>
      <c r="Y153" s="227">
        <f t="shared" si="66"/>
        <v>7.1999999999999995E-2</v>
      </c>
      <c r="Z153" s="227">
        <f t="shared" si="66"/>
        <v>0.105</v>
      </c>
      <c r="AA153" s="72"/>
      <c r="AB153" s="76"/>
      <c r="AC153" s="221"/>
      <c r="AD153" s="221"/>
      <c r="AE153" s="221"/>
      <c r="AF153" s="221"/>
      <c r="AG153" s="221"/>
      <c r="AH153" s="221"/>
      <c r="AI153" s="221"/>
      <c r="AJ153" s="221"/>
      <c r="AK153" s="221"/>
      <c r="AL153" s="221"/>
      <c r="AM153" s="221"/>
      <c r="AN153" s="221"/>
      <c r="AO153" s="221"/>
      <c r="AP153" s="221"/>
      <c r="AQ153" s="221"/>
      <c r="AR153" s="221"/>
      <c r="AS153" s="221"/>
      <c r="AT153" s="221"/>
      <c r="AU153" s="221"/>
      <c r="AV153" s="221"/>
      <c r="AW153" s="221"/>
      <c r="AX153" s="221"/>
      <c r="AY153" s="76"/>
      <c r="AZ153" s="77"/>
      <c r="BA153" s="77"/>
      <c r="BB153" s="78"/>
      <c r="BC153" s="76"/>
      <c r="BD153" s="221"/>
      <c r="BE153" s="221"/>
      <c r="BF153" s="221"/>
      <c r="BG153" s="221"/>
      <c r="BH153" s="221"/>
      <c r="BI153" s="221"/>
      <c r="BJ153" s="221"/>
      <c r="BK153" s="221"/>
      <c r="BL153" s="221"/>
      <c r="BM153" s="221"/>
      <c r="BN153" s="221"/>
      <c r="BO153" s="221"/>
      <c r="BP153" s="221"/>
      <c r="BQ153" s="221"/>
      <c r="BR153" s="221"/>
      <c r="BS153" s="221"/>
      <c r="BT153" s="221"/>
      <c r="BU153" s="221"/>
      <c r="BV153" s="221"/>
      <c r="BW153" s="221"/>
      <c r="BX153" s="221"/>
      <c r="BY153" s="221"/>
    </row>
    <row r="154" spans="2:77">
      <c r="B154" s="74"/>
      <c r="C154" s="72"/>
      <c r="D154" s="72"/>
      <c r="E154" s="75"/>
      <c r="F154" s="75"/>
      <c r="G154" s="75"/>
      <c r="H154" s="75"/>
      <c r="I154" s="75"/>
      <c r="J154" s="75"/>
      <c r="K154" s="75"/>
      <c r="L154" s="75"/>
      <c r="M154" s="75"/>
      <c r="N154" s="75"/>
      <c r="O154" s="75"/>
      <c r="P154" s="75"/>
      <c r="Q154" s="75"/>
      <c r="R154" s="75"/>
      <c r="S154" s="75"/>
      <c r="T154" s="75"/>
      <c r="U154" s="75"/>
      <c r="V154" s="75"/>
      <c r="W154" s="75"/>
      <c r="X154" s="75"/>
      <c r="Y154" s="75"/>
      <c r="Z154" s="75"/>
      <c r="AA154" s="72"/>
      <c r="AB154" s="76"/>
      <c r="AC154" s="221"/>
      <c r="AD154" s="221"/>
      <c r="AE154" s="221"/>
      <c r="AF154" s="221"/>
      <c r="AG154" s="221"/>
      <c r="AH154" s="221"/>
      <c r="AI154" s="221"/>
      <c r="AJ154" s="221"/>
      <c r="AK154" s="221"/>
      <c r="AL154" s="221"/>
      <c r="AM154" s="221"/>
      <c r="AN154" s="221"/>
      <c r="AO154" s="221"/>
      <c r="AP154" s="221"/>
      <c r="AQ154" s="221"/>
      <c r="AR154" s="221"/>
      <c r="AS154" s="221"/>
      <c r="AT154" s="221"/>
      <c r="AU154" s="221"/>
      <c r="AV154" s="221"/>
      <c r="AW154" s="221"/>
      <c r="AX154" s="221"/>
      <c r="AY154" s="76"/>
      <c r="AZ154" s="77"/>
      <c r="BA154" s="77"/>
      <c r="BB154" s="78"/>
      <c r="BC154" s="76"/>
      <c r="BD154" s="221"/>
      <c r="BE154" s="221"/>
      <c r="BF154" s="221"/>
      <c r="BG154" s="221"/>
      <c r="BH154" s="221"/>
      <c r="BI154" s="221"/>
      <c r="BJ154" s="221"/>
      <c r="BK154" s="221"/>
      <c r="BL154" s="221"/>
      <c r="BM154" s="221"/>
      <c r="BN154" s="221"/>
      <c r="BO154" s="221"/>
      <c r="BP154" s="221"/>
      <c r="BQ154" s="221"/>
      <c r="BR154" s="221"/>
      <c r="BS154" s="221"/>
      <c r="BT154" s="221"/>
      <c r="BU154" s="221"/>
      <c r="BV154" s="221"/>
      <c r="BW154" s="221"/>
      <c r="BX154" s="221"/>
      <c r="BY154" s="221"/>
    </row>
    <row r="155" spans="2:77">
      <c r="B155" s="237" t="s">
        <v>1362</v>
      </c>
      <c r="C155" s="72"/>
      <c r="D155" s="72"/>
      <c r="E155" s="75"/>
      <c r="F155" s="75"/>
      <c r="G155" s="75"/>
      <c r="H155" s="75"/>
      <c r="I155" s="75"/>
      <c r="J155" s="75"/>
      <c r="K155" s="75"/>
      <c r="L155" s="75"/>
      <c r="M155" s="75"/>
      <c r="N155" s="75"/>
      <c r="O155" s="75"/>
      <c r="P155" s="75"/>
      <c r="Q155" s="75"/>
      <c r="R155" s="75"/>
      <c r="S155" s="75"/>
      <c r="T155" s="75"/>
      <c r="U155" s="75"/>
      <c r="V155" s="75"/>
      <c r="W155" s="75"/>
      <c r="X155" s="75"/>
      <c r="Y155" s="75"/>
      <c r="Z155" s="75"/>
      <c r="AA155" s="72"/>
      <c r="AB155" s="76"/>
      <c r="AC155" s="221"/>
      <c r="AD155" s="221"/>
      <c r="AE155" s="221"/>
      <c r="AF155" s="221"/>
      <c r="AG155" s="221"/>
      <c r="AH155" s="221"/>
      <c r="AI155" s="221"/>
      <c r="AJ155" s="221"/>
      <c r="AK155" s="221"/>
      <c r="AL155" s="221"/>
      <c r="AM155" s="221"/>
      <c r="AN155" s="221"/>
      <c r="AO155" s="221"/>
      <c r="AP155" s="221"/>
      <c r="AQ155" s="221"/>
      <c r="AR155" s="221"/>
      <c r="AS155" s="221"/>
      <c r="AT155" s="221"/>
      <c r="AU155" s="221"/>
      <c r="AV155" s="221"/>
      <c r="AW155" s="221"/>
      <c r="AX155" s="221"/>
      <c r="AY155" s="76"/>
      <c r="AZ155" s="77"/>
      <c r="BA155" s="77"/>
      <c r="BB155" s="78"/>
      <c r="BC155" s="76"/>
      <c r="BD155" s="221"/>
      <c r="BE155" s="221"/>
      <c r="BF155" s="221"/>
      <c r="BG155" s="221"/>
      <c r="BH155" s="221"/>
      <c r="BI155" s="221"/>
      <c r="BJ155" s="221"/>
      <c r="BK155" s="221"/>
      <c r="BL155" s="221"/>
      <c r="BM155" s="221"/>
      <c r="BN155" s="221"/>
      <c r="BO155" s="221"/>
      <c r="BP155" s="221"/>
      <c r="BQ155" s="221"/>
      <c r="BR155" s="221"/>
      <c r="BS155" s="221"/>
      <c r="BT155" s="221"/>
      <c r="BU155" s="221"/>
      <c r="BV155" s="221"/>
      <c r="BW155" s="221"/>
      <c r="BX155" s="221"/>
      <c r="BY155" s="221"/>
    </row>
    <row r="156" spans="2:77">
      <c r="B156" s="74"/>
      <c r="C156" s="72"/>
      <c r="D156" s="72"/>
      <c r="E156" s="75"/>
      <c r="F156" s="75"/>
      <c r="G156" s="75"/>
      <c r="H156" s="75"/>
      <c r="I156" s="75"/>
      <c r="J156" s="75"/>
      <c r="K156" s="75"/>
      <c r="L156" s="75"/>
      <c r="M156" s="75"/>
      <c r="N156" s="75"/>
      <c r="O156" s="75"/>
      <c r="P156" s="75"/>
      <c r="Q156" s="75"/>
      <c r="R156" s="75"/>
      <c r="S156" s="75"/>
      <c r="T156" s="75"/>
      <c r="U156" s="75"/>
      <c r="V156" s="75"/>
      <c r="W156" s="75"/>
      <c r="X156" s="75"/>
      <c r="Y156" s="75"/>
      <c r="Z156" s="75"/>
      <c r="AA156" s="72"/>
      <c r="AB156" s="76"/>
      <c r="AC156" s="221"/>
      <c r="AD156" s="221"/>
      <c r="AE156" s="221"/>
      <c r="AF156" s="221"/>
      <c r="AG156" s="221"/>
      <c r="AH156" s="221"/>
      <c r="AI156" s="221"/>
      <c r="AJ156" s="221"/>
      <c r="AK156" s="221"/>
      <c r="AL156" s="221"/>
      <c r="AM156" s="221"/>
      <c r="AN156" s="221"/>
      <c r="AO156" s="221"/>
      <c r="AP156" s="221"/>
      <c r="AQ156" s="221"/>
      <c r="AR156" s="221"/>
      <c r="AS156" s="221"/>
      <c r="AT156" s="221"/>
      <c r="AU156" s="221"/>
      <c r="AV156" s="221"/>
      <c r="AW156" s="221"/>
      <c r="AX156" s="221"/>
      <c r="AY156" s="76"/>
      <c r="AZ156" s="77"/>
      <c r="BA156" s="77"/>
      <c r="BB156" s="78"/>
      <c r="BC156" s="76"/>
      <c r="BD156" s="221"/>
      <c r="BE156" s="221"/>
      <c r="BF156" s="221"/>
      <c r="BG156" s="221"/>
      <c r="BH156" s="221"/>
      <c r="BI156" s="221"/>
      <c r="BJ156" s="221"/>
      <c r="BK156" s="221"/>
      <c r="BL156" s="221"/>
      <c r="BM156" s="221"/>
      <c r="BN156" s="221"/>
      <c r="BO156" s="221"/>
      <c r="BP156" s="221"/>
      <c r="BQ156" s="221"/>
      <c r="BR156" s="221"/>
      <c r="BS156" s="221"/>
      <c r="BT156" s="221"/>
      <c r="BU156" s="221"/>
      <c r="BV156" s="221"/>
      <c r="BW156" s="221"/>
      <c r="BX156" s="221"/>
      <c r="BY156" s="221"/>
    </row>
    <row r="157" spans="2:77">
      <c r="B157" s="74" t="str">
        <f>BA157</f>
        <v>Total revenue - Hamilton</v>
      </c>
      <c r="C157" s="72" t="s">
        <v>72</v>
      </c>
      <c r="D157" s="224" t="s">
        <v>1342</v>
      </c>
      <c r="E157" s="223">
        <f t="shared" ref="E157:Z157" si="67">AC157</f>
        <v>30.6</v>
      </c>
      <c r="F157" s="223">
        <f t="shared" si="67"/>
        <v>30.044068366666671</v>
      </c>
      <c r="G157" s="223">
        <f t="shared" si="67"/>
        <v>31.5</v>
      </c>
      <c r="H157" s="223">
        <f t="shared" si="67"/>
        <v>30.3</v>
      </c>
      <c r="I157" s="223">
        <f t="shared" si="67"/>
        <v>34.048711040689113</v>
      </c>
      <c r="J157" s="223">
        <f t="shared" si="67"/>
        <v>24.76795562597755</v>
      </c>
      <c r="K157" s="223">
        <f t="shared" si="67"/>
        <v>36.73704865003598</v>
      </c>
      <c r="L157" s="223">
        <f t="shared" si="67"/>
        <v>36.700000000000003</v>
      </c>
      <c r="M157" s="223">
        <f t="shared" si="67"/>
        <v>24.3</v>
      </c>
      <c r="N157" s="223">
        <f t="shared" si="67"/>
        <v>32</v>
      </c>
      <c r="O157" s="223">
        <f t="shared" si="67"/>
        <v>39.5</v>
      </c>
      <c r="P157" s="223">
        <f t="shared" si="67"/>
        <v>35.4</v>
      </c>
      <c r="Q157" s="223">
        <f t="shared" si="67"/>
        <v>38.329139615976821</v>
      </c>
      <c r="R157" s="223">
        <f t="shared" si="67"/>
        <v>36.435416878479138</v>
      </c>
      <c r="S157" s="223">
        <f t="shared" si="67"/>
        <v>39.863276180123002</v>
      </c>
      <c r="T157" s="223">
        <f t="shared" si="67"/>
        <v>37.486294314712133</v>
      </c>
      <c r="U157" s="223">
        <f t="shared" si="67"/>
        <v>41.378350477112498</v>
      </c>
      <c r="V157" s="223">
        <f t="shared" si="67"/>
        <v>38.619461032489603</v>
      </c>
      <c r="W157" s="223">
        <f t="shared" si="67"/>
        <v>42.54283576368497</v>
      </c>
      <c r="X157" s="223">
        <f t="shared" si="67"/>
        <v>39.701769832325432</v>
      </c>
      <c r="Y157" s="223">
        <f t="shared" si="67"/>
        <v>43.728641168377003</v>
      </c>
      <c r="Z157" s="223">
        <f t="shared" si="67"/>
        <v>40.8728393509369</v>
      </c>
      <c r="AA157" s="72"/>
      <c r="AB157" s="76"/>
      <c r="AC157" s="222">
        <v>30.6</v>
      </c>
      <c r="AD157" s="222">
        <v>30.044068366666671</v>
      </c>
      <c r="AE157" s="222">
        <v>31.5</v>
      </c>
      <c r="AF157" s="222">
        <v>30.3</v>
      </c>
      <c r="AG157" s="222">
        <v>34.048711040689113</v>
      </c>
      <c r="AH157" s="222">
        <v>24.76795562597755</v>
      </c>
      <c r="AI157" s="222">
        <v>36.73704865003598</v>
      </c>
      <c r="AJ157" s="222">
        <v>36.700000000000003</v>
      </c>
      <c r="AK157" s="222">
        <v>24.3</v>
      </c>
      <c r="AL157" s="222">
        <v>32</v>
      </c>
      <c r="AM157" s="222">
        <v>39.5</v>
      </c>
      <c r="AN157" s="222">
        <v>35.4</v>
      </c>
      <c r="AO157" s="222">
        <v>38.329139615976821</v>
      </c>
      <c r="AP157" s="222">
        <v>36.435416878479138</v>
      </c>
      <c r="AQ157" s="222">
        <v>39.863276180123002</v>
      </c>
      <c r="AR157" s="222">
        <v>37.486294314712133</v>
      </c>
      <c r="AS157" s="222">
        <v>41.378350477112498</v>
      </c>
      <c r="AT157" s="222">
        <v>38.619461032489603</v>
      </c>
      <c r="AU157" s="222">
        <v>42.54283576368497</v>
      </c>
      <c r="AV157" s="222">
        <v>39.701769832325432</v>
      </c>
      <c r="AW157" s="222">
        <v>43.728641168377003</v>
      </c>
      <c r="AX157" s="222">
        <v>40.8728393509369</v>
      </c>
      <c r="AY157" s="76"/>
      <c r="AZ157" s="77" t="s">
        <v>1259</v>
      </c>
      <c r="BA157" s="77" t="s">
        <v>1345</v>
      </c>
      <c r="BB157" s="78" t="s">
        <v>1261</v>
      </c>
      <c r="BC157" s="76"/>
      <c r="BD157" s="79">
        <f>_xll.VAData($AZ157,BD$2,$BA157,$BB157)</f>
        <v>30.617625</v>
      </c>
      <c r="BE157" s="79">
        <f>_xll.VAData($AZ157,BE$2,$BA157,$BB157)</f>
        <v>30.057205100000001</v>
      </c>
      <c r="BF157" s="79">
        <f>_xll.VAData($AZ157,BF$2,$BA157,$BB157)</f>
        <v>31.4917025612</v>
      </c>
      <c r="BG157" s="79">
        <f>_xll.VAData($AZ157,BG$2,$BA157,$BB157)</f>
        <v>30.280357488</v>
      </c>
      <c r="BH157" s="79">
        <f>_xll.VAData($AZ157,BH$2,$BA157,$BB157)</f>
        <v>34.046133122067353</v>
      </c>
      <c r="BI157" s="79">
        <f>_xll.VAData($AZ157,BI$2,$BA157,$BB157)</f>
        <v>24.803866877932649</v>
      </c>
      <c r="BJ157" s="79">
        <f>_xll.VAData($AZ157,BJ$2,$BA157,$BB157)</f>
        <v>36.666145950107953</v>
      </c>
      <c r="BK157" s="79">
        <f>_xll.VAData($AZ157,BK$2,$BA157,$BB157)</f>
        <v>36.770350606787751</v>
      </c>
      <c r="BL157" s="79">
        <f>_xll.VAData($AZ157,BL$2,$BA157,$BB157)</f>
        <v>24.3</v>
      </c>
      <c r="BM157" s="79">
        <f>_xll.VAData($AZ157,BM$2,$BA157,$BB157)</f>
        <v>32</v>
      </c>
      <c r="BN157" s="79">
        <f>_xll.VAData($AZ157,BN$2,$BA157,$BB157)</f>
        <v>39.5</v>
      </c>
      <c r="BO157" s="79">
        <f>_xll.VAData($AZ157,BO$2,$BA157,$BB157)</f>
        <v>35.4</v>
      </c>
      <c r="BP157" s="79">
        <f>_xll.VAData($AZ157,BP$2,$BA157,$BB157)</f>
        <v>37.1</v>
      </c>
      <c r="BQ157" s="79">
        <f>_xll.VAData($AZ157,BQ$2,$BA157,$BB157)</f>
        <v>36.299999999999997</v>
      </c>
      <c r="BR157" s="79">
        <f>_xll.VAData($AZ157,BR$2,$BA157,$BB157)</f>
        <v>38.299999999999997</v>
      </c>
      <c r="BS157" s="79">
        <f>_xll.VAData($AZ157,BS$2,$BA157,$BB157)</f>
        <v>35.9</v>
      </c>
      <c r="BT157" s="79">
        <f>_xll.VAData($AZ157,BT$2,$BA157,$BB157)</f>
        <v>37.4</v>
      </c>
      <c r="BU157" s="79">
        <f>_xll.VAData($AZ157,BU$2,$BA157,$BB157)</f>
        <v>36.5</v>
      </c>
      <c r="BV157" s="79">
        <f>_xll.VAData($AZ157,BV$2,$BA157,$BB157)</f>
        <v>38.335000000000001</v>
      </c>
      <c r="BW157" s="79">
        <f>_xll.VAData($AZ157,BW$2,$BA157,$BB157)</f>
        <v>37.411000000000001</v>
      </c>
      <c r="BX157" s="79">
        <f>_xll.VAData($AZ157,BX$2,$BA157,$BB157)</f>
        <v>39.293374999999997</v>
      </c>
      <c r="BY157" s="79">
        <f>_xll.VAData($AZ157,BY$2,$BA157,$BB157)</f>
        <v>38.346274999999999</v>
      </c>
    </row>
    <row r="158" spans="2:77">
      <c r="B158" s="74"/>
      <c r="C158" s="72" t="s">
        <v>72</v>
      </c>
      <c r="D158" s="225" t="s">
        <v>1343</v>
      </c>
      <c r="E158" s="226" t="e">
        <f>HY!#REF!</f>
        <v>#REF!</v>
      </c>
      <c r="F158" s="226" t="e">
        <f>HY!#REF!</f>
        <v>#REF!</v>
      </c>
      <c r="G158" s="226" t="e">
        <f>HY!#REF!</f>
        <v>#REF!</v>
      </c>
      <c r="H158" s="226" t="e">
        <f>HY!#REF!</f>
        <v>#REF!</v>
      </c>
      <c r="I158" s="226" t="e">
        <f>HY!#REF!</f>
        <v>#REF!</v>
      </c>
      <c r="J158" s="226" t="e">
        <f>HY!#REF!</f>
        <v>#REF!</v>
      </c>
      <c r="K158" s="226" t="e">
        <f>HY!#REF!</f>
        <v>#REF!</v>
      </c>
      <c r="L158" s="226" t="e">
        <f>HY!#REF!</f>
        <v>#REF!</v>
      </c>
      <c r="M158" s="226" t="e">
        <f>HY!#REF!</f>
        <v>#REF!</v>
      </c>
      <c r="N158" s="226" t="e">
        <f>HY!#REF!</f>
        <v>#REF!</v>
      </c>
      <c r="O158" s="226" t="e">
        <f>HY!#REF!</f>
        <v>#REF!</v>
      </c>
      <c r="P158" s="226" t="e">
        <f>HY!#REF!</f>
        <v>#REF!</v>
      </c>
      <c r="Q158" s="226" t="e">
        <f>HY!#REF!</f>
        <v>#REF!</v>
      </c>
      <c r="R158" s="226" t="e">
        <f>HY!#REF!</f>
        <v>#REF!</v>
      </c>
      <c r="S158" s="226" t="e">
        <f>HY!#REF!</f>
        <v>#REF!</v>
      </c>
      <c r="T158" s="226" t="e">
        <f>HY!#REF!</f>
        <v>#REF!</v>
      </c>
      <c r="U158" s="226" t="e">
        <f>HY!#REF!</f>
        <v>#REF!</v>
      </c>
      <c r="V158" s="226" t="e">
        <f>HY!#REF!</f>
        <v>#REF!</v>
      </c>
      <c r="W158" s="226" t="e">
        <f>HY!#REF!</f>
        <v>#REF!</v>
      </c>
      <c r="X158" s="226" t="e">
        <f>HY!#REF!</f>
        <v>#REF!</v>
      </c>
      <c r="Y158" s="226" t="e">
        <f>HY!#REF!</f>
        <v>#REF!</v>
      </c>
      <c r="Z158" s="226" t="e">
        <f>HY!#REF!</f>
        <v>#REF!</v>
      </c>
      <c r="AA158" s="72"/>
      <c r="AB158" s="76"/>
      <c r="AC158" s="221"/>
      <c r="AD158" s="221"/>
      <c r="AE158" s="221"/>
      <c r="AF158" s="221"/>
      <c r="AG158" s="221"/>
      <c r="AH158" s="221"/>
      <c r="AI158" s="221"/>
      <c r="AJ158" s="221"/>
      <c r="AK158" s="221"/>
      <c r="AL158" s="221"/>
      <c r="AM158" s="221"/>
      <c r="AN158" s="221"/>
      <c r="AO158" s="221"/>
      <c r="AP158" s="221"/>
      <c r="AQ158" s="221"/>
      <c r="AR158" s="221"/>
      <c r="AS158" s="221"/>
      <c r="AT158" s="221"/>
      <c r="AU158" s="221"/>
      <c r="AV158" s="221"/>
      <c r="AW158" s="221"/>
      <c r="AX158" s="221"/>
      <c r="AY158" s="76"/>
      <c r="AZ158" s="77"/>
      <c r="BA158" s="77"/>
      <c r="BB158" s="78"/>
      <c r="BC158" s="76"/>
      <c r="BD158" s="221"/>
      <c r="BE158" s="221"/>
      <c r="BF158" s="221"/>
      <c r="BG158" s="221"/>
      <c r="BH158" s="221"/>
      <c r="BI158" s="221"/>
      <c r="BJ158" s="221"/>
      <c r="BK158" s="221"/>
      <c r="BL158" s="221"/>
      <c r="BM158" s="221"/>
      <c r="BN158" s="221"/>
      <c r="BO158" s="221"/>
      <c r="BP158" s="221"/>
      <c r="BQ158" s="221"/>
      <c r="BR158" s="221"/>
      <c r="BS158" s="221"/>
      <c r="BT158" s="221"/>
      <c r="BU158" s="221"/>
      <c r="BV158" s="221"/>
      <c r="BW158" s="221"/>
      <c r="BX158" s="221"/>
      <c r="BY158" s="221"/>
    </row>
    <row r="159" spans="2:77">
      <c r="B159" s="74"/>
      <c r="C159" s="81" t="s">
        <v>88</v>
      </c>
      <c r="D159" s="72" t="s">
        <v>1344</v>
      </c>
      <c r="E159" s="227" t="str">
        <f t="shared" ref="E159:Z159" si="68">IFERROR(ROUND(E157/E158-1,3),"")</f>
        <v/>
      </c>
      <c r="F159" s="227" t="str">
        <f t="shared" si="68"/>
        <v/>
      </c>
      <c r="G159" s="227" t="str">
        <f t="shared" si="68"/>
        <v/>
      </c>
      <c r="H159" s="227" t="str">
        <f t="shared" si="68"/>
        <v/>
      </c>
      <c r="I159" s="227" t="str">
        <f t="shared" si="68"/>
        <v/>
      </c>
      <c r="J159" s="227" t="str">
        <f t="shared" si="68"/>
        <v/>
      </c>
      <c r="K159" s="227" t="str">
        <f t="shared" si="68"/>
        <v/>
      </c>
      <c r="L159" s="227" t="str">
        <f t="shared" si="68"/>
        <v/>
      </c>
      <c r="M159" s="227" t="str">
        <f t="shared" si="68"/>
        <v/>
      </c>
      <c r="N159" s="227" t="str">
        <f t="shared" si="68"/>
        <v/>
      </c>
      <c r="O159" s="227" t="str">
        <f t="shared" si="68"/>
        <v/>
      </c>
      <c r="P159" s="227" t="str">
        <f t="shared" si="68"/>
        <v/>
      </c>
      <c r="Q159" s="227" t="str">
        <f t="shared" si="68"/>
        <v/>
      </c>
      <c r="R159" s="227" t="str">
        <f t="shared" si="68"/>
        <v/>
      </c>
      <c r="S159" s="227" t="str">
        <f t="shared" si="68"/>
        <v/>
      </c>
      <c r="T159" s="227" t="str">
        <f t="shared" si="68"/>
        <v/>
      </c>
      <c r="U159" s="227" t="str">
        <f t="shared" si="68"/>
        <v/>
      </c>
      <c r="V159" s="227" t="str">
        <f t="shared" si="68"/>
        <v/>
      </c>
      <c r="W159" s="227" t="str">
        <f t="shared" si="68"/>
        <v/>
      </c>
      <c r="X159" s="227" t="str">
        <f t="shared" si="68"/>
        <v/>
      </c>
      <c r="Y159" s="227" t="str">
        <f t="shared" si="68"/>
        <v/>
      </c>
      <c r="Z159" s="227" t="str">
        <f t="shared" si="68"/>
        <v/>
      </c>
      <c r="AA159" s="72"/>
      <c r="AB159" s="76"/>
      <c r="AC159" s="221"/>
      <c r="AD159" s="221"/>
      <c r="AE159" s="221"/>
      <c r="AF159" s="221"/>
      <c r="AG159" s="221"/>
      <c r="AH159" s="221"/>
      <c r="AI159" s="221"/>
      <c r="AJ159" s="221"/>
      <c r="AK159" s="221"/>
      <c r="AL159" s="221"/>
      <c r="AM159" s="221"/>
      <c r="AN159" s="221"/>
      <c r="AO159" s="221"/>
      <c r="AP159" s="221"/>
      <c r="AQ159" s="221"/>
      <c r="AR159" s="221"/>
      <c r="AS159" s="221"/>
      <c r="AT159" s="221"/>
      <c r="AU159" s="221"/>
      <c r="AV159" s="221"/>
      <c r="AW159" s="221"/>
      <c r="AX159" s="221"/>
      <c r="AY159" s="76"/>
      <c r="AZ159" s="77"/>
      <c r="BA159" s="77"/>
      <c r="BB159" s="78"/>
      <c r="BC159" s="76"/>
      <c r="BD159" s="221"/>
      <c r="BE159" s="221"/>
      <c r="BF159" s="221"/>
      <c r="BG159" s="221"/>
      <c r="BH159" s="221"/>
      <c r="BI159" s="221"/>
      <c r="BJ159" s="221"/>
      <c r="BK159" s="221"/>
      <c r="BL159" s="221"/>
      <c r="BM159" s="221"/>
      <c r="BN159" s="221"/>
      <c r="BO159" s="221"/>
      <c r="BP159" s="221"/>
      <c r="BQ159" s="221"/>
      <c r="BR159" s="221"/>
      <c r="BS159" s="221"/>
      <c r="BT159" s="221"/>
      <c r="BU159" s="221"/>
      <c r="BV159" s="221"/>
      <c r="BW159" s="221"/>
      <c r="BX159" s="221"/>
      <c r="BY159" s="221"/>
    </row>
    <row r="160" spans="2:77">
      <c r="B160" s="74"/>
      <c r="C160" s="72"/>
      <c r="D160" s="72"/>
      <c r="E160" s="75"/>
      <c r="F160" s="75"/>
      <c r="G160" s="75"/>
      <c r="H160" s="75"/>
      <c r="I160" s="75"/>
      <c r="J160" s="75"/>
      <c r="K160" s="75"/>
      <c r="L160" s="75"/>
      <c r="M160" s="75"/>
      <c r="N160" s="75"/>
      <c r="O160" s="75"/>
      <c r="P160" s="75"/>
      <c r="Q160" s="75"/>
      <c r="R160" s="75"/>
      <c r="S160" s="75"/>
      <c r="T160" s="75"/>
      <c r="U160" s="75"/>
      <c r="V160" s="75"/>
      <c r="W160" s="75"/>
      <c r="X160" s="75"/>
      <c r="Y160" s="75"/>
      <c r="Z160" s="75"/>
      <c r="AA160" s="72"/>
      <c r="AB160" s="76"/>
      <c r="AC160" s="221"/>
      <c r="AD160" s="221"/>
      <c r="AE160" s="221"/>
      <c r="AF160" s="221"/>
      <c r="AG160" s="221"/>
      <c r="AH160" s="221"/>
      <c r="AI160" s="221"/>
      <c r="AJ160" s="221"/>
      <c r="AK160" s="221"/>
      <c r="AL160" s="221"/>
      <c r="AM160" s="221"/>
      <c r="AN160" s="221"/>
      <c r="AO160" s="221"/>
      <c r="AP160" s="221"/>
      <c r="AQ160" s="221"/>
      <c r="AR160" s="221"/>
      <c r="AS160" s="221"/>
      <c r="AT160" s="221"/>
      <c r="AU160" s="221"/>
      <c r="AV160" s="221"/>
      <c r="AW160" s="221"/>
      <c r="AX160" s="221"/>
      <c r="AY160" s="76"/>
      <c r="AZ160" s="77"/>
      <c r="BA160" s="77"/>
      <c r="BB160" s="78"/>
      <c r="BC160" s="76"/>
      <c r="BD160" s="221"/>
      <c r="BE160" s="221"/>
      <c r="BF160" s="221"/>
      <c r="BG160" s="221"/>
      <c r="BH160" s="221"/>
      <c r="BI160" s="221"/>
      <c r="BJ160" s="221"/>
      <c r="BK160" s="221"/>
      <c r="BL160" s="221"/>
      <c r="BM160" s="221"/>
      <c r="BN160" s="221"/>
      <c r="BO160" s="221"/>
      <c r="BP160" s="221"/>
      <c r="BQ160" s="221"/>
      <c r="BR160" s="221"/>
      <c r="BS160" s="221"/>
      <c r="BT160" s="221"/>
      <c r="BU160" s="221"/>
      <c r="BV160" s="221"/>
      <c r="BW160" s="221"/>
      <c r="BX160" s="221"/>
      <c r="BY160" s="221"/>
    </row>
    <row r="161" spans="1:77">
      <c r="B161" s="74" t="str">
        <f>BA161</f>
        <v>EBITDA - Hamilton</v>
      </c>
      <c r="C161" s="72" t="s">
        <v>72</v>
      </c>
      <c r="D161" s="224" t="s">
        <v>1342</v>
      </c>
      <c r="E161" s="223">
        <f t="shared" ref="E161:Z161" si="69">AC161</f>
        <v>13.670534330600001</v>
      </c>
      <c r="F161" s="223">
        <f t="shared" si="69"/>
        <v>13.25133443146667</v>
      </c>
      <c r="G161" s="223">
        <f t="shared" si="69"/>
        <v>14</v>
      </c>
      <c r="H161" s="223">
        <f t="shared" si="69"/>
        <v>12.9</v>
      </c>
      <c r="I161" s="223">
        <f t="shared" si="69"/>
        <v>14.9</v>
      </c>
      <c r="J161" s="223">
        <f t="shared" si="69"/>
        <v>9.5</v>
      </c>
      <c r="K161" s="223">
        <f t="shared" si="69"/>
        <v>18.100000000000001</v>
      </c>
      <c r="L161" s="223">
        <f t="shared" si="69"/>
        <v>17.100000000000001</v>
      </c>
      <c r="M161" s="223">
        <f t="shared" si="69"/>
        <v>9.6</v>
      </c>
      <c r="N161" s="223">
        <f t="shared" si="69"/>
        <v>14.9</v>
      </c>
      <c r="O161" s="223">
        <f t="shared" si="69"/>
        <v>19.3</v>
      </c>
      <c r="P161" s="223">
        <f t="shared" si="69"/>
        <v>15.9</v>
      </c>
      <c r="Q161" s="223">
        <f t="shared" si="69"/>
        <v>17.797156001232558</v>
      </c>
      <c r="R161" s="223">
        <f t="shared" si="69"/>
        <v>16.197881466438542</v>
      </c>
      <c r="S161" s="223">
        <f t="shared" si="69"/>
        <v>18.58423987914443</v>
      </c>
      <c r="T161" s="223">
        <f t="shared" si="69"/>
        <v>16.6148514012344</v>
      </c>
      <c r="U161" s="223">
        <f t="shared" si="69"/>
        <v>19.342283539019402</v>
      </c>
      <c r="V161" s="223">
        <f t="shared" si="69"/>
        <v>17.267196922475069</v>
      </c>
      <c r="W161" s="223">
        <f t="shared" si="69"/>
        <v>19.880325136476198</v>
      </c>
      <c r="X161" s="223">
        <f t="shared" si="69"/>
        <v>17.745193713015329</v>
      </c>
      <c r="Y161" s="223">
        <f t="shared" si="69"/>
        <v>20.425941252758228</v>
      </c>
      <c r="Z161" s="223">
        <f t="shared" si="69"/>
        <v>18.273548658583099</v>
      </c>
      <c r="AA161" s="72"/>
      <c r="AB161" s="76"/>
      <c r="AC161" s="222">
        <v>13.670534330600001</v>
      </c>
      <c r="AD161" s="222">
        <v>13.25133443146667</v>
      </c>
      <c r="AE161" s="222">
        <v>14</v>
      </c>
      <c r="AF161" s="222">
        <v>12.9</v>
      </c>
      <c r="AG161" s="222">
        <v>14.9</v>
      </c>
      <c r="AH161" s="222">
        <v>9.5</v>
      </c>
      <c r="AI161" s="222">
        <v>18.100000000000001</v>
      </c>
      <c r="AJ161" s="222">
        <v>17.100000000000001</v>
      </c>
      <c r="AK161" s="222">
        <v>9.6</v>
      </c>
      <c r="AL161" s="222">
        <v>14.9</v>
      </c>
      <c r="AM161" s="222">
        <v>19.3</v>
      </c>
      <c r="AN161" s="222">
        <v>15.9</v>
      </c>
      <c r="AO161" s="222">
        <v>17.797156001232558</v>
      </c>
      <c r="AP161" s="222">
        <v>16.197881466438542</v>
      </c>
      <c r="AQ161" s="222">
        <v>18.58423987914443</v>
      </c>
      <c r="AR161" s="222">
        <v>16.6148514012344</v>
      </c>
      <c r="AS161" s="222">
        <v>19.342283539019402</v>
      </c>
      <c r="AT161" s="222">
        <v>17.267196922475069</v>
      </c>
      <c r="AU161" s="222">
        <v>19.880325136476198</v>
      </c>
      <c r="AV161" s="222">
        <v>17.745193713015329</v>
      </c>
      <c r="AW161" s="222">
        <v>20.425941252758228</v>
      </c>
      <c r="AX161" s="222">
        <v>18.273548658583099</v>
      </c>
      <c r="AY161" s="76"/>
      <c r="AZ161" s="77" t="s">
        <v>1259</v>
      </c>
      <c r="BA161" s="77" t="s">
        <v>1349</v>
      </c>
      <c r="BB161" s="78" t="s">
        <v>1261</v>
      </c>
      <c r="BC161" s="76"/>
      <c r="BD161" s="79">
        <f>_xll.VAData($AZ161,BD$2,$BA161,$BB161)</f>
        <v>13.695052991800001</v>
      </c>
      <c r="BE161" s="79">
        <f>_xll.VAData($AZ161,BE$2,$BA161,$BB161)</f>
        <v>13.3031782944</v>
      </c>
      <c r="BF161" s="79">
        <f>_xll.VAData($AZ161,BF$2,$BA161,$BB161)</f>
        <v>14.119133202614</v>
      </c>
      <c r="BG161" s="79">
        <f>_xll.VAData($AZ161,BG$2,$BA161,$BB161)</f>
        <v>12.982080534572001</v>
      </c>
      <c r="BH161" s="79">
        <f>_xll.VAData($AZ161,BH$2,$BA161,$BB161)</f>
        <v>14.91713312206735</v>
      </c>
      <c r="BI161" s="79">
        <f>_xll.VAData($AZ161,BI$2,$BA161,$BB161)</f>
        <v>9.4828668779326701</v>
      </c>
      <c r="BJ161" s="79">
        <f>_xll.VAData($AZ161,BJ$2,$BA161,$BB161)</f>
        <v>18.100000000000001</v>
      </c>
      <c r="BK161" s="79">
        <f>_xll.VAData($AZ161,BK$2,$BA161,$BB161)</f>
        <v>17.079400195500899</v>
      </c>
      <c r="BL161" s="79">
        <f>_xll.VAData($AZ161,BL$2,$BA161,$BB161)</f>
        <v>9.6</v>
      </c>
      <c r="BM161" s="79">
        <f>_xll.VAData($AZ161,BM$2,$BA161,$BB161)</f>
        <v>14.9</v>
      </c>
      <c r="BN161" s="79">
        <f>_xll.VAData($AZ161,BN$2,$BA161,$BB161)</f>
        <v>19.3</v>
      </c>
      <c r="BO161" s="79">
        <f>_xll.VAData($AZ161,BO$2,$BA161,$BB161)</f>
        <v>15.9</v>
      </c>
      <c r="BP161" s="79">
        <f>_xll.VAData($AZ161,BP$2,$BA161,$BB161)</f>
        <v>16.399999999999999</v>
      </c>
      <c r="BQ161" s="79">
        <f>_xll.VAData($AZ161,BQ$2,$BA161,$BB161)</f>
        <v>16.100000000000001</v>
      </c>
      <c r="BR161" s="79">
        <f>_xll.VAData($AZ161,BR$2,$BA161,$BB161)</f>
        <v>17.501895399999999</v>
      </c>
      <c r="BS161" s="79">
        <f>_xll.VAData($AZ161,BS$2,$BA161,$BB161)</f>
        <v>16.212800000000001</v>
      </c>
      <c r="BT161" s="79">
        <f>_xll.VAData($AZ161,BT$2,$BA161,$BB161)</f>
        <v>15.521100000000001</v>
      </c>
      <c r="BU161" s="79">
        <f>_xll.VAData($AZ161,BU$2,$BA161,$BB161)</f>
        <v>15.921099999999999</v>
      </c>
      <c r="BV161" s="79">
        <f>_xll.VAData($AZ161,BV$2,$BA161,$BB161)</f>
        <v>15.9091275</v>
      </c>
      <c r="BW161" s="79">
        <f>_xll.VAData($AZ161,BW$2,$BA161,$BB161)</f>
        <v>16.214732999999999</v>
      </c>
      <c r="BX161" s="79">
        <f>_xll.VAData($AZ161,BX$2,$BA161,$BB161)</f>
        <v>16.306855687500001</v>
      </c>
      <c r="BY161" s="79">
        <f>_xll.VAData($AZ161,BY$2,$BA161,$BB161)</f>
        <v>16.535641325</v>
      </c>
    </row>
    <row r="162" spans="1:77">
      <c r="B162" s="74"/>
      <c r="C162" s="72" t="s">
        <v>72</v>
      </c>
      <c r="D162" s="225" t="s">
        <v>1343</v>
      </c>
      <c r="E162" s="226" t="e">
        <f>HY!#REF!</f>
        <v>#REF!</v>
      </c>
      <c r="F162" s="226" t="e">
        <f>HY!#REF!</f>
        <v>#REF!</v>
      </c>
      <c r="G162" s="226" t="e">
        <f>HY!#REF!</f>
        <v>#REF!</v>
      </c>
      <c r="H162" s="226" t="e">
        <f>HY!#REF!</f>
        <v>#REF!</v>
      </c>
      <c r="I162" s="226" t="e">
        <f>HY!#REF!</f>
        <v>#REF!</v>
      </c>
      <c r="J162" s="226" t="e">
        <f>HY!#REF!</f>
        <v>#REF!</v>
      </c>
      <c r="K162" s="226" t="e">
        <f>HY!#REF!</f>
        <v>#REF!</v>
      </c>
      <c r="L162" s="226" t="e">
        <f>HY!#REF!</f>
        <v>#REF!</v>
      </c>
      <c r="M162" s="226" t="e">
        <f>HY!#REF!</f>
        <v>#REF!</v>
      </c>
      <c r="N162" s="226" t="e">
        <f>HY!#REF!</f>
        <v>#REF!</v>
      </c>
      <c r="O162" s="226" t="e">
        <f>HY!#REF!</f>
        <v>#REF!</v>
      </c>
      <c r="P162" s="226" t="e">
        <f>HY!#REF!</f>
        <v>#REF!</v>
      </c>
      <c r="Q162" s="226" t="e">
        <f>HY!#REF!</f>
        <v>#REF!</v>
      </c>
      <c r="R162" s="226" t="e">
        <f>HY!#REF!</f>
        <v>#REF!</v>
      </c>
      <c r="S162" s="226" t="e">
        <f>HY!#REF!</f>
        <v>#REF!</v>
      </c>
      <c r="T162" s="226" t="e">
        <f>HY!#REF!</f>
        <v>#REF!</v>
      </c>
      <c r="U162" s="226" t="e">
        <f>HY!#REF!</f>
        <v>#REF!</v>
      </c>
      <c r="V162" s="226" t="e">
        <f>HY!#REF!</f>
        <v>#REF!</v>
      </c>
      <c r="W162" s="226" t="e">
        <f>HY!#REF!</f>
        <v>#REF!</v>
      </c>
      <c r="X162" s="226" t="e">
        <f>HY!#REF!</f>
        <v>#REF!</v>
      </c>
      <c r="Y162" s="226" t="e">
        <f>HY!#REF!</f>
        <v>#REF!</v>
      </c>
      <c r="Z162" s="226" t="e">
        <f>HY!#REF!</f>
        <v>#REF!</v>
      </c>
      <c r="AA162" s="72"/>
      <c r="AB162" s="76"/>
      <c r="AC162" s="221"/>
      <c r="AD162" s="221"/>
      <c r="AE162" s="221"/>
      <c r="AF162" s="221"/>
      <c r="AG162" s="221"/>
      <c r="AH162" s="221"/>
      <c r="AI162" s="221"/>
      <c r="AJ162" s="221"/>
      <c r="AK162" s="221"/>
      <c r="AL162" s="221"/>
      <c r="AM162" s="221"/>
      <c r="AN162" s="221"/>
      <c r="AO162" s="221"/>
      <c r="AP162" s="221"/>
      <c r="AQ162" s="221"/>
      <c r="AR162" s="221"/>
      <c r="AS162" s="221"/>
      <c r="AT162" s="221"/>
      <c r="AU162" s="221"/>
      <c r="AV162" s="221"/>
      <c r="AW162" s="221"/>
      <c r="AX162" s="221"/>
      <c r="AY162" s="76"/>
      <c r="AZ162" s="77"/>
      <c r="BA162" s="77"/>
      <c r="BB162" s="78"/>
      <c r="BC162" s="76"/>
      <c r="BD162" s="221"/>
      <c r="BE162" s="221"/>
      <c r="BF162" s="221"/>
      <c r="BG162" s="221"/>
      <c r="BH162" s="221"/>
      <c r="BI162" s="221"/>
      <c r="BJ162" s="221"/>
      <c r="BK162" s="221"/>
      <c r="BL162" s="221"/>
      <c r="BM162" s="221"/>
      <c r="BN162" s="221"/>
      <c r="BO162" s="221"/>
      <c r="BP162" s="221"/>
      <c r="BQ162" s="221"/>
      <c r="BR162" s="221"/>
      <c r="BS162" s="221"/>
      <c r="BT162" s="221"/>
      <c r="BU162" s="221"/>
      <c r="BV162" s="221"/>
      <c r="BW162" s="221"/>
      <c r="BX162" s="221"/>
      <c r="BY162" s="221"/>
    </row>
    <row r="163" spans="1:77">
      <c r="B163" s="74"/>
      <c r="C163" s="81" t="s">
        <v>88</v>
      </c>
      <c r="D163" s="72" t="s">
        <v>1344</v>
      </c>
      <c r="E163" s="227" t="str">
        <f t="shared" ref="E163:Z163" si="70">IFERROR(ROUND(E161/E162-1,3),"")</f>
        <v/>
      </c>
      <c r="F163" s="227" t="str">
        <f t="shared" si="70"/>
        <v/>
      </c>
      <c r="G163" s="227" t="str">
        <f t="shared" si="70"/>
        <v/>
      </c>
      <c r="H163" s="227" t="str">
        <f t="shared" si="70"/>
        <v/>
      </c>
      <c r="I163" s="227" t="str">
        <f t="shared" si="70"/>
        <v/>
      </c>
      <c r="J163" s="227" t="str">
        <f t="shared" si="70"/>
        <v/>
      </c>
      <c r="K163" s="227" t="str">
        <f t="shared" si="70"/>
        <v/>
      </c>
      <c r="L163" s="227" t="str">
        <f t="shared" si="70"/>
        <v/>
      </c>
      <c r="M163" s="227" t="str">
        <f t="shared" si="70"/>
        <v/>
      </c>
      <c r="N163" s="227" t="str">
        <f t="shared" si="70"/>
        <v/>
      </c>
      <c r="O163" s="227" t="str">
        <f t="shared" si="70"/>
        <v/>
      </c>
      <c r="P163" s="227" t="str">
        <f t="shared" si="70"/>
        <v/>
      </c>
      <c r="Q163" s="227" t="str">
        <f t="shared" si="70"/>
        <v/>
      </c>
      <c r="R163" s="227" t="str">
        <f t="shared" si="70"/>
        <v/>
      </c>
      <c r="S163" s="227" t="str">
        <f t="shared" si="70"/>
        <v/>
      </c>
      <c r="T163" s="227" t="str">
        <f t="shared" si="70"/>
        <v/>
      </c>
      <c r="U163" s="227" t="str">
        <f t="shared" si="70"/>
        <v/>
      </c>
      <c r="V163" s="227" t="str">
        <f t="shared" si="70"/>
        <v/>
      </c>
      <c r="W163" s="227" t="str">
        <f t="shared" si="70"/>
        <v/>
      </c>
      <c r="X163" s="227" t="str">
        <f t="shared" si="70"/>
        <v/>
      </c>
      <c r="Y163" s="227" t="str">
        <f t="shared" si="70"/>
        <v/>
      </c>
      <c r="Z163" s="227" t="str">
        <f t="shared" si="70"/>
        <v/>
      </c>
      <c r="AA163" s="72"/>
      <c r="AB163" s="76"/>
      <c r="AC163" s="221"/>
      <c r="AD163" s="221"/>
      <c r="AE163" s="221"/>
      <c r="AF163" s="221"/>
      <c r="AG163" s="221"/>
      <c r="AH163" s="221"/>
      <c r="AI163" s="221"/>
      <c r="AJ163" s="221"/>
      <c r="AK163" s="221"/>
      <c r="AL163" s="221"/>
      <c r="AM163" s="221"/>
      <c r="AN163" s="221"/>
      <c r="AO163" s="221"/>
      <c r="AP163" s="221"/>
      <c r="AQ163" s="221"/>
      <c r="AR163" s="221"/>
      <c r="AS163" s="221"/>
      <c r="AT163" s="221"/>
      <c r="AU163" s="221"/>
      <c r="AV163" s="221"/>
      <c r="AW163" s="221"/>
      <c r="AX163" s="221"/>
      <c r="AY163" s="76"/>
      <c r="AZ163" s="77"/>
      <c r="BA163" s="77"/>
      <c r="BB163" s="78"/>
      <c r="BC163" s="76"/>
      <c r="BD163" s="221"/>
      <c r="BE163" s="221"/>
      <c r="BF163" s="221"/>
      <c r="BG163" s="221"/>
      <c r="BH163" s="221"/>
      <c r="BI163" s="221"/>
      <c r="BJ163" s="221"/>
      <c r="BK163" s="221"/>
      <c r="BL163" s="221"/>
      <c r="BM163" s="221"/>
      <c r="BN163" s="221"/>
      <c r="BO163" s="221"/>
      <c r="BP163" s="221"/>
      <c r="BQ163" s="221"/>
      <c r="BR163" s="221"/>
      <c r="BS163" s="221"/>
      <c r="BT163" s="221"/>
      <c r="BU163" s="221"/>
      <c r="BV163" s="221"/>
      <c r="BW163" s="221"/>
      <c r="BX163" s="221"/>
      <c r="BY163" s="221"/>
    </row>
    <row r="165" spans="1:77">
      <c r="A165" s="229"/>
      <c r="B165" s="229" t="s">
        <v>1370</v>
      </c>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c r="AA165" s="72"/>
      <c r="AB165" s="72"/>
      <c r="AC165" s="67"/>
      <c r="AD165" s="67"/>
      <c r="AE165" s="67"/>
      <c r="AF165" s="72"/>
      <c r="AG165" s="67"/>
      <c r="AH165" s="67"/>
      <c r="AI165" s="67"/>
      <c r="AJ165" s="72"/>
      <c r="AK165" s="67"/>
      <c r="AL165" s="67"/>
      <c r="AM165" s="67"/>
      <c r="AN165" s="67"/>
      <c r="AO165" s="67"/>
      <c r="AP165" s="67"/>
      <c r="AQ165" s="67"/>
      <c r="AR165" s="67"/>
      <c r="AS165" s="67"/>
      <c r="AT165" s="67"/>
      <c r="AU165" s="67"/>
      <c r="AV165" s="67"/>
      <c r="AW165" s="67"/>
      <c r="AX165" s="67"/>
      <c r="AY165" s="72"/>
      <c r="AZ165" s="67"/>
      <c r="BA165" s="67"/>
      <c r="BB165" s="67"/>
      <c r="BC165" s="72"/>
      <c r="BD165" s="67"/>
      <c r="BE165" s="67"/>
      <c r="BF165" s="67"/>
      <c r="BG165" s="72"/>
      <c r="BH165" s="67"/>
      <c r="BI165" s="67"/>
      <c r="BJ165" s="67"/>
      <c r="BK165" s="72"/>
      <c r="BL165" s="67"/>
      <c r="BM165" s="67"/>
      <c r="BN165" s="67"/>
      <c r="BO165" s="67"/>
      <c r="BP165" s="67"/>
      <c r="BQ165" s="67"/>
      <c r="BR165" s="67"/>
      <c r="BS165" s="67"/>
      <c r="BT165" s="67"/>
      <c r="BU165" s="67"/>
      <c r="BV165" s="67"/>
      <c r="BW165" s="67"/>
      <c r="BX165" s="67"/>
      <c r="BY165" s="67"/>
    </row>
    <row r="166" spans="1:77">
      <c r="B166" s="73"/>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67"/>
      <c r="AD166" s="67"/>
      <c r="AE166" s="67"/>
      <c r="AF166" s="72"/>
      <c r="AG166" s="67"/>
      <c r="AH166" s="67"/>
      <c r="AI166" s="67"/>
      <c r="AJ166" s="72"/>
      <c r="AK166" s="67"/>
      <c r="AL166" s="67"/>
      <c r="AM166" s="67"/>
      <c r="AN166" s="67"/>
      <c r="AO166" s="67"/>
      <c r="AP166" s="67"/>
      <c r="AQ166" s="67"/>
      <c r="AR166" s="67"/>
      <c r="AS166" s="67"/>
      <c r="AT166" s="67"/>
      <c r="AU166" s="67"/>
      <c r="AV166" s="67"/>
      <c r="AW166" s="67"/>
      <c r="AX166" s="67"/>
      <c r="AY166" s="72"/>
      <c r="AZ166" s="67"/>
      <c r="BA166" s="67"/>
      <c r="BB166" s="67"/>
      <c r="BC166" s="72"/>
      <c r="BD166" s="67"/>
      <c r="BE166" s="67"/>
      <c r="BF166" s="67"/>
      <c r="BG166" s="72"/>
      <c r="BH166" s="67"/>
      <c r="BI166" s="67"/>
      <c r="BJ166" s="67"/>
      <c r="BK166" s="72"/>
      <c r="BL166" s="67"/>
      <c r="BM166" s="67"/>
      <c r="BN166" s="67"/>
      <c r="BO166" s="67"/>
      <c r="BP166" s="67"/>
      <c r="BQ166" s="67"/>
      <c r="BR166" s="67"/>
      <c r="BS166" s="67"/>
      <c r="BT166" s="67"/>
      <c r="BU166" s="67"/>
      <c r="BV166" s="67"/>
      <c r="BW166" s="67"/>
      <c r="BX166" s="67"/>
      <c r="BY166" s="67"/>
    </row>
    <row r="167" spans="1:77">
      <c r="B167" s="237" t="s">
        <v>1353</v>
      </c>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67"/>
      <c r="AD167" s="67"/>
      <c r="AE167" s="67"/>
      <c r="AF167" s="72"/>
      <c r="AG167" s="67"/>
      <c r="AH167" s="67"/>
      <c r="AI167" s="67"/>
      <c r="AJ167" s="72"/>
      <c r="AK167" s="67"/>
      <c r="AL167" s="67"/>
      <c r="AM167" s="67"/>
      <c r="AN167" s="67"/>
      <c r="AO167" s="67"/>
      <c r="AP167" s="67"/>
      <c r="AQ167" s="67"/>
      <c r="AR167" s="67"/>
      <c r="AS167" s="67"/>
      <c r="AT167" s="67"/>
      <c r="AU167" s="67"/>
      <c r="AV167" s="67"/>
      <c r="AW167" s="67"/>
      <c r="AX167" s="67"/>
      <c r="AY167" s="72"/>
      <c r="AZ167" s="67"/>
      <c r="BA167" s="67"/>
      <c r="BB167" s="67"/>
      <c r="BC167" s="72"/>
      <c r="BD167" s="67"/>
      <c r="BE167" s="67"/>
      <c r="BF167" s="67"/>
      <c r="BG167" s="72"/>
      <c r="BH167" s="67"/>
      <c r="BI167" s="67"/>
      <c r="BJ167" s="67"/>
      <c r="BK167" s="72"/>
      <c r="BL167" s="67"/>
      <c r="BM167" s="67"/>
      <c r="BN167" s="67"/>
      <c r="BO167" s="67"/>
      <c r="BP167" s="67"/>
      <c r="BQ167" s="67"/>
      <c r="BR167" s="67"/>
      <c r="BS167" s="67"/>
      <c r="BT167" s="67"/>
      <c r="BU167" s="67"/>
      <c r="BV167" s="67"/>
      <c r="BW167" s="67"/>
      <c r="BX167" s="67"/>
      <c r="BY167" s="67"/>
    </row>
    <row r="168" spans="1:77">
      <c r="B168" s="73"/>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67"/>
      <c r="AD168" s="67"/>
      <c r="AE168" s="67"/>
      <c r="AF168" s="72"/>
      <c r="AG168" s="67"/>
      <c r="AH168" s="67"/>
      <c r="AI168" s="67"/>
      <c r="AJ168" s="72"/>
      <c r="AK168" s="67"/>
      <c r="AL168" s="67"/>
      <c r="AM168" s="67"/>
      <c r="AN168" s="67"/>
      <c r="AO168" s="67"/>
      <c r="AP168" s="67"/>
      <c r="AQ168" s="67"/>
      <c r="AR168" s="67"/>
      <c r="AS168" s="67"/>
      <c r="AT168" s="67"/>
      <c r="AU168" s="67"/>
      <c r="AV168" s="67"/>
      <c r="AW168" s="67"/>
      <c r="AX168" s="67"/>
      <c r="AY168" s="72"/>
      <c r="AZ168" s="67"/>
      <c r="BA168" s="67"/>
      <c r="BB168" s="67"/>
      <c r="BC168" s="72"/>
      <c r="BD168" s="67"/>
      <c r="BE168" s="67"/>
      <c r="BF168" s="67"/>
      <c r="BG168" s="72"/>
      <c r="BH168" s="67"/>
      <c r="BI168" s="67"/>
      <c r="BJ168" s="67"/>
      <c r="BK168" s="72"/>
      <c r="BL168" s="67"/>
      <c r="BM168" s="67"/>
      <c r="BN168" s="67"/>
      <c r="BO168" s="67"/>
      <c r="BP168" s="67"/>
      <c r="BQ168" s="67"/>
      <c r="BR168" s="67"/>
      <c r="BS168" s="67"/>
      <c r="BT168" s="67"/>
      <c r="BU168" s="67"/>
      <c r="BV168" s="67"/>
      <c r="BW168" s="67"/>
      <c r="BX168" s="67"/>
      <c r="BY168" s="67"/>
    </row>
    <row r="169" spans="1:77">
      <c r="B169" s="74" t="str">
        <f>BA169</f>
        <v>Total revenue - Slot - Queenstown</v>
      </c>
      <c r="C169" s="72" t="s">
        <v>72</v>
      </c>
      <c r="D169" s="224" t="s">
        <v>1342</v>
      </c>
      <c r="E169" s="223">
        <f t="shared" ref="E169:Z169" si="71">AC169</f>
        <v>3.3</v>
      </c>
      <c r="F169" s="223">
        <f t="shared" si="71"/>
        <v>3.3800979999999998</v>
      </c>
      <c r="G169" s="223">
        <f t="shared" si="71"/>
        <v>3.3</v>
      </c>
      <c r="H169" s="223">
        <f t="shared" si="71"/>
        <v>3.6871078000000002</v>
      </c>
      <c r="I169" s="223">
        <f t="shared" si="71"/>
        <v>3.6</v>
      </c>
      <c r="J169" s="223">
        <f t="shared" si="71"/>
        <v>2.1</v>
      </c>
      <c r="K169" s="223">
        <f t="shared" si="71"/>
        <v>4</v>
      </c>
      <c r="L169" s="223">
        <f t="shared" si="71"/>
        <v>4.5</v>
      </c>
      <c r="M169" s="223">
        <f t="shared" si="71"/>
        <v>3.4</v>
      </c>
      <c r="N169" s="223">
        <f t="shared" si="71"/>
        <v>3.8</v>
      </c>
      <c r="O169" s="223">
        <f t="shared" si="71"/>
        <v>4.2</v>
      </c>
      <c r="P169" s="223">
        <f t="shared" si="71"/>
        <v>3.8</v>
      </c>
      <c r="Q169" s="223">
        <f t="shared" si="71"/>
        <v>4.0841884793044096</v>
      </c>
      <c r="R169" s="223">
        <f t="shared" si="71"/>
        <v>3.8368059958337102</v>
      </c>
      <c r="S169" s="223">
        <f t="shared" si="71"/>
        <v>4.2052882812823684</v>
      </c>
      <c r="T169" s="223">
        <f t="shared" si="71"/>
        <v>3.9572727830698402</v>
      </c>
      <c r="U169" s="223">
        <f t="shared" si="71"/>
        <v>4.3741315243623733</v>
      </c>
      <c r="V169" s="223">
        <f t="shared" si="71"/>
        <v>4.0810965749424044</v>
      </c>
      <c r="W169" s="223">
        <f t="shared" si="71"/>
        <v>4.4972294332211868</v>
      </c>
      <c r="X169" s="223">
        <f t="shared" si="71"/>
        <v>4.1955299824861401</v>
      </c>
      <c r="Y169" s="223">
        <f t="shared" si="71"/>
        <v>4.6225899171176499</v>
      </c>
      <c r="Z169" s="223">
        <f t="shared" si="71"/>
        <v>4.31976366527996</v>
      </c>
      <c r="AA169" s="72"/>
      <c r="AB169" s="76"/>
      <c r="AC169" s="222">
        <v>3.3</v>
      </c>
      <c r="AD169" s="222">
        <v>3.3800979999999998</v>
      </c>
      <c r="AE169" s="222">
        <v>3.3</v>
      </c>
      <c r="AF169" s="222">
        <v>3.6871078000000002</v>
      </c>
      <c r="AG169" s="222">
        <v>3.6</v>
      </c>
      <c r="AH169" s="222">
        <v>2.1</v>
      </c>
      <c r="AI169" s="222">
        <v>4</v>
      </c>
      <c r="AJ169" s="222">
        <v>4.5</v>
      </c>
      <c r="AK169" s="222">
        <v>3.4</v>
      </c>
      <c r="AL169" s="222">
        <v>3.8</v>
      </c>
      <c r="AM169" s="222">
        <v>4.2</v>
      </c>
      <c r="AN169" s="222">
        <v>3.8</v>
      </c>
      <c r="AO169" s="222">
        <v>4.0841884793044096</v>
      </c>
      <c r="AP169" s="222">
        <v>3.8368059958337102</v>
      </c>
      <c r="AQ169" s="222">
        <v>4.2052882812823684</v>
      </c>
      <c r="AR169" s="222">
        <v>3.9572727830698402</v>
      </c>
      <c r="AS169" s="222">
        <v>4.3741315243623733</v>
      </c>
      <c r="AT169" s="222">
        <v>4.0810965749424044</v>
      </c>
      <c r="AU169" s="222">
        <v>4.4972294332211868</v>
      </c>
      <c r="AV169" s="222">
        <v>4.1955299824861401</v>
      </c>
      <c r="AW169" s="222">
        <v>4.6225899171176499</v>
      </c>
      <c r="AX169" s="222">
        <v>4.31976366527996</v>
      </c>
      <c r="AY169" s="76"/>
      <c r="AZ169" s="77" t="s">
        <v>1259</v>
      </c>
      <c r="BA169" s="77" t="s">
        <v>1371</v>
      </c>
      <c r="BB169" s="78" t="s">
        <v>1261</v>
      </c>
      <c r="BC169" s="76"/>
      <c r="BD169" s="79">
        <f>_xll.VAData($AZ169,BD$2,$BA169,$BB169)</f>
        <v>3.3192724999999998</v>
      </c>
      <c r="BE169" s="79">
        <f>_xll.VAData($AZ169,BE$2,$BA169,$BB169)</f>
        <v>3.3752450000000001</v>
      </c>
      <c r="BF169" s="79">
        <f>_xll.VAData($AZ169,BF$2,$BA169,$BB169)</f>
        <v>3.309256865</v>
      </c>
      <c r="BG169" s="79">
        <f>_xll.VAData($AZ169,BG$2,$BA169,$BB169)</f>
        <v>3.6927694999999998</v>
      </c>
      <c r="BH169" s="79">
        <f>_xll.VAData($AZ169,BH$2,$BA169,$BB169)</f>
        <v>3.5919974142000002</v>
      </c>
      <c r="BI169" s="79">
        <f>_xll.VAData($AZ169,BI$2,$BA169,$BB169)</f>
        <v>2.1080025858</v>
      </c>
      <c r="BJ169" s="79">
        <f>_xll.VAData($AZ169,BJ$2,$BA169,$BB169)</f>
        <v>3.9837411375194001</v>
      </c>
      <c r="BK169" s="79">
        <f>_xll.VAData($AZ169,BK$2,$BA169,$BB169)</f>
        <v>3.94280413728</v>
      </c>
      <c r="BL169" s="79">
        <f>_xll.VAData($AZ169,BL$2,$BA169,$BB169)</f>
        <v>3.4</v>
      </c>
      <c r="BM169" s="79">
        <f>_xll.VAData($AZ169,BM$2,$BA169,$BB169)</f>
        <v>3.8</v>
      </c>
      <c r="BN169" s="79">
        <f>_xll.VAData($AZ169,BN$2,$BA169,$BB169)</f>
        <v>4.2</v>
      </c>
      <c r="BO169" s="79">
        <f>_xll.VAData($AZ169,BO$2,$BA169,$BB169)</f>
        <v>3.8</v>
      </c>
      <c r="BP169" s="79">
        <f>_xll.VAData($AZ169,BP$2,$BA169,$BB169)</f>
        <v>3.7</v>
      </c>
      <c r="BQ169" s="79">
        <f>_xll.VAData($AZ169,BQ$2,$BA169,$BB169)</f>
        <v>3.8</v>
      </c>
      <c r="BR169" s="79">
        <f>_xll.VAData($AZ169,BR$2,$BA169,$BB169)</f>
        <v>3.5150000000000001</v>
      </c>
      <c r="BS169" s="79">
        <f>_xll.VAData($AZ169,BS$2,$BA169,$BB169)</f>
        <v>3.6936</v>
      </c>
      <c r="BT169" s="79">
        <f>_xll.VAData($AZ169,BT$2,$BA169,$BB169)</f>
        <v>3.4447000000000001</v>
      </c>
      <c r="BU169" s="79">
        <f>_xll.VAData($AZ169,BU$2,$BA169,$BB169)</f>
        <v>3.7674720000000002</v>
      </c>
      <c r="BV169" s="79">
        <f>_xll.VAData($AZ169,BV$2,$BA169,$BB169)</f>
        <v>3.5308174999999999</v>
      </c>
      <c r="BW169" s="79">
        <f>_xll.VAData($AZ169,BW$2,$BA169,$BB169)</f>
        <v>3.8616587999999998</v>
      </c>
      <c r="BX169" s="79">
        <f>_xll.VAData($AZ169,BX$2,$BA169,$BB169)</f>
        <v>3.6190879374999998</v>
      </c>
      <c r="BY169" s="79">
        <f>_xll.VAData($AZ169,BY$2,$BA169,$BB169)</f>
        <v>3.9582002699999999</v>
      </c>
    </row>
    <row r="170" spans="1:77">
      <c r="B170" s="74"/>
      <c r="C170" s="72" t="s">
        <v>72</v>
      </c>
      <c r="D170" s="225" t="s">
        <v>1343</v>
      </c>
      <c r="E170" s="226" t="e">
        <f>HY!#REF!</f>
        <v>#REF!</v>
      </c>
      <c r="F170" s="226" t="e">
        <f>HY!#REF!</f>
        <v>#REF!</v>
      </c>
      <c r="G170" s="226" t="e">
        <f>HY!#REF!</f>
        <v>#REF!</v>
      </c>
      <c r="H170" s="226" t="e">
        <f>HY!#REF!</f>
        <v>#REF!</v>
      </c>
      <c r="I170" s="226" t="e">
        <f>HY!#REF!</f>
        <v>#REF!</v>
      </c>
      <c r="J170" s="226" t="e">
        <f>HY!#REF!</f>
        <v>#REF!</v>
      </c>
      <c r="K170" s="226" t="e">
        <f>HY!#REF!</f>
        <v>#REF!</v>
      </c>
      <c r="L170" s="226" t="e">
        <f>HY!#REF!</f>
        <v>#REF!</v>
      </c>
      <c r="M170" s="226" t="e">
        <f>HY!#REF!</f>
        <v>#REF!</v>
      </c>
      <c r="N170" s="226" t="e">
        <f>HY!#REF!</f>
        <v>#REF!</v>
      </c>
      <c r="O170" s="226" t="e">
        <f>HY!#REF!</f>
        <v>#REF!</v>
      </c>
      <c r="P170" s="226" t="e">
        <f>HY!#REF!</f>
        <v>#REF!</v>
      </c>
      <c r="Q170" s="226" t="e">
        <f>HY!#REF!</f>
        <v>#REF!</v>
      </c>
      <c r="R170" s="226" t="e">
        <f>HY!#REF!</f>
        <v>#REF!</v>
      </c>
      <c r="S170" s="226" t="e">
        <f>HY!#REF!</f>
        <v>#REF!</v>
      </c>
      <c r="T170" s="226" t="e">
        <f>HY!#REF!</f>
        <v>#REF!</v>
      </c>
      <c r="U170" s="226" t="e">
        <f>HY!#REF!</f>
        <v>#REF!</v>
      </c>
      <c r="V170" s="226" t="e">
        <f>HY!#REF!</f>
        <v>#REF!</v>
      </c>
      <c r="W170" s="226" t="e">
        <f>HY!#REF!</f>
        <v>#REF!</v>
      </c>
      <c r="X170" s="226" t="e">
        <f>HY!#REF!</f>
        <v>#REF!</v>
      </c>
      <c r="Y170" s="226" t="e">
        <f>HY!#REF!</f>
        <v>#REF!</v>
      </c>
      <c r="Z170" s="226" t="e">
        <f>HY!#REF!</f>
        <v>#REF!</v>
      </c>
      <c r="AA170" s="72"/>
      <c r="AB170" s="76"/>
      <c r="AC170" s="221"/>
      <c r="AD170" s="221"/>
      <c r="AE170" s="221"/>
      <c r="AF170" s="221"/>
      <c r="AG170" s="221"/>
      <c r="AH170" s="221"/>
      <c r="AI170" s="221"/>
      <c r="AJ170" s="221"/>
      <c r="AK170" s="221"/>
      <c r="AL170" s="221"/>
      <c r="AM170" s="221"/>
      <c r="AN170" s="221"/>
      <c r="AO170" s="221"/>
      <c r="AP170" s="221"/>
      <c r="AQ170" s="221"/>
      <c r="AR170" s="221"/>
      <c r="AS170" s="221"/>
      <c r="AT170" s="221"/>
      <c r="AU170" s="221"/>
      <c r="AV170" s="221"/>
      <c r="AW170" s="221"/>
      <c r="AX170" s="221"/>
      <c r="AY170" s="76"/>
      <c r="AZ170" s="77"/>
      <c r="BA170" s="77"/>
      <c r="BB170" s="78"/>
      <c r="BC170" s="76"/>
      <c r="BD170" s="221"/>
      <c r="BE170" s="221"/>
      <c r="BF170" s="221"/>
      <c r="BG170" s="221"/>
      <c r="BH170" s="221"/>
      <c r="BI170" s="221"/>
      <c r="BJ170" s="221"/>
      <c r="BK170" s="221"/>
      <c r="BL170" s="221"/>
      <c r="BM170" s="221"/>
      <c r="BN170" s="221"/>
      <c r="BO170" s="221"/>
      <c r="BP170" s="221"/>
      <c r="BQ170" s="221"/>
      <c r="BR170" s="221"/>
      <c r="BS170" s="221"/>
      <c r="BT170" s="221"/>
      <c r="BU170" s="221"/>
      <c r="BV170" s="221"/>
      <c r="BW170" s="221"/>
      <c r="BX170" s="221"/>
      <c r="BY170" s="221"/>
    </row>
    <row r="171" spans="1:77">
      <c r="B171" s="74"/>
      <c r="C171" s="81" t="s">
        <v>88</v>
      </c>
      <c r="D171" s="72" t="s">
        <v>1344</v>
      </c>
      <c r="E171" s="227" t="str">
        <f t="shared" ref="E171:Z171" si="72">IFERROR(ROUND(E169/E170-1,3),"")</f>
        <v/>
      </c>
      <c r="F171" s="227" t="str">
        <f t="shared" si="72"/>
        <v/>
      </c>
      <c r="G171" s="227" t="str">
        <f t="shared" si="72"/>
        <v/>
      </c>
      <c r="H171" s="227" t="str">
        <f t="shared" si="72"/>
        <v/>
      </c>
      <c r="I171" s="227" t="str">
        <f t="shared" si="72"/>
        <v/>
      </c>
      <c r="J171" s="227" t="str">
        <f t="shared" si="72"/>
        <v/>
      </c>
      <c r="K171" s="227" t="str">
        <f t="shared" si="72"/>
        <v/>
      </c>
      <c r="L171" s="227" t="str">
        <f t="shared" si="72"/>
        <v/>
      </c>
      <c r="M171" s="227" t="str">
        <f t="shared" si="72"/>
        <v/>
      </c>
      <c r="N171" s="227" t="str">
        <f t="shared" si="72"/>
        <v/>
      </c>
      <c r="O171" s="227" t="str">
        <f t="shared" si="72"/>
        <v/>
      </c>
      <c r="P171" s="227" t="str">
        <f t="shared" si="72"/>
        <v/>
      </c>
      <c r="Q171" s="227" t="str">
        <f t="shared" si="72"/>
        <v/>
      </c>
      <c r="R171" s="227" t="str">
        <f t="shared" si="72"/>
        <v/>
      </c>
      <c r="S171" s="227" t="str">
        <f t="shared" si="72"/>
        <v/>
      </c>
      <c r="T171" s="227" t="str">
        <f t="shared" si="72"/>
        <v/>
      </c>
      <c r="U171" s="227" t="str">
        <f t="shared" si="72"/>
        <v/>
      </c>
      <c r="V171" s="227" t="str">
        <f t="shared" si="72"/>
        <v/>
      </c>
      <c r="W171" s="227" t="str">
        <f t="shared" si="72"/>
        <v/>
      </c>
      <c r="X171" s="227" t="str">
        <f t="shared" si="72"/>
        <v/>
      </c>
      <c r="Y171" s="227" t="str">
        <f t="shared" si="72"/>
        <v/>
      </c>
      <c r="Z171" s="227" t="str">
        <f t="shared" si="72"/>
        <v/>
      </c>
      <c r="AA171" s="72"/>
      <c r="AB171" s="76"/>
      <c r="AC171" s="221"/>
      <c r="AD171" s="221"/>
      <c r="AE171" s="221"/>
      <c r="AF171" s="221"/>
      <c r="AG171" s="221"/>
      <c r="AH171" s="221"/>
      <c r="AI171" s="221"/>
      <c r="AJ171" s="221"/>
      <c r="AK171" s="221"/>
      <c r="AL171" s="221"/>
      <c r="AM171" s="221"/>
      <c r="AN171" s="221"/>
      <c r="AO171" s="221"/>
      <c r="AP171" s="221"/>
      <c r="AQ171" s="221"/>
      <c r="AR171" s="221"/>
      <c r="AS171" s="221"/>
      <c r="AT171" s="221"/>
      <c r="AU171" s="221"/>
      <c r="AV171" s="221"/>
      <c r="AW171" s="221"/>
      <c r="AX171" s="221"/>
      <c r="AY171" s="76"/>
      <c r="AZ171" s="77"/>
      <c r="BA171" s="77"/>
      <c r="BB171" s="78"/>
      <c r="BC171" s="76"/>
      <c r="BD171" s="221"/>
      <c r="BE171" s="221"/>
      <c r="BF171" s="221"/>
      <c r="BG171" s="221"/>
      <c r="BH171" s="221"/>
      <c r="BI171" s="221"/>
      <c r="BJ171" s="221"/>
      <c r="BK171" s="221"/>
      <c r="BL171" s="221"/>
      <c r="BM171" s="221"/>
      <c r="BN171" s="221"/>
      <c r="BO171" s="221"/>
      <c r="BP171" s="221"/>
      <c r="BQ171" s="221"/>
      <c r="BR171" s="221"/>
      <c r="BS171" s="221"/>
      <c r="BT171" s="221"/>
      <c r="BU171" s="221"/>
      <c r="BV171" s="221"/>
      <c r="BW171" s="221"/>
      <c r="BX171" s="221"/>
      <c r="BY171" s="221"/>
    </row>
    <row r="172" spans="1:77">
      <c r="B172" s="74"/>
      <c r="C172" s="72"/>
      <c r="D172" s="72"/>
      <c r="E172" s="75"/>
      <c r="F172" s="75"/>
      <c r="G172" s="75"/>
      <c r="H172" s="75"/>
      <c r="I172" s="75"/>
      <c r="J172" s="75"/>
      <c r="K172" s="75"/>
      <c r="L172" s="75"/>
      <c r="M172" s="75"/>
      <c r="N172" s="75"/>
      <c r="O172" s="75"/>
      <c r="P172" s="75"/>
      <c r="Q172" s="75"/>
      <c r="R172" s="75"/>
      <c r="S172" s="75"/>
      <c r="T172" s="75"/>
      <c r="U172" s="75"/>
      <c r="V172" s="75"/>
      <c r="W172" s="75"/>
      <c r="X172" s="75"/>
      <c r="Y172" s="75"/>
      <c r="Z172" s="75"/>
      <c r="AA172" s="72"/>
      <c r="AB172" s="76"/>
      <c r="AC172" s="221"/>
      <c r="AD172" s="221"/>
      <c r="AE172" s="221"/>
      <c r="AF172" s="221"/>
      <c r="AG172" s="221"/>
      <c r="AH172" s="221"/>
      <c r="AI172" s="221"/>
      <c r="AJ172" s="221"/>
      <c r="AK172" s="221"/>
      <c r="AL172" s="221"/>
      <c r="AM172" s="221"/>
      <c r="AN172" s="221"/>
      <c r="AO172" s="221"/>
      <c r="AP172" s="221"/>
      <c r="AQ172" s="221"/>
      <c r="AR172" s="221"/>
      <c r="AS172" s="221"/>
      <c r="AT172" s="221"/>
      <c r="AU172" s="221"/>
      <c r="AV172" s="221"/>
      <c r="AW172" s="221"/>
      <c r="AX172" s="221"/>
      <c r="AY172" s="76"/>
      <c r="AZ172" s="77"/>
      <c r="BA172" s="77"/>
      <c r="BB172" s="78"/>
      <c r="BC172" s="76"/>
      <c r="BD172" s="221"/>
      <c r="BE172" s="221"/>
      <c r="BF172" s="221"/>
      <c r="BG172" s="221"/>
      <c r="BH172" s="221"/>
      <c r="BI172" s="221"/>
      <c r="BJ172" s="221"/>
      <c r="BK172" s="221"/>
      <c r="BL172" s="221"/>
      <c r="BM172" s="221"/>
      <c r="BN172" s="221"/>
      <c r="BO172" s="221"/>
      <c r="BP172" s="221"/>
      <c r="BQ172" s="221"/>
      <c r="BR172" s="221"/>
      <c r="BS172" s="221"/>
      <c r="BT172" s="221"/>
      <c r="BU172" s="221"/>
      <c r="BV172" s="221"/>
      <c r="BW172" s="221"/>
      <c r="BX172" s="221"/>
      <c r="BY172" s="221"/>
    </row>
    <row r="173" spans="1:77">
      <c r="B173" s="74" t="str">
        <f>BA173</f>
        <v>Number of slot machines - Queenstown</v>
      </c>
      <c r="C173" s="72" t="s">
        <v>72</v>
      </c>
      <c r="D173" s="224" t="s">
        <v>1342</v>
      </c>
      <c r="E173" s="223">
        <f t="shared" ref="E173:Z173" si="73">AC173</f>
        <v>159.75</v>
      </c>
      <c r="F173" s="223">
        <f t="shared" si="73"/>
        <v>159.75</v>
      </c>
      <c r="G173" s="223">
        <f t="shared" si="73"/>
        <v>159.75</v>
      </c>
      <c r="H173" s="223">
        <f t="shared" si="73"/>
        <v>159.75</v>
      </c>
      <c r="I173" s="223">
        <f t="shared" si="73"/>
        <v>159.75</v>
      </c>
      <c r="J173" s="223">
        <f t="shared" si="73"/>
        <v>159.75</v>
      </c>
      <c r="K173" s="223">
        <f t="shared" si="73"/>
        <v>159.75</v>
      </c>
      <c r="L173" s="223">
        <f t="shared" si="73"/>
        <v>159.75</v>
      </c>
      <c r="M173" s="223">
        <f t="shared" si="73"/>
        <v>159.75</v>
      </c>
      <c r="N173" s="223">
        <f t="shared" si="73"/>
        <v>160</v>
      </c>
      <c r="O173" s="223">
        <f t="shared" si="73"/>
        <v>160</v>
      </c>
      <c r="P173" s="223">
        <f t="shared" si="73"/>
        <v>160</v>
      </c>
      <c r="Q173" s="223">
        <f t="shared" si="73"/>
        <v>160</v>
      </c>
      <c r="R173" s="223">
        <f t="shared" si="73"/>
        <v>160</v>
      </c>
      <c r="S173" s="223">
        <f t="shared" si="73"/>
        <v>160</v>
      </c>
      <c r="T173" s="223">
        <f t="shared" si="73"/>
        <v>160</v>
      </c>
      <c r="U173" s="223">
        <f t="shared" si="73"/>
        <v>160</v>
      </c>
      <c r="V173" s="223">
        <f t="shared" si="73"/>
        <v>160</v>
      </c>
      <c r="W173" s="223">
        <f t="shared" si="73"/>
        <v>160</v>
      </c>
      <c r="X173" s="223">
        <f t="shared" si="73"/>
        <v>160</v>
      </c>
      <c r="Y173" s="223">
        <f t="shared" si="73"/>
        <v>160</v>
      </c>
      <c r="Z173" s="223">
        <f t="shared" si="73"/>
        <v>160</v>
      </c>
      <c r="AA173" s="72"/>
      <c r="AB173" s="76"/>
      <c r="AC173" s="222">
        <v>159.75</v>
      </c>
      <c r="AD173" s="222">
        <v>159.75</v>
      </c>
      <c r="AE173" s="222">
        <v>159.75</v>
      </c>
      <c r="AF173" s="222">
        <v>159.75</v>
      </c>
      <c r="AG173" s="222">
        <v>159.75</v>
      </c>
      <c r="AH173" s="222">
        <v>159.75</v>
      </c>
      <c r="AI173" s="222">
        <v>159.75</v>
      </c>
      <c r="AJ173" s="222">
        <v>159.75</v>
      </c>
      <c r="AK173" s="222">
        <v>159.75</v>
      </c>
      <c r="AL173" s="222">
        <v>160</v>
      </c>
      <c r="AM173" s="222">
        <v>160</v>
      </c>
      <c r="AN173" s="222">
        <v>160</v>
      </c>
      <c r="AO173" s="222">
        <v>160</v>
      </c>
      <c r="AP173" s="222">
        <v>160</v>
      </c>
      <c r="AQ173" s="222">
        <v>160</v>
      </c>
      <c r="AR173" s="222">
        <v>160</v>
      </c>
      <c r="AS173" s="222">
        <v>160</v>
      </c>
      <c r="AT173" s="222">
        <v>160</v>
      </c>
      <c r="AU173" s="222">
        <v>160</v>
      </c>
      <c r="AV173" s="222">
        <v>160</v>
      </c>
      <c r="AW173" s="222">
        <v>160</v>
      </c>
      <c r="AX173" s="222">
        <v>160</v>
      </c>
      <c r="AY173" s="76"/>
      <c r="AZ173" s="77" t="s">
        <v>1259</v>
      </c>
      <c r="BA173" s="77" t="s">
        <v>1372</v>
      </c>
      <c r="BB173" s="78" t="s">
        <v>1261</v>
      </c>
      <c r="BC173" s="76"/>
      <c r="BD173" s="79" t="str">
        <f>_xll.VAData($AZ173,BD$2,$BA173,$BB173)</f>
        <v>-</v>
      </c>
      <c r="BE173" s="79" t="str">
        <f>_xll.VAData($AZ173,BE$2,$BA173,$BB173)</f>
        <v>-</v>
      </c>
      <c r="BF173" s="79" t="str">
        <f>_xll.VAData($AZ173,BF$2,$BA173,$BB173)</f>
        <v>-</v>
      </c>
      <c r="BG173" s="79" t="str">
        <f>_xll.VAData($AZ173,BG$2,$BA173,$BB173)</f>
        <v>-</v>
      </c>
      <c r="BH173" s="79" t="str">
        <f>_xll.VAData($AZ173,BH$2,$BA173,$BB173)</f>
        <v>-</v>
      </c>
      <c r="BI173" s="79" t="str">
        <f>_xll.VAData($AZ173,BI$2,$BA173,$BB173)</f>
        <v>-</v>
      </c>
      <c r="BJ173" s="79" t="str">
        <f>_xll.VAData($AZ173,BJ$2,$BA173,$BB173)</f>
        <v>-</v>
      </c>
      <c r="BK173" s="79" t="str">
        <f>_xll.VAData($AZ173,BK$2,$BA173,$BB173)</f>
        <v>-</v>
      </c>
      <c r="BL173" s="79" t="str">
        <f>_xll.VAData($AZ173,BL$2,$BA173,$BB173)</f>
        <v>-</v>
      </c>
      <c r="BM173" s="79" t="str">
        <f>_xll.VAData($AZ173,BM$2,$BA173,$BB173)</f>
        <v>-</v>
      </c>
      <c r="BN173" s="79" t="str">
        <f>_xll.VAData($AZ173,BN$2,$BA173,$BB173)</f>
        <v>-</v>
      </c>
      <c r="BO173" s="79" t="str">
        <f>_xll.VAData($AZ173,BO$2,$BA173,$BB173)</f>
        <v>-</v>
      </c>
      <c r="BP173" s="79" t="str">
        <f>_xll.VAData($AZ173,BP$2,$BA173,$BB173)</f>
        <v>-</v>
      </c>
      <c r="BQ173" s="79" t="str">
        <f>_xll.VAData($AZ173,BQ$2,$BA173,$BB173)</f>
        <v>-</v>
      </c>
      <c r="BR173" s="79" t="str">
        <f>_xll.VAData($AZ173,BR$2,$BA173,$BB173)</f>
        <v>-</v>
      </c>
      <c r="BS173" s="79" t="str">
        <f>_xll.VAData($AZ173,BS$2,$BA173,$BB173)</f>
        <v>-</v>
      </c>
      <c r="BT173" s="79" t="str">
        <f>_xll.VAData($AZ173,BT$2,$BA173,$BB173)</f>
        <v>-</v>
      </c>
      <c r="BU173" s="79" t="str">
        <f>_xll.VAData($AZ173,BU$2,$BA173,$BB173)</f>
        <v>-</v>
      </c>
      <c r="BV173" s="79" t="str">
        <f>_xll.VAData($AZ173,BV$2,$BA173,$BB173)</f>
        <v>-</v>
      </c>
      <c r="BW173" s="79" t="str">
        <f>_xll.VAData($AZ173,BW$2,$BA173,$BB173)</f>
        <v>-</v>
      </c>
      <c r="BX173" s="79" t="str">
        <f>_xll.VAData($AZ173,BX$2,$BA173,$BB173)</f>
        <v>-</v>
      </c>
      <c r="BY173" s="79" t="str">
        <f>_xll.VAData($AZ173,BY$2,$BA173,$BB173)</f>
        <v>-</v>
      </c>
    </row>
    <row r="174" spans="1:77">
      <c r="B174" s="74"/>
      <c r="C174" s="72" t="s">
        <v>72</v>
      </c>
      <c r="D174" s="225" t="s">
        <v>1343</v>
      </c>
      <c r="E174" s="226" t="e">
        <f>HY!#REF!</f>
        <v>#REF!</v>
      </c>
      <c r="F174" s="226" t="e">
        <f>HY!#REF!</f>
        <v>#REF!</v>
      </c>
      <c r="G174" s="226" t="e">
        <f>HY!#REF!</f>
        <v>#REF!</v>
      </c>
      <c r="H174" s="226" t="e">
        <f>HY!#REF!</f>
        <v>#REF!</v>
      </c>
      <c r="I174" s="226" t="e">
        <f>HY!#REF!</f>
        <v>#REF!</v>
      </c>
      <c r="J174" s="226" t="e">
        <f>HY!#REF!</f>
        <v>#REF!</v>
      </c>
      <c r="K174" s="226" t="e">
        <f>HY!#REF!</f>
        <v>#REF!</v>
      </c>
      <c r="L174" s="226" t="e">
        <f>HY!#REF!</f>
        <v>#REF!</v>
      </c>
      <c r="M174" s="226" t="e">
        <f>HY!#REF!</f>
        <v>#REF!</v>
      </c>
      <c r="N174" s="226" t="e">
        <f>HY!#REF!</f>
        <v>#REF!</v>
      </c>
      <c r="O174" s="226" t="e">
        <f>HY!#REF!</f>
        <v>#REF!</v>
      </c>
      <c r="P174" s="226" t="e">
        <f>HY!#REF!</f>
        <v>#REF!</v>
      </c>
      <c r="Q174" s="226" t="e">
        <f>HY!#REF!</f>
        <v>#REF!</v>
      </c>
      <c r="R174" s="226" t="e">
        <f>HY!#REF!</f>
        <v>#REF!</v>
      </c>
      <c r="S174" s="226" t="e">
        <f>HY!#REF!</f>
        <v>#REF!</v>
      </c>
      <c r="T174" s="226" t="e">
        <f>HY!#REF!</f>
        <v>#REF!</v>
      </c>
      <c r="U174" s="226" t="e">
        <f>HY!#REF!</f>
        <v>#REF!</v>
      </c>
      <c r="V174" s="226" t="e">
        <f>HY!#REF!</f>
        <v>#REF!</v>
      </c>
      <c r="W174" s="226" t="e">
        <f>HY!#REF!</f>
        <v>#REF!</v>
      </c>
      <c r="X174" s="226" t="e">
        <f>HY!#REF!</f>
        <v>#REF!</v>
      </c>
      <c r="Y174" s="226" t="e">
        <f>HY!#REF!</f>
        <v>#REF!</v>
      </c>
      <c r="Z174" s="226" t="e">
        <f>HY!#REF!</f>
        <v>#REF!</v>
      </c>
      <c r="AA174" s="72"/>
      <c r="AB174" s="76"/>
      <c r="AC174" s="221"/>
      <c r="AD174" s="221"/>
      <c r="AE174" s="221"/>
      <c r="AF174" s="221"/>
      <c r="AG174" s="221"/>
      <c r="AH174" s="221"/>
      <c r="AI174" s="221"/>
      <c r="AJ174" s="221"/>
      <c r="AK174" s="221"/>
      <c r="AL174" s="221"/>
      <c r="AM174" s="221"/>
      <c r="AN174" s="221"/>
      <c r="AO174" s="221"/>
      <c r="AP174" s="221"/>
      <c r="AQ174" s="221"/>
      <c r="AR174" s="221"/>
      <c r="AS174" s="221"/>
      <c r="AT174" s="221"/>
      <c r="AU174" s="221"/>
      <c r="AV174" s="221"/>
      <c r="AW174" s="221"/>
      <c r="AX174" s="221"/>
      <c r="AY174" s="76"/>
      <c r="AZ174" s="77"/>
      <c r="BA174" s="77"/>
      <c r="BB174" s="78"/>
      <c r="BC174" s="76"/>
      <c r="BD174" s="221"/>
      <c r="BE174" s="221"/>
      <c r="BF174" s="221"/>
      <c r="BG174" s="221"/>
      <c r="BH174" s="221"/>
      <c r="BI174" s="221"/>
      <c r="BJ174" s="221"/>
      <c r="BK174" s="221"/>
      <c r="BL174" s="221"/>
      <c r="BM174" s="221"/>
      <c r="BN174" s="221"/>
      <c r="BO174" s="221"/>
      <c r="BP174" s="221"/>
      <c r="BQ174" s="221"/>
      <c r="BR174" s="221"/>
      <c r="BS174" s="221"/>
      <c r="BT174" s="221"/>
      <c r="BU174" s="221"/>
      <c r="BV174" s="221"/>
      <c r="BW174" s="221"/>
      <c r="BX174" s="221"/>
      <c r="BY174" s="221"/>
    </row>
    <row r="175" spans="1:77">
      <c r="B175" s="74"/>
      <c r="C175" s="81" t="s">
        <v>88</v>
      </c>
      <c r="D175" s="72" t="s">
        <v>1344</v>
      </c>
      <c r="E175" s="227" t="str">
        <f t="shared" ref="E175:Z175" si="74">IFERROR(ROUND(E173/E174-1,3),"")</f>
        <v/>
      </c>
      <c r="F175" s="227" t="str">
        <f t="shared" si="74"/>
        <v/>
      </c>
      <c r="G175" s="227" t="str">
        <f t="shared" si="74"/>
        <v/>
      </c>
      <c r="H175" s="227" t="str">
        <f t="shared" si="74"/>
        <v/>
      </c>
      <c r="I175" s="227" t="str">
        <f t="shared" si="74"/>
        <v/>
      </c>
      <c r="J175" s="227" t="str">
        <f t="shared" si="74"/>
        <v/>
      </c>
      <c r="K175" s="227" t="str">
        <f t="shared" si="74"/>
        <v/>
      </c>
      <c r="L175" s="227" t="str">
        <f t="shared" si="74"/>
        <v/>
      </c>
      <c r="M175" s="227" t="str">
        <f t="shared" si="74"/>
        <v/>
      </c>
      <c r="N175" s="227" t="str">
        <f t="shared" si="74"/>
        <v/>
      </c>
      <c r="O175" s="227" t="str">
        <f t="shared" si="74"/>
        <v/>
      </c>
      <c r="P175" s="227" t="str">
        <f t="shared" si="74"/>
        <v/>
      </c>
      <c r="Q175" s="227" t="str">
        <f t="shared" si="74"/>
        <v/>
      </c>
      <c r="R175" s="227" t="str">
        <f t="shared" si="74"/>
        <v/>
      </c>
      <c r="S175" s="227" t="str">
        <f t="shared" si="74"/>
        <v/>
      </c>
      <c r="T175" s="227" t="str">
        <f t="shared" si="74"/>
        <v/>
      </c>
      <c r="U175" s="227" t="str">
        <f t="shared" si="74"/>
        <v/>
      </c>
      <c r="V175" s="227" t="str">
        <f t="shared" si="74"/>
        <v/>
      </c>
      <c r="W175" s="227" t="str">
        <f t="shared" si="74"/>
        <v/>
      </c>
      <c r="X175" s="227" t="str">
        <f t="shared" si="74"/>
        <v/>
      </c>
      <c r="Y175" s="227" t="str">
        <f t="shared" si="74"/>
        <v/>
      </c>
      <c r="Z175" s="227" t="str">
        <f t="shared" si="74"/>
        <v/>
      </c>
      <c r="AA175" s="72"/>
      <c r="AB175" s="76"/>
      <c r="AC175" s="221"/>
      <c r="AD175" s="221"/>
      <c r="AE175" s="221"/>
      <c r="AF175" s="221"/>
      <c r="AG175" s="221"/>
      <c r="AH175" s="221"/>
      <c r="AI175" s="221"/>
      <c r="AJ175" s="221"/>
      <c r="AK175" s="221"/>
      <c r="AL175" s="221"/>
      <c r="AM175" s="221"/>
      <c r="AN175" s="221"/>
      <c r="AO175" s="221"/>
      <c r="AP175" s="221"/>
      <c r="AQ175" s="221"/>
      <c r="AR175" s="221"/>
      <c r="AS175" s="221"/>
      <c r="AT175" s="221"/>
      <c r="AU175" s="221"/>
      <c r="AV175" s="221"/>
      <c r="AW175" s="221"/>
      <c r="AX175" s="221"/>
      <c r="AY175" s="76"/>
      <c r="AZ175" s="77"/>
      <c r="BA175" s="77"/>
      <c r="BB175" s="78"/>
      <c r="BC175" s="76"/>
      <c r="BD175" s="221"/>
      <c r="BE175" s="221"/>
      <c r="BF175" s="221"/>
      <c r="BG175" s="221"/>
      <c r="BH175" s="221"/>
      <c r="BI175" s="221"/>
      <c r="BJ175" s="221"/>
      <c r="BK175" s="221"/>
      <c r="BL175" s="221"/>
      <c r="BM175" s="221"/>
      <c r="BN175" s="221"/>
      <c r="BO175" s="221"/>
      <c r="BP175" s="221"/>
      <c r="BQ175" s="221"/>
      <c r="BR175" s="221"/>
      <c r="BS175" s="221"/>
      <c r="BT175" s="221"/>
      <c r="BU175" s="221"/>
      <c r="BV175" s="221"/>
      <c r="BW175" s="221"/>
      <c r="BX175" s="221"/>
      <c r="BY175" s="221"/>
    </row>
    <row r="176" spans="1:77">
      <c r="B176" s="74"/>
      <c r="C176" s="72"/>
      <c r="D176" s="72"/>
      <c r="E176" s="75"/>
      <c r="F176" s="75"/>
      <c r="G176" s="75"/>
      <c r="H176" s="75"/>
      <c r="I176" s="75"/>
      <c r="J176" s="75"/>
      <c r="K176" s="75"/>
      <c r="L176" s="75"/>
      <c r="M176" s="75"/>
      <c r="N176" s="75"/>
      <c r="O176" s="75"/>
      <c r="P176" s="75"/>
      <c r="Q176" s="75"/>
      <c r="R176" s="75"/>
      <c r="S176" s="75"/>
      <c r="T176" s="75"/>
      <c r="U176" s="75"/>
      <c r="V176" s="75"/>
      <c r="W176" s="75"/>
      <c r="X176" s="75"/>
      <c r="Y176" s="75"/>
      <c r="Z176" s="75"/>
      <c r="AA176" s="72"/>
      <c r="AB176" s="76"/>
      <c r="AC176" s="221"/>
      <c r="AD176" s="221"/>
      <c r="AE176" s="221"/>
      <c r="AF176" s="221"/>
      <c r="AG176" s="221"/>
      <c r="AH176" s="221"/>
      <c r="AI176" s="221"/>
      <c r="AJ176" s="221"/>
      <c r="AK176" s="221"/>
      <c r="AL176" s="221"/>
      <c r="AM176" s="221"/>
      <c r="AN176" s="221"/>
      <c r="AO176" s="221"/>
      <c r="AP176" s="221"/>
      <c r="AQ176" s="221"/>
      <c r="AR176" s="221"/>
      <c r="AS176" s="221"/>
      <c r="AT176" s="221"/>
      <c r="AU176" s="221"/>
      <c r="AV176" s="221"/>
      <c r="AW176" s="221"/>
      <c r="AX176" s="221"/>
      <c r="AY176" s="76"/>
      <c r="AZ176" s="77"/>
      <c r="BA176" s="77"/>
      <c r="BB176" s="78"/>
      <c r="BC176" s="76"/>
      <c r="BD176" s="221"/>
      <c r="BE176" s="221"/>
      <c r="BF176" s="221"/>
      <c r="BG176" s="221"/>
      <c r="BH176" s="221"/>
      <c r="BI176" s="221"/>
      <c r="BJ176" s="221"/>
      <c r="BK176" s="221"/>
      <c r="BL176" s="221"/>
      <c r="BM176" s="221"/>
      <c r="BN176" s="221"/>
      <c r="BO176" s="221"/>
      <c r="BP176" s="221"/>
      <c r="BQ176" s="221"/>
      <c r="BR176" s="221"/>
      <c r="BS176" s="221"/>
      <c r="BT176" s="221"/>
      <c r="BU176" s="221"/>
      <c r="BV176" s="221"/>
      <c r="BW176" s="221"/>
      <c r="BX176" s="221"/>
      <c r="BY176" s="221"/>
    </row>
    <row r="177" spans="2:77">
      <c r="B177" s="74" t="str">
        <f>BA177</f>
        <v>Slot machine win per unit per day - Queenstown</v>
      </c>
      <c r="C177" s="72" t="s">
        <v>72</v>
      </c>
      <c r="D177" s="224" t="s">
        <v>1342</v>
      </c>
      <c r="E177" s="223">
        <f t="shared" ref="E177:Z177" si="75">AC177</f>
        <v>112.532845534651</v>
      </c>
      <c r="F177" s="223">
        <f t="shared" si="75"/>
        <v>117.2190547512033</v>
      </c>
      <c r="G177" s="223">
        <f t="shared" si="75"/>
        <v>112.532845534651</v>
      </c>
      <c r="H177" s="223">
        <f t="shared" si="75"/>
        <v>127.5619125233687</v>
      </c>
      <c r="I177" s="223">
        <f t="shared" si="75"/>
        <v>122.763104219619</v>
      </c>
      <c r="J177" s="223">
        <f t="shared" si="75"/>
        <v>72.267195225384498</v>
      </c>
      <c r="K177" s="223">
        <f t="shared" si="75"/>
        <v>136.40344913291</v>
      </c>
      <c r="L177" s="223">
        <f t="shared" si="75"/>
        <v>155.14286658247531</v>
      </c>
      <c r="M177" s="223">
        <f t="shared" si="75"/>
        <v>115.942931762974</v>
      </c>
      <c r="N177" s="223">
        <f t="shared" si="75"/>
        <v>130.8277674716187</v>
      </c>
      <c r="O177" s="223">
        <f t="shared" si="75"/>
        <v>142.92290330244731</v>
      </c>
      <c r="P177" s="223">
        <f t="shared" si="75"/>
        <v>130.73745333051571</v>
      </c>
      <c r="Q177" s="223">
        <f t="shared" si="75"/>
        <v>136.947610208459</v>
      </c>
      <c r="R177" s="223">
        <f t="shared" si="75"/>
        <v>131.32362337497131</v>
      </c>
      <c r="S177" s="223">
        <f t="shared" si="75"/>
        <v>141.0010766796037</v>
      </c>
      <c r="T177" s="223">
        <f t="shared" si="75"/>
        <v>135.7497279860863</v>
      </c>
      <c r="U177" s="223">
        <f t="shared" si="75"/>
        <v>146.05233649944151</v>
      </c>
      <c r="V177" s="223">
        <f t="shared" si="75"/>
        <v>140.7320912435635</v>
      </c>
      <c r="W177" s="223">
        <f t="shared" si="75"/>
        <v>150.403948278933</v>
      </c>
      <c r="X177" s="223">
        <f t="shared" si="75"/>
        <v>144.89296913774899</v>
      </c>
      <c r="Y177" s="223">
        <f t="shared" si="75"/>
        <v>154.8228317039395</v>
      </c>
      <c r="Z177" s="223">
        <f t="shared" si="75"/>
        <v>149.11367517506901</v>
      </c>
      <c r="AA177" s="72"/>
      <c r="AB177" s="76"/>
      <c r="AC177" s="222">
        <v>112.532845534651</v>
      </c>
      <c r="AD177" s="222">
        <v>117.2190547512033</v>
      </c>
      <c r="AE177" s="222">
        <v>112.532845534651</v>
      </c>
      <c r="AF177" s="222">
        <v>127.5619125233687</v>
      </c>
      <c r="AG177" s="222">
        <v>122.763104219619</v>
      </c>
      <c r="AH177" s="222">
        <v>72.267195225384498</v>
      </c>
      <c r="AI177" s="222">
        <v>136.40344913291</v>
      </c>
      <c r="AJ177" s="222">
        <v>155.14286658247531</v>
      </c>
      <c r="AK177" s="222">
        <v>115.942931762974</v>
      </c>
      <c r="AL177" s="222">
        <v>130.8277674716187</v>
      </c>
      <c r="AM177" s="222">
        <v>142.92290330244731</v>
      </c>
      <c r="AN177" s="222">
        <v>130.73745333051571</v>
      </c>
      <c r="AO177" s="222">
        <v>136.947610208459</v>
      </c>
      <c r="AP177" s="222">
        <v>131.32362337497131</v>
      </c>
      <c r="AQ177" s="222">
        <v>141.0010766796037</v>
      </c>
      <c r="AR177" s="222">
        <v>135.7497279860863</v>
      </c>
      <c r="AS177" s="222">
        <v>146.05233649944151</v>
      </c>
      <c r="AT177" s="222">
        <v>140.7320912435635</v>
      </c>
      <c r="AU177" s="222">
        <v>150.403948278933</v>
      </c>
      <c r="AV177" s="222">
        <v>144.89296913774899</v>
      </c>
      <c r="AW177" s="222">
        <v>154.8228317039395</v>
      </c>
      <c r="AX177" s="222">
        <v>149.11367517506901</v>
      </c>
      <c r="AY177" s="76"/>
      <c r="AZ177" s="77" t="s">
        <v>1259</v>
      </c>
      <c r="BA177" s="77" t="s">
        <v>1373</v>
      </c>
      <c r="BB177" s="78" t="s">
        <v>1261</v>
      </c>
      <c r="BC177" s="76"/>
      <c r="BD177" s="79">
        <f>_xll.VAData($AZ177,BD$2,$BA177,$BB177)</f>
        <v>113.413753995257</v>
      </c>
      <c r="BE177" s="79">
        <f>_xll.VAData($AZ177,BE$2,$BA177,$BB177)</f>
        <v>116.85053441935599</v>
      </c>
      <c r="BF177" s="79">
        <f>_xll.VAData($AZ177,BF$2,$BA177,$BB177)</f>
        <v>113.413753995257</v>
      </c>
      <c r="BG177" s="79">
        <f>_xll.VAData($AZ177,BG$2,$BA177,$BB177)</f>
        <v>127.160875691652</v>
      </c>
      <c r="BH177" s="79">
        <f>_xll.VAData($AZ177,BH$2,$BA177,$BB177)</f>
        <v>123.724095267553</v>
      </c>
      <c r="BI177" s="79">
        <f>_xll.VAData($AZ177,BI$2,$BA177,$BB177)</f>
        <v>72.172388906072797</v>
      </c>
      <c r="BJ177" s="79">
        <f>_xll.VAData($AZ177,BJ$2,$BA177,$BB177)</f>
        <v>137.471216963948</v>
      </c>
      <c r="BK177" s="79">
        <f>_xll.VAData($AZ177,BK$2,$BA177,$BB177)</f>
        <v>154.65511908444199</v>
      </c>
      <c r="BL177" s="79">
        <f>_xll.VAData($AZ177,BL$2,$BA177,$BB177)</f>
        <v>116.85053441935599</v>
      </c>
      <c r="BM177" s="79">
        <f>_xll.VAData($AZ177,BM$2,$BA177,$BB177)</f>
        <v>130.05236318833599</v>
      </c>
      <c r="BN177" s="79">
        <f>_xll.VAData($AZ177,BN$2,$BA177,$BB177)</f>
        <v>143.44262295082001</v>
      </c>
      <c r="BO177" s="79">
        <f>_xll.VAData($AZ177,BO$2,$BA177,$BB177)</f>
        <v>129.78142076502701</v>
      </c>
      <c r="BP177" s="79" t="str">
        <f>_xll.VAData($AZ177,BP$2,$BA177,$BB177)</f>
        <v>-</v>
      </c>
      <c r="BQ177" s="79" t="str">
        <f>_xll.VAData($AZ177,BQ$2,$BA177,$BB177)</f>
        <v>-</v>
      </c>
      <c r="BR177" s="79" t="str">
        <f>_xll.VAData($AZ177,BR$2,$BA177,$BB177)</f>
        <v>-</v>
      </c>
      <c r="BS177" s="79" t="str">
        <f>_xll.VAData($AZ177,BS$2,$BA177,$BB177)</f>
        <v>-</v>
      </c>
      <c r="BT177" s="79" t="str">
        <f>_xll.VAData($AZ177,BT$2,$BA177,$BB177)</f>
        <v>-</v>
      </c>
      <c r="BU177" s="79" t="str">
        <f>_xll.VAData($AZ177,BU$2,$BA177,$BB177)</f>
        <v>-</v>
      </c>
      <c r="BV177" s="79" t="str">
        <f>_xll.VAData($AZ177,BV$2,$BA177,$BB177)</f>
        <v>-</v>
      </c>
      <c r="BW177" s="79" t="str">
        <f>_xll.VAData($AZ177,BW$2,$BA177,$BB177)</f>
        <v>-</v>
      </c>
      <c r="BX177" s="79" t="str">
        <f>_xll.VAData($AZ177,BX$2,$BA177,$BB177)</f>
        <v>-</v>
      </c>
      <c r="BY177" s="79" t="str">
        <f>_xll.VAData($AZ177,BY$2,$BA177,$BB177)</f>
        <v>-</v>
      </c>
    </row>
    <row r="178" spans="2:77">
      <c r="B178" s="74"/>
      <c r="C178" s="72" t="s">
        <v>72</v>
      </c>
      <c r="D178" s="225" t="s">
        <v>1343</v>
      </c>
      <c r="E178" s="226" t="e">
        <f>HY!#REF!</f>
        <v>#REF!</v>
      </c>
      <c r="F178" s="226" t="e">
        <f>HY!#REF!</f>
        <v>#REF!</v>
      </c>
      <c r="G178" s="226" t="e">
        <f>HY!#REF!</f>
        <v>#REF!</v>
      </c>
      <c r="H178" s="226" t="e">
        <f>HY!#REF!</f>
        <v>#REF!</v>
      </c>
      <c r="I178" s="226" t="e">
        <f>HY!#REF!</f>
        <v>#REF!</v>
      </c>
      <c r="J178" s="226" t="e">
        <f>HY!#REF!</f>
        <v>#REF!</v>
      </c>
      <c r="K178" s="226" t="e">
        <f>HY!#REF!</f>
        <v>#REF!</v>
      </c>
      <c r="L178" s="226" t="e">
        <f>HY!#REF!</f>
        <v>#REF!</v>
      </c>
      <c r="M178" s="226" t="e">
        <f>HY!#REF!</f>
        <v>#REF!</v>
      </c>
      <c r="N178" s="226" t="e">
        <f>HY!#REF!</f>
        <v>#REF!</v>
      </c>
      <c r="O178" s="226" t="e">
        <f>HY!#REF!</f>
        <v>#REF!</v>
      </c>
      <c r="P178" s="226" t="e">
        <f>HY!#REF!</f>
        <v>#REF!</v>
      </c>
      <c r="Q178" s="226" t="e">
        <f>HY!#REF!</f>
        <v>#REF!</v>
      </c>
      <c r="R178" s="226" t="e">
        <f>HY!#REF!</f>
        <v>#REF!</v>
      </c>
      <c r="S178" s="226" t="e">
        <f>HY!#REF!</f>
        <v>#REF!</v>
      </c>
      <c r="T178" s="226" t="e">
        <f>HY!#REF!</f>
        <v>#REF!</v>
      </c>
      <c r="U178" s="226" t="e">
        <f>HY!#REF!</f>
        <v>#REF!</v>
      </c>
      <c r="V178" s="226" t="e">
        <f>HY!#REF!</f>
        <v>#REF!</v>
      </c>
      <c r="W178" s="226" t="e">
        <f>HY!#REF!</f>
        <v>#REF!</v>
      </c>
      <c r="X178" s="226" t="e">
        <f>HY!#REF!</f>
        <v>#REF!</v>
      </c>
      <c r="Y178" s="226" t="e">
        <f>HY!#REF!</f>
        <v>#REF!</v>
      </c>
      <c r="Z178" s="226" t="e">
        <f>HY!#REF!</f>
        <v>#REF!</v>
      </c>
      <c r="AA178" s="72"/>
      <c r="AB178" s="76"/>
      <c r="AC178" s="221"/>
      <c r="AD178" s="221"/>
      <c r="AE178" s="221"/>
      <c r="AF178" s="221"/>
      <c r="AG178" s="221"/>
      <c r="AH178" s="221"/>
      <c r="AI178" s="221"/>
      <c r="AJ178" s="221"/>
      <c r="AK178" s="221"/>
      <c r="AL178" s="221"/>
      <c r="AM178" s="221"/>
      <c r="AN178" s="221"/>
      <c r="AO178" s="221"/>
      <c r="AP178" s="221"/>
      <c r="AQ178" s="221"/>
      <c r="AR178" s="221"/>
      <c r="AS178" s="221"/>
      <c r="AT178" s="221"/>
      <c r="AU178" s="221"/>
      <c r="AV178" s="221"/>
      <c r="AW178" s="221"/>
      <c r="AX178" s="221"/>
      <c r="AY178" s="76"/>
      <c r="AZ178" s="77"/>
      <c r="BA178" s="77"/>
      <c r="BB178" s="78"/>
      <c r="BC178" s="76"/>
      <c r="BD178" s="221"/>
      <c r="BE178" s="221"/>
      <c r="BF178" s="221"/>
      <c r="BG178" s="221"/>
      <c r="BH178" s="221"/>
      <c r="BI178" s="221"/>
      <c r="BJ178" s="221"/>
      <c r="BK178" s="221"/>
      <c r="BL178" s="221"/>
      <c r="BM178" s="221"/>
      <c r="BN178" s="221"/>
      <c r="BO178" s="221"/>
      <c r="BP178" s="221"/>
      <c r="BQ178" s="221"/>
      <c r="BR178" s="221"/>
      <c r="BS178" s="221"/>
      <c r="BT178" s="221"/>
      <c r="BU178" s="221"/>
      <c r="BV178" s="221"/>
      <c r="BW178" s="221"/>
      <c r="BX178" s="221"/>
      <c r="BY178" s="221"/>
    </row>
    <row r="179" spans="2:77">
      <c r="B179" s="74"/>
      <c r="C179" s="81" t="s">
        <v>88</v>
      </c>
      <c r="D179" s="72" t="s">
        <v>1344</v>
      </c>
      <c r="E179" s="227" t="str">
        <f t="shared" ref="E179:Z179" si="76">IFERROR(ROUND(E177/E178-1,3),"")</f>
        <v/>
      </c>
      <c r="F179" s="227" t="str">
        <f t="shared" si="76"/>
        <v/>
      </c>
      <c r="G179" s="227" t="str">
        <f t="shared" si="76"/>
        <v/>
      </c>
      <c r="H179" s="227" t="str">
        <f t="shared" si="76"/>
        <v/>
      </c>
      <c r="I179" s="227" t="str">
        <f t="shared" si="76"/>
        <v/>
      </c>
      <c r="J179" s="227" t="str">
        <f t="shared" si="76"/>
        <v/>
      </c>
      <c r="K179" s="227" t="str">
        <f t="shared" si="76"/>
        <v/>
      </c>
      <c r="L179" s="227" t="str">
        <f t="shared" si="76"/>
        <v/>
      </c>
      <c r="M179" s="227" t="str">
        <f t="shared" si="76"/>
        <v/>
      </c>
      <c r="N179" s="227" t="str">
        <f t="shared" si="76"/>
        <v/>
      </c>
      <c r="O179" s="227" t="str">
        <f t="shared" si="76"/>
        <v/>
      </c>
      <c r="P179" s="227" t="str">
        <f t="shared" si="76"/>
        <v/>
      </c>
      <c r="Q179" s="227" t="str">
        <f t="shared" si="76"/>
        <v/>
      </c>
      <c r="R179" s="227" t="str">
        <f t="shared" si="76"/>
        <v/>
      </c>
      <c r="S179" s="227" t="str">
        <f t="shared" si="76"/>
        <v/>
      </c>
      <c r="T179" s="227" t="str">
        <f t="shared" si="76"/>
        <v/>
      </c>
      <c r="U179" s="227" t="str">
        <f t="shared" si="76"/>
        <v/>
      </c>
      <c r="V179" s="227" t="str">
        <f t="shared" si="76"/>
        <v/>
      </c>
      <c r="W179" s="227" t="str">
        <f t="shared" si="76"/>
        <v/>
      </c>
      <c r="X179" s="227" t="str">
        <f t="shared" si="76"/>
        <v/>
      </c>
      <c r="Y179" s="227" t="str">
        <f t="shared" si="76"/>
        <v/>
      </c>
      <c r="Z179" s="227" t="str">
        <f t="shared" si="76"/>
        <v/>
      </c>
      <c r="AA179" s="72"/>
      <c r="AB179" s="76"/>
      <c r="AC179" s="221"/>
      <c r="AD179" s="221"/>
      <c r="AE179" s="221"/>
      <c r="AF179" s="221"/>
      <c r="AG179" s="221"/>
      <c r="AH179" s="221"/>
      <c r="AI179" s="221"/>
      <c r="AJ179" s="221"/>
      <c r="AK179" s="221"/>
      <c r="AL179" s="221"/>
      <c r="AM179" s="221"/>
      <c r="AN179" s="221"/>
      <c r="AO179" s="221"/>
      <c r="AP179" s="221"/>
      <c r="AQ179" s="221"/>
      <c r="AR179" s="221"/>
      <c r="AS179" s="221"/>
      <c r="AT179" s="221"/>
      <c r="AU179" s="221"/>
      <c r="AV179" s="221"/>
      <c r="AW179" s="221"/>
      <c r="AX179" s="221"/>
      <c r="AY179" s="76"/>
      <c r="AZ179" s="77"/>
      <c r="BA179" s="77"/>
      <c r="BB179" s="78"/>
      <c r="BC179" s="76"/>
      <c r="BD179" s="221"/>
      <c r="BE179" s="221"/>
      <c r="BF179" s="221"/>
      <c r="BG179" s="221"/>
      <c r="BH179" s="221"/>
      <c r="BI179" s="221"/>
      <c r="BJ179" s="221"/>
      <c r="BK179" s="221"/>
      <c r="BL179" s="221"/>
      <c r="BM179" s="221"/>
      <c r="BN179" s="221"/>
      <c r="BO179" s="221"/>
      <c r="BP179" s="221"/>
      <c r="BQ179" s="221"/>
      <c r="BR179" s="221"/>
      <c r="BS179" s="221"/>
      <c r="BT179" s="221"/>
      <c r="BU179" s="221"/>
      <c r="BV179" s="221"/>
      <c r="BW179" s="221"/>
      <c r="BX179" s="221"/>
      <c r="BY179" s="221"/>
    </row>
    <row r="180" spans="2:77">
      <c r="B180" s="74"/>
      <c r="C180" s="81"/>
      <c r="D180" s="72"/>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c r="AA180" s="72"/>
      <c r="AB180" s="76"/>
      <c r="AC180" s="221"/>
      <c r="AD180" s="221"/>
      <c r="AE180" s="221"/>
      <c r="AF180" s="221"/>
      <c r="AG180" s="221"/>
      <c r="AH180" s="221"/>
      <c r="AI180" s="221"/>
      <c r="AJ180" s="221"/>
      <c r="AK180" s="221"/>
      <c r="AL180" s="221"/>
      <c r="AM180" s="221"/>
      <c r="AN180" s="221"/>
      <c r="AO180" s="221"/>
      <c r="AP180" s="221"/>
      <c r="AQ180" s="221"/>
      <c r="AR180" s="221"/>
      <c r="AS180" s="221"/>
      <c r="AT180" s="221"/>
      <c r="AU180" s="221"/>
      <c r="AV180" s="221"/>
      <c r="AW180" s="221"/>
      <c r="AX180" s="221"/>
      <c r="AY180" s="76"/>
      <c r="AZ180" s="77"/>
      <c r="BA180" s="77"/>
      <c r="BB180" s="78"/>
      <c r="BC180" s="76"/>
      <c r="BD180" s="221"/>
      <c r="BE180" s="221"/>
      <c r="BF180" s="221"/>
      <c r="BG180" s="221"/>
      <c r="BH180" s="221"/>
      <c r="BI180" s="221"/>
      <c r="BJ180" s="221"/>
      <c r="BK180" s="221"/>
      <c r="BL180" s="221"/>
      <c r="BM180" s="221"/>
      <c r="BN180" s="221"/>
      <c r="BO180" s="221"/>
      <c r="BP180" s="221"/>
      <c r="BQ180" s="221"/>
      <c r="BR180" s="221"/>
      <c r="BS180" s="221"/>
      <c r="BT180" s="221"/>
      <c r="BU180" s="221"/>
      <c r="BV180" s="221"/>
      <c r="BW180" s="221"/>
      <c r="BX180" s="221"/>
      <c r="BY180" s="221"/>
    </row>
    <row r="181" spans="2:77">
      <c r="B181" s="237" t="s">
        <v>1356</v>
      </c>
      <c r="C181" s="81"/>
      <c r="D181" s="72"/>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c r="AA181" s="72"/>
      <c r="AB181" s="76"/>
      <c r="AC181" s="221"/>
      <c r="AD181" s="221"/>
      <c r="AE181" s="221"/>
      <c r="AF181" s="221"/>
      <c r="AG181" s="221"/>
      <c r="AH181" s="221"/>
      <c r="AI181" s="221"/>
      <c r="AJ181" s="221"/>
      <c r="AK181" s="221"/>
      <c r="AL181" s="221"/>
      <c r="AM181" s="221"/>
      <c r="AN181" s="221"/>
      <c r="AO181" s="221"/>
      <c r="AP181" s="221"/>
      <c r="AQ181" s="221"/>
      <c r="AR181" s="221"/>
      <c r="AS181" s="221"/>
      <c r="AT181" s="221"/>
      <c r="AU181" s="221"/>
      <c r="AV181" s="221"/>
      <c r="AW181" s="221"/>
      <c r="AX181" s="221"/>
      <c r="AY181" s="76"/>
      <c r="AZ181" s="77"/>
      <c r="BA181" s="77"/>
      <c r="BB181" s="78"/>
      <c r="BC181" s="76"/>
      <c r="BD181" s="221"/>
      <c r="BE181" s="221"/>
      <c r="BF181" s="221"/>
      <c r="BG181" s="221"/>
      <c r="BH181" s="221"/>
      <c r="BI181" s="221"/>
      <c r="BJ181" s="221"/>
      <c r="BK181" s="221"/>
      <c r="BL181" s="221"/>
      <c r="BM181" s="221"/>
      <c r="BN181" s="221"/>
      <c r="BO181" s="221"/>
      <c r="BP181" s="221"/>
      <c r="BQ181" s="221"/>
      <c r="BR181" s="221"/>
      <c r="BS181" s="221"/>
      <c r="BT181" s="221"/>
      <c r="BU181" s="221"/>
      <c r="BV181" s="221"/>
      <c r="BW181" s="221"/>
      <c r="BX181" s="221"/>
      <c r="BY181" s="221"/>
    </row>
    <row r="182" spans="2:77">
      <c r="B182" s="74"/>
      <c r="C182" s="81"/>
      <c r="D182" s="72"/>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c r="AA182" s="72"/>
      <c r="AB182" s="76"/>
      <c r="AC182" s="221"/>
      <c r="AD182" s="221"/>
      <c r="AE182" s="221"/>
      <c r="AF182" s="221"/>
      <c r="AG182" s="221"/>
      <c r="AH182" s="221"/>
      <c r="AI182" s="221"/>
      <c r="AJ182" s="221"/>
      <c r="AK182" s="221"/>
      <c r="AL182" s="221"/>
      <c r="AM182" s="221"/>
      <c r="AN182" s="221"/>
      <c r="AO182" s="221"/>
      <c r="AP182" s="221"/>
      <c r="AQ182" s="221"/>
      <c r="AR182" s="221"/>
      <c r="AS182" s="221"/>
      <c r="AT182" s="221"/>
      <c r="AU182" s="221"/>
      <c r="AV182" s="221"/>
      <c r="AW182" s="221"/>
      <c r="AX182" s="221"/>
      <c r="AY182" s="76"/>
      <c r="AZ182" s="77"/>
      <c r="BA182" s="77"/>
      <c r="BB182" s="78"/>
      <c r="BC182" s="76"/>
      <c r="BD182" s="221"/>
      <c r="BE182" s="221"/>
      <c r="BF182" s="221"/>
      <c r="BG182" s="221"/>
      <c r="BH182" s="221"/>
      <c r="BI182" s="221"/>
      <c r="BJ182" s="221"/>
      <c r="BK182" s="221"/>
      <c r="BL182" s="221"/>
      <c r="BM182" s="221"/>
      <c r="BN182" s="221"/>
      <c r="BO182" s="221"/>
      <c r="BP182" s="221"/>
      <c r="BQ182" s="221"/>
      <c r="BR182" s="221"/>
      <c r="BS182" s="221"/>
      <c r="BT182" s="221"/>
      <c r="BU182" s="221"/>
      <c r="BV182" s="221"/>
      <c r="BW182" s="221"/>
      <c r="BX182" s="221"/>
      <c r="BY182" s="221"/>
    </row>
    <row r="183" spans="2:77">
      <c r="B183" s="74" t="str">
        <f>BA183</f>
        <v>Total revenue - Table - Queenstown</v>
      </c>
      <c r="C183" s="72" t="s">
        <v>72</v>
      </c>
      <c r="D183" s="224" t="s">
        <v>1342</v>
      </c>
      <c r="E183" s="223">
        <f t="shared" ref="E183:Z183" si="77">AC183</f>
        <v>2.2999999999999998</v>
      </c>
      <c r="F183" s="223">
        <f t="shared" si="77"/>
        <v>2.4979184000000001</v>
      </c>
      <c r="G183" s="223">
        <f t="shared" si="77"/>
        <v>2.4</v>
      </c>
      <c r="H183" s="223">
        <f t="shared" si="77"/>
        <v>2.2625649280000002</v>
      </c>
      <c r="I183" s="223">
        <f t="shared" si="77"/>
        <v>2.7</v>
      </c>
      <c r="J183" s="223">
        <f t="shared" si="77"/>
        <v>1.1000000000000001</v>
      </c>
      <c r="K183" s="223">
        <f t="shared" si="77"/>
        <v>1</v>
      </c>
      <c r="L183" s="223">
        <f t="shared" si="77"/>
        <v>1.290193451008</v>
      </c>
      <c r="M183" s="223">
        <f t="shared" si="77"/>
        <v>1</v>
      </c>
      <c r="N183" s="223">
        <f t="shared" si="77"/>
        <v>0.9</v>
      </c>
      <c r="O183" s="223">
        <f t="shared" si="77"/>
        <v>1.4</v>
      </c>
      <c r="P183" s="223">
        <f t="shared" si="77"/>
        <v>1.6</v>
      </c>
      <c r="Q183" s="223">
        <f t="shared" si="77"/>
        <v>1.472217265948135</v>
      </c>
      <c r="R183" s="223">
        <f t="shared" si="77"/>
        <v>1.624122513057392</v>
      </c>
      <c r="S183" s="223">
        <f t="shared" si="77"/>
        <v>1.497206548403047</v>
      </c>
      <c r="T183" s="223">
        <f t="shared" si="77"/>
        <v>1.6551810050084099</v>
      </c>
      <c r="U183" s="223">
        <f t="shared" si="77"/>
        <v>1.575298466398193</v>
      </c>
      <c r="V183" s="223">
        <f t="shared" si="77"/>
        <v>1.7183564526073269</v>
      </c>
      <c r="W183" s="223">
        <f t="shared" si="77"/>
        <v>1.619797164075587</v>
      </c>
      <c r="X183" s="223">
        <f t="shared" si="77"/>
        <v>1.7665389399941629</v>
      </c>
      <c r="Y183" s="223">
        <f t="shared" si="77"/>
        <v>1.665045095725413</v>
      </c>
      <c r="Z183" s="223">
        <f t="shared" si="77"/>
        <v>1.818847859065247</v>
      </c>
      <c r="AA183" s="72"/>
      <c r="AB183" s="76"/>
      <c r="AC183" s="222">
        <v>2.2999999999999998</v>
      </c>
      <c r="AD183" s="222">
        <v>2.4979184000000001</v>
      </c>
      <c r="AE183" s="222">
        <v>2.4</v>
      </c>
      <c r="AF183" s="222">
        <v>2.2625649280000002</v>
      </c>
      <c r="AG183" s="222">
        <v>2.7</v>
      </c>
      <c r="AH183" s="222">
        <v>1.1000000000000001</v>
      </c>
      <c r="AI183" s="222">
        <v>1</v>
      </c>
      <c r="AJ183" s="222">
        <v>1.290193451008</v>
      </c>
      <c r="AK183" s="222">
        <v>1</v>
      </c>
      <c r="AL183" s="222">
        <v>0.9</v>
      </c>
      <c r="AM183" s="222">
        <v>1.4</v>
      </c>
      <c r="AN183" s="222">
        <v>1.6</v>
      </c>
      <c r="AO183" s="222">
        <v>1.472217265948135</v>
      </c>
      <c r="AP183" s="222">
        <v>1.624122513057392</v>
      </c>
      <c r="AQ183" s="222">
        <v>1.497206548403047</v>
      </c>
      <c r="AR183" s="222">
        <v>1.6551810050084099</v>
      </c>
      <c r="AS183" s="222">
        <v>1.575298466398193</v>
      </c>
      <c r="AT183" s="222">
        <v>1.7183564526073269</v>
      </c>
      <c r="AU183" s="222">
        <v>1.619797164075587</v>
      </c>
      <c r="AV183" s="222">
        <v>1.7665389399941629</v>
      </c>
      <c r="AW183" s="222">
        <v>1.665045095725413</v>
      </c>
      <c r="AX183" s="222">
        <v>1.818847859065247</v>
      </c>
      <c r="AY183" s="76"/>
      <c r="AZ183" s="77" t="s">
        <v>1259</v>
      </c>
      <c r="BA183" s="77" t="s">
        <v>1374</v>
      </c>
      <c r="BB183" s="78" t="s">
        <v>1261</v>
      </c>
      <c r="BC183" s="76"/>
      <c r="BD183" s="79">
        <f>_xll.VAData($AZ183,BD$2,$BA183,$BB183)</f>
        <v>2.3080799999999999</v>
      </c>
      <c r="BE183" s="79">
        <f>_xll.VAData($AZ183,BE$2,$BA183,$BB183)</f>
        <v>2.4797959999999999</v>
      </c>
      <c r="BF183" s="79">
        <f>_xll.VAData($AZ183,BF$2,$BA183,$BB183)</f>
        <v>2.40787744</v>
      </c>
      <c r="BG183" s="79">
        <f>_xll.VAData($AZ183,BG$2,$BA183,$BB183)</f>
        <v>2.2814123199999998</v>
      </c>
      <c r="BH183" s="79">
        <f>_xll.VAData($AZ183,BH$2,$BA183,$BB183)</f>
        <v>2.7028227328000001</v>
      </c>
      <c r="BI183" s="79">
        <f>_xll.VAData($AZ183,BI$2,$BA183,$BB183)</f>
        <v>1.0971772672</v>
      </c>
      <c r="BJ183" s="79">
        <f>_xll.VAData($AZ183,BJ$2,$BA183,$BB183)</f>
        <v>1.0181311066623999</v>
      </c>
      <c r="BK183" s="79">
        <f>_xll.VAData($AZ183,BK$2,$BA183,$BB183)</f>
        <v>1.4754836275200001</v>
      </c>
      <c r="BL183" s="79">
        <f>_xll.VAData($AZ183,BL$2,$BA183,$BB183)</f>
        <v>1</v>
      </c>
      <c r="BM183" s="79">
        <f>_xll.VAData($AZ183,BM$2,$BA183,$BB183)</f>
        <v>0.9</v>
      </c>
      <c r="BN183" s="79">
        <f>_xll.VAData($AZ183,BN$2,$BA183,$BB183)</f>
        <v>1.4</v>
      </c>
      <c r="BO183" s="79">
        <f>_xll.VAData($AZ183,BO$2,$BA183,$BB183)</f>
        <v>0.5</v>
      </c>
      <c r="BP183" s="79">
        <f>_xll.VAData($AZ183,BP$2,$BA183,$BB183)</f>
        <v>2.2000000000000002</v>
      </c>
      <c r="BQ183" s="79">
        <f>_xll.VAData($AZ183,BQ$2,$BA183,$BB183)</f>
        <v>2.4</v>
      </c>
      <c r="BR183" s="79">
        <f>_xll.VAData($AZ183,BR$2,$BA183,$BB183)</f>
        <v>2.2400000000000002</v>
      </c>
      <c r="BS183" s="79">
        <f>_xll.VAData($AZ183,BS$2,$BA183,$BB183)</f>
        <v>2.4</v>
      </c>
      <c r="BT183" s="79">
        <f>_xll.VAData($AZ183,BT$2,$BA183,$BB183)</f>
        <v>2.1951999999999998</v>
      </c>
      <c r="BU183" s="79">
        <f>_xll.VAData($AZ183,BU$2,$BA183,$BB183)</f>
        <v>2.448</v>
      </c>
      <c r="BV183" s="79">
        <f>_xll.VAData($AZ183,BV$2,$BA183,$BB183)</f>
        <v>2.2500800000000001</v>
      </c>
      <c r="BW183" s="79">
        <f>_xll.VAData($AZ183,BW$2,$BA183,$BB183)</f>
        <v>2.5091999999999999</v>
      </c>
      <c r="BX183" s="79">
        <f>_xll.VAData($AZ183,BX$2,$BA183,$BB183)</f>
        <v>2.3063319999999998</v>
      </c>
      <c r="BY183" s="79">
        <f>_xll.VAData($AZ183,BY$2,$BA183,$BB183)</f>
        <v>2.57193</v>
      </c>
    </row>
    <row r="184" spans="2:77">
      <c r="B184" s="74"/>
      <c r="C184" s="72" t="s">
        <v>72</v>
      </c>
      <c r="D184" s="225" t="s">
        <v>1343</v>
      </c>
      <c r="E184" s="226" t="e">
        <f>HY!#REF!</f>
        <v>#REF!</v>
      </c>
      <c r="F184" s="226" t="e">
        <f>HY!#REF!</f>
        <v>#REF!</v>
      </c>
      <c r="G184" s="226" t="e">
        <f>HY!#REF!</f>
        <v>#REF!</v>
      </c>
      <c r="H184" s="226" t="e">
        <f>HY!#REF!</f>
        <v>#REF!</v>
      </c>
      <c r="I184" s="226" t="e">
        <f>HY!#REF!</f>
        <v>#REF!</v>
      </c>
      <c r="J184" s="226" t="e">
        <f>HY!#REF!</f>
        <v>#REF!</v>
      </c>
      <c r="K184" s="226" t="e">
        <f>HY!#REF!</f>
        <v>#REF!</v>
      </c>
      <c r="L184" s="226" t="e">
        <f>HY!#REF!</f>
        <v>#REF!</v>
      </c>
      <c r="M184" s="226" t="e">
        <f>HY!#REF!</f>
        <v>#REF!</v>
      </c>
      <c r="N184" s="226" t="e">
        <f>HY!#REF!</f>
        <v>#REF!</v>
      </c>
      <c r="O184" s="226" t="e">
        <f>HY!#REF!</f>
        <v>#REF!</v>
      </c>
      <c r="P184" s="226" t="e">
        <f>HY!#REF!</f>
        <v>#REF!</v>
      </c>
      <c r="Q184" s="226" t="e">
        <f>HY!#REF!</f>
        <v>#REF!</v>
      </c>
      <c r="R184" s="226" t="e">
        <f>HY!#REF!</f>
        <v>#REF!</v>
      </c>
      <c r="S184" s="226" t="e">
        <f>HY!#REF!</f>
        <v>#REF!</v>
      </c>
      <c r="T184" s="226" t="e">
        <f>HY!#REF!</f>
        <v>#REF!</v>
      </c>
      <c r="U184" s="226" t="e">
        <f>HY!#REF!</f>
        <v>#REF!</v>
      </c>
      <c r="V184" s="226" t="e">
        <f>HY!#REF!</f>
        <v>#REF!</v>
      </c>
      <c r="W184" s="226" t="e">
        <f>HY!#REF!</f>
        <v>#REF!</v>
      </c>
      <c r="X184" s="226" t="e">
        <f>HY!#REF!</f>
        <v>#REF!</v>
      </c>
      <c r="Y184" s="226" t="e">
        <f>HY!#REF!</f>
        <v>#REF!</v>
      </c>
      <c r="Z184" s="226" t="e">
        <f>HY!#REF!</f>
        <v>#REF!</v>
      </c>
      <c r="AA184" s="72"/>
      <c r="AB184" s="76"/>
      <c r="AC184" s="221"/>
      <c r="AD184" s="221"/>
      <c r="AE184" s="221"/>
      <c r="AF184" s="221"/>
      <c r="AG184" s="221"/>
      <c r="AH184" s="221"/>
      <c r="AI184" s="221"/>
      <c r="AJ184" s="221"/>
      <c r="AK184" s="221"/>
      <c r="AL184" s="221"/>
      <c r="AM184" s="221"/>
      <c r="AN184" s="221"/>
      <c r="AO184" s="221"/>
      <c r="AP184" s="221"/>
      <c r="AQ184" s="221"/>
      <c r="AR184" s="221"/>
      <c r="AS184" s="221"/>
      <c r="AT184" s="221"/>
      <c r="AU184" s="221"/>
      <c r="AV184" s="221"/>
      <c r="AW184" s="221"/>
      <c r="AX184" s="221"/>
      <c r="AY184" s="76"/>
      <c r="AZ184" s="77"/>
      <c r="BA184" s="77"/>
      <c r="BB184" s="78"/>
      <c r="BC184" s="76"/>
      <c r="BD184" s="221"/>
      <c r="BE184" s="221"/>
      <c r="BF184" s="221"/>
      <c r="BG184" s="221"/>
      <c r="BH184" s="221"/>
      <c r="BI184" s="221"/>
      <c r="BJ184" s="221"/>
      <c r="BK184" s="221"/>
      <c r="BL184" s="221"/>
      <c r="BM184" s="221"/>
      <c r="BN184" s="221"/>
      <c r="BO184" s="221"/>
      <c r="BP184" s="221"/>
      <c r="BQ184" s="221"/>
      <c r="BR184" s="221"/>
      <c r="BS184" s="221"/>
      <c r="BT184" s="221"/>
      <c r="BU184" s="221"/>
      <c r="BV184" s="221"/>
      <c r="BW184" s="221"/>
      <c r="BX184" s="221"/>
      <c r="BY184" s="221"/>
    </row>
    <row r="185" spans="2:77">
      <c r="B185" s="74"/>
      <c r="C185" s="81" t="s">
        <v>88</v>
      </c>
      <c r="D185" s="72" t="s">
        <v>1344</v>
      </c>
      <c r="E185" s="227" t="str">
        <f t="shared" ref="E185:Z185" si="78">IFERROR(ROUND(E183/E184-1,3),"")</f>
        <v/>
      </c>
      <c r="F185" s="227" t="str">
        <f t="shared" si="78"/>
        <v/>
      </c>
      <c r="G185" s="227" t="str">
        <f t="shared" si="78"/>
        <v/>
      </c>
      <c r="H185" s="227" t="str">
        <f t="shared" si="78"/>
        <v/>
      </c>
      <c r="I185" s="227" t="str">
        <f t="shared" si="78"/>
        <v/>
      </c>
      <c r="J185" s="227" t="str">
        <f t="shared" si="78"/>
        <v/>
      </c>
      <c r="K185" s="227" t="str">
        <f t="shared" si="78"/>
        <v/>
      </c>
      <c r="L185" s="227" t="str">
        <f t="shared" si="78"/>
        <v/>
      </c>
      <c r="M185" s="227" t="str">
        <f t="shared" si="78"/>
        <v/>
      </c>
      <c r="N185" s="227" t="str">
        <f t="shared" si="78"/>
        <v/>
      </c>
      <c r="O185" s="227" t="str">
        <f t="shared" si="78"/>
        <v/>
      </c>
      <c r="P185" s="227" t="str">
        <f t="shared" si="78"/>
        <v/>
      </c>
      <c r="Q185" s="227" t="str">
        <f t="shared" si="78"/>
        <v/>
      </c>
      <c r="R185" s="227" t="str">
        <f t="shared" si="78"/>
        <v/>
      </c>
      <c r="S185" s="227" t="str">
        <f t="shared" si="78"/>
        <v/>
      </c>
      <c r="T185" s="227" t="str">
        <f t="shared" si="78"/>
        <v/>
      </c>
      <c r="U185" s="227" t="str">
        <f t="shared" si="78"/>
        <v/>
      </c>
      <c r="V185" s="227" t="str">
        <f t="shared" si="78"/>
        <v/>
      </c>
      <c r="W185" s="227" t="str">
        <f t="shared" si="78"/>
        <v/>
      </c>
      <c r="X185" s="227" t="str">
        <f t="shared" si="78"/>
        <v/>
      </c>
      <c r="Y185" s="227" t="str">
        <f t="shared" si="78"/>
        <v/>
      </c>
      <c r="Z185" s="227" t="str">
        <f t="shared" si="78"/>
        <v/>
      </c>
      <c r="AA185" s="72"/>
      <c r="AB185" s="76"/>
      <c r="AC185" s="221"/>
      <c r="AD185" s="221"/>
      <c r="AE185" s="221"/>
      <c r="AF185" s="221"/>
      <c r="AG185" s="221"/>
      <c r="AH185" s="221"/>
      <c r="AI185" s="221"/>
      <c r="AJ185" s="221"/>
      <c r="AK185" s="221"/>
      <c r="AL185" s="221"/>
      <c r="AM185" s="221"/>
      <c r="AN185" s="221"/>
      <c r="AO185" s="221"/>
      <c r="AP185" s="221"/>
      <c r="AQ185" s="221"/>
      <c r="AR185" s="221"/>
      <c r="AS185" s="221"/>
      <c r="AT185" s="221"/>
      <c r="AU185" s="221"/>
      <c r="AV185" s="221"/>
      <c r="AW185" s="221"/>
      <c r="AX185" s="221"/>
      <c r="AY185" s="76"/>
      <c r="AZ185" s="77"/>
      <c r="BA185" s="77"/>
      <c r="BB185" s="78"/>
      <c r="BC185" s="76"/>
      <c r="BD185" s="221"/>
      <c r="BE185" s="221"/>
      <c r="BF185" s="221"/>
      <c r="BG185" s="221"/>
      <c r="BH185" s="221"/>
      <c r="BI185" s="221"/>
      <c r="BJ185" s="221"/>
      <c r="BK185" s="221"/>
      <c r="BL185" s="221"/>
      <c r="BM185" s="221"/>
      <c r="BN185" s="221"/>
      <c r="BO185" s="221"/>
      <c r="BP185" s="221"/>
      <c r="BQ185" s="221"/>
      <c r="BR185" s="221"/>
      <c r="BS185" s="221"/>
      <c r="BT185" s="221"/>
      <c r="BU185" s="221"/>
      <c r="BV185" s="221"/>
      <c r="BW185" s="221"/>
      <c r="BX185" s="221"/>
      <c r="BY185" s="221"/>
    </row>
    <row r="186" spans="2:77">
      <c r="B186" s="74"/>
      <c r="C186" s="72"/>
      <c r="D186" s="72"/>
      <c r="E186" s="75"/>
      <c r="F186" s="75"/>
      <c r="G186" s="75"/>
      <c r="H186" s="75"/>
      <c r="I186" s="75"/>
      <c r="J186" s="75"/>
      <c r="K186" s="75"/>
      <c r="L186" s="75"/>
      <c r="M186" s="75"/>
      <c r="N186" s="75"/>
      <c r="O186" s="75"/>
      <c r="P186" s="75"/>
      <c r="Q186" s="75"/>
      <c r="R186" s="75"/>
      <c r="S186" s="75"/>
      <c r="T186" s="75"/>
      <c r="U186" s="75"/>
      <c r="V186" s="75"/>
      <c r="W186" s="75"/>
      <c r="X186" s="75"/>
      <c r="Y186" s="75"/>
      <c r="Z186" s="75"/>
      <c r="AA186" s="72"/>
      <c r="AB186" s="76"/>
      <c r="AC186" s="221"/>
      <c r="AD186" s="221"/>
      <c r="AE186" s="221"/>
      <c r="AF186" s="221"/>
      <c r="AG186" s="221"/>
      <c r="AH186" s="221"/>
      <c r="AI186" s="221"/>
      <c r="AJ186" s="221"/>
      <c r="AK186" s="221"/>
      <c r="AL186" s="221"/>
      <c r="AM186" s="221"/>
      <c r="AN186" s="221"/>
      <c r="AO186" s="221"/>
      <c r="AP186" s="221"/>
      <c r="AQ186" s="221"/>
      <c r="AR186" s="221"/>
      <c r="AS186" s="221"/>
      <c r="AT186" s="221"/>
      <c r="AU186" s="221"/>
      <c r="AV186" s="221"/>
      <c r="AW186" s="221"/>
      <c r="AX186" s="221"/>
      <c r="AY186" s="76"/>
      <c r="AZ186" s="77"/>
      <c r="BA186" s="77"/>
      <c r="BB186" s="78"/>
      <c r="BC186" s="76"/>
      <c r="BD186" s="221"/>
      <c r="BE186" s="221"/>
      <c r="BF186" s="221"/>
      <c r="BG186" s="221"/>
      <c r="BH186" s="221"/>
      <c r="BI186" s="221"/>
      <c r="BJ186" s="221"/>
      <c r="BK186" s="221"/>
      <c r="BL186" s="221"/>
      <c r="BM186" s="221"/>
      <c r="BN186" s="221"/>
      <c r="BO186" s="221"/>
      <c r="BP186" s="221"/>
      <c r="BQ186" s="221"/>
      <c r="BR186" s="221"/>
      <c r="BS186" s="221"/>
      <c r="BT186" s="221"/>
      <c r="BU186" s="221"/>
      <c r="BV186" s="221"/>
      <c r="BW186" s="221"/>
      <c r="BX186" s="221"/>
      <c r="BY186" s="221"/>
    </row>
    <row r="187" spans="2:77">
      <c r="B187" s="74" t="str">
        <f>BA187</f>
        <v>Number of tables - Queenstown</v>
      </c>
      <c r="C187" s="72" t="s">
        <v>72</v>
      </c>
      <c r="D187" s="224" t="s">
        <v>1342</v>
      </c>
      <c r="E187" s="223">
        <f t="shared" ref="E187:Z187" si="79">AC187</f>
        <v>18</v>
      </c>
      <c r="F187" s="223">
        <f t="shared" si="79"/>
        <v>18</v>
      </c>
      <c r="G187" s="223">
        <f t="shared" si="79"/>
        <v>18</v>
      </c>
      <c r="H187" s="223">
        <f t="shared" si="79"/>
        <v>18</v>
      </c>
      <c r="I187" s="223">
        <f t="shared" si="79"/>
        <v>18</v>
      </c>
      <c r="J187" s="223">
        <f t="shared" si="79"/>
        <v>18</v>
      </c>
      <c r="K187" s="223">
        <f t="shared" si="79"/>
        <v>18</v>
      </c>
      <c r="L187" s="223">
        <f t="shared" si="79"/>
        <v>18</v>
      </c>
      <c r="M187" s="223">
        <f t="shared" si="79"/>
        <v>18</v>
      </c>
      <c r="N187" s="223">
        <f t="shared" si="79"/>
        <v>18</v>
      </c>
      <c r="O187" s="223">
        <f t="shared" si="79"/>
        <v>18</v>
      </c>
      <c r="P187" s="223">
        <f t="shared" si="79"/>
        <v>18</v>
      </c>
      <c r="Q187" s="223">
        <f t="shared" si="79"/>
        <v>18</v>
      </c>
      <c r="R187" s="223">
        <f t="shared" si="79"/>
        <v>18</v>
      </c>
      <c r="S187" s="223">
        <f t="shared" si="79"/>
        <v>18</v>
      </c>
      <c r="T187" s="223">
        <f t="shared" si="79"/>
        <v>18</v>
      </c>
      <c r="U187" s="223">
        <f t="shared" si="79"/>
        <v>18</v>
      </c>
      <c r="V187" s="223">
        <f t="shared" si="79"/>
        <v>18</v>
      </c>
      <c r="W187" s="223">
        <f t="shared" si="79"/>
        <v>18</v>
      </c>
      <c r="X187" s="223">
        <f t="shared" si="79"/>
        <v>18</v>
      </c>
      <c r="Y187" s="223">
        <f t="shared" si="79"/>
        <v>18</v>
      </c>
      <c r="Z187" s="223">
        <f t="shared" si="79"/>
        <v>18</v>
      </c>
      <c r="AA187" s="72"/>
      <c r="AB187" s="76"/>
      <c r="AC187" s="222">
        <v>18</v>
      </c>
      <c r="AD187" s="222">
        <v>18</v>
      </c>
      <c r="AE187" s="222">
        <v>18</v>
      </c>
      <c r="AF187" s="222">
        <v>18</v>
      </c>
      <c r="AG187" s="222">
        <v>18</v>
      </c>
      <c r="AH187" s="222">
        <v>18</v>
      </c>
      <c r="AI187" s="222">
        <v>18</v>
      </c>
      <c r="AJ187" s="222">
        <v>18</v>
      </c>
      <c r="AK187" s="222">
        <v>18</v>
      </c>
      <c r="AL187" s="222">
        <v>18</v>
      </c>
      <c r="AM187" s="222">
        <v>18</v>
      </c>
      <c r="AN187" s="222">
        <v>18</v>
      </c>
      <c r="AO187" s="222">
        <v>18</v>
      </c>
      <c r="AP187" s="222">
        <v>18</v>
      </c>
      <c r="AQ187" s="222">
        <v>18</v>
      </c>
      <c r="AR187" s="222">
        <v>18</v>
      </c>
      <c r="AS187" s="222">
        <v>18</v>
      </c>
      <c r="AT187" s="222">
        <v>18</v>
      </c>
      <c r="AU187" s="222">
        <v>18</v>
      </c>
      <c r="AV187" s="222">
        <v>18</v>
      </c>
      <c r="AW187" s="222">
        <v>18</v>
      </c>
      <c r="AX187" s="222">
        <v>18</v>
      </c>
      <c r="AY187" s="76"/>
      <c r="AZ187" s="77" t="s">
        <v>1259</v>
      </c>
      <c r="BA187" s="77" t="s">
        <v>1375</v>
      </c>
      <c r="BB187" s="78" t="s">
        <v>1261</v>
      </c>
      <c r="BC187" s="76"/>
      <c r="BD187" s="79" t="str">
        <f>_xll.VAData($AZ187,BD$2,$BA187,$BB187)</f>
        <v>-</v>
      </c>
      <c r="BE187" s="79" t="str">
        <f>_xll.VAData($AZ187,BE$2,$BA187,$BB187)</f>
        <v>-</v>
      </c>
      <c r="BF187" s="79" t="str">
        <f>_xll.VAData($AZ187,BF$2,$BA187,$BB187)</f>
        <v>-</v>
      </c>
      <c r="BG187" s="79" t="str">
        <f>_xll.VAData($AZ187,BG$2,$BA187,$BB187)</f>
        <v>-</v>
      </c>
      <c r="BH187" s="79" t="str">
        <f>_xll.VAData($AZ187,BH$2,$BA187,$BB187)</f>
        <v>-</v>
      </c>
      <c r="BI187" s="79" t="str">
        <f>_xll.VAData($AZ187,BI$2,$BA187,$BB187)</f>
        <v>-</v>
      </c>
      <c r="BJ187" s="79" t="str">
        <f>_xll.VAData($AZ187,BJ$2,$BA187,$BB187)</f>
        <v>-</v>
      </c>
      <c r="BK187" s="79" t="str">
        <f>_xll.VAData($AZ187,BK$2,$BA187,$BB187)</f>
        <v>-</v>
      </c>
      <c r="BL187" s="79" t="str">
        <f>_xll.VAData($AZ187,BL$2,$BA187,$BB187)</f>
        <v>-</v>
      </c>
      <c r="BM187" s="79" t="str">
        <f>_xll.VAData($AZ187,BM$2,$BA187,$BB187)</f>
        <v>-</v>
      </c>
      <c r="BN187" s="79" t="str">
        <f>_xll.VAData($AZ187,BN$2,$BA187,$BB187)</f>
        <v>-</v>
      </c>
      <c r="BO187" s="79" t="str">
        <f>_xll.VAData($AZ187,BO$2,$BA187,$BB187)</f>
        <v>-</v>
      </c>
      <c r="BP187" s="79" t="str">
        <f>_xll.VAData($AZ187,BP$2,$BA187,$BB187)</f>
        <v>-</v>
      </c>
      <c r="BQ187" s="79" t="str">
        <f>_xll.VAData($AZ187,BQ$2,$BA187,$BB187)</f>
        <v>-</v>
      </c>
      <c r="BR187" s="79" t="str">
        <f>_xll.VAData($AZ187,BR$2,$BA187,$BB187)</f>
        <v>-</v>
      </c>
      <c r="BS187" s="79" t="str">
        <f>_xll.VAData($AZ187,BS$2,$BA187,$BB187)</f>
        <v>-</v>
      </c>
      <c r="BT187" s="79" t="str">
        <f>_xll.VAData($AZ187,BT$2,$BA187,$BB187)</f>
        <v>-</v>
      </c>
      <c r="BU187" s="79" t="str">
        <f>_xll.VAData($AZ187,BU$2,$BA187,$BB187)</f>
        <v>-</v>
      </c>
      <c r="BV187" s="79" t="str">
        <f>_xll.VAData($AZ187,BV$2,$BA187,$BB187)</f>
        <v>-</v>
      </c>
      <c r="BW187" s="79" t="str">
        <f>_xll.VAData($AZ187,BW$2,$BA187,$BB187)</f>
        <v>-</v>
      </c>
      <c r="BX187" s="79" t="str">
        <f>_xll.VAData($AZ187,BX$2,$BA187,$BB187)</f>
        <v>-</v>
      </c>
      <c r="BY187" s="79" t="str">
        <f>_xll.VAData($AZ187,BY$2,$BA187,$BB187)</f>
        <v>-</v>
      </c>
    </row>
    <row r="188" spans="2:77">
      <c r="B188" s="59"/>
      <c r="C188" s="72" t="s">
        <v>72</v>
      </c>
      <c r="D188" s="225" t="s">
        <v>1343</v>
      </c>
      <c r="E188" s="226" t="e">
        <f>HY!#REF!</f>
        <v>#REF!</v>
      </c>
      <c r="F188" s="226" t="e">
        <f>HY!#REF!</f>
        <v>#REF!</v>
      </c>
      <c r="G188" s="226" t="e">
        <f>HY!#REF!</f>
        <v>#REF!</v>
      </c>
      <c r="H188" s="226" t="e">
        <f>HY!#REF!</f>
        <v>#REF!</v>
      </c>
      <c r="I188" s="226" t="e">
        <f>HY!#REF!</f>
        <v>#REF!</v>
      </c>
      <c r="J188" s="226" t="e">
        <f>HY!#REF!</f>
        <v>#REF!</v>
      </c>
      <c r="K188" s="226" t="e">
        <f>HY!#REF!</f>
        <v>#REF!</v>
      </c>
      <c r="L188" s="226" t="e">
        <f>HY!#REF!</f>
        <v>#REF!</v>
      </c>
      <c r="M188" s="226" t="e">
        <f>HY!#REF!</f>
        <v>#REF!</v>
      </c>
      <c r="N188" s="226" t="e">
        <f>HY!#REF!</f>
        <v>#REF!</v>
      </c>
      <c r="O188" s="226" t="e">
        <f>HY!#REF!</f>
        <v>#REF!</v>
      </c>
      <c r="P188" s="226" t="e">
        <f>HY!#REF!</f>
        <v>#REF!</v>
      </c>
      <c r="Q188" s="226" t="e">
        <f>HY!#REF!</f>
        <v>#REF!</v>
      </c>
      <c r="R188" s="226" t="e">
        <f>HY!#REF!</f>
        <v>#REF!</v>
      </c>
      <c r="S188" s="226" t="e">
        <f>HY!#REF!</f>
        <v>#REF!</v>
      </c>
      <c r="T188" s="226" t="e">
        <f>HY!#REF!</f>
        <v>#REF!</v>
      </c>
      <c r="U188" s="226" t="e">
        <f>HY!#REF!</f>
        <v>#REF!</v>
      </c>
      <c r="V188" s="226" t="e">
        <f>HY!#REF!</f>
        <v>#REF!</v>
      </c>
      <c r="W188" s="226" t="e">
        <f>HY!#REF!</f>
        <v>#REF!</v>
      </c>
      <c r="X188" s="226" t="e">
        <f>HY!#REF!</f>
        <v>#REF!</v>
      </c>
      <c r="Y188" s="226" t="e">
        <f>HY!#REF!</f>
        <v>#REF!</v>
      </c>
      <c r="Z188" s="226" t="e">
        <f>HY!#REF!</f>
        <v>#REF!</v>
      </c>
      <c r="AA188" s="72"/>
      <c r="AB188" s="76"/>
      <c r="AC188" s="221"/>
      <c r="AD188" s="221"/>
      <c r="AE188" s="221"/>
      <c r="AF188" s="221"/>
      <c r="AG188" s="221"/>
      <c r="AH188" s="221"/>
      <c r="AI188" s="221"/>
      <c r="AJ188" s="221"/>
      <c r="AK188" s="221"/>
      <c r="AL188" s="221"/>
      <c r="AM188" s="221"/>
      <c r="AN188" s="221"/>
      <c r="AO188" s="221"/>
      <c r="AP188" s="221"/>
      <c r="AQ188" s="221"/>
      <c r="AR188" s="221"/>
      <c r="AS188" s="221"/>
      <c r="AT188" s="221"/>
      <c r="AU188" s="221"/>
      <c r="AV188" s="221"/>
      <c r="AW188" s="221"/>
      <c r="AX188" s="221"/>
      <c r="AY188" s="76"/>
      <c r="AZ188" s="77"/>
      <c r="BA188" s="77"/>
      <c r="BB188" s="78"/>
      <c r="BC188" s="76"/>
      <c r="BD188" s="221"/>
      <c r="BE188" s="221"/>
      <c r="BF188" s="221"/>
      <c r="BG188" s="221"/>
      <c r="BH188" s="221"/>
      <c r="BI188" s="221"/>
      <c r="BJ188" s="221"/>
      <c r="BK188" s="221"/>
      <c r="BL188" s="221"/>
      <c r="BM188" s="221"/>
      <c r="BN188" s="221"/>
      <c r="BO188" s="221"/>
      <c r="BP188" s="221"/>
      <c r="BQ188" s="221"/>
      <c r="BR188" s="221"/>
      <c r="BS188" s="221"/>
      <c r="BT188" s="221"/>
      <c r="BU188" s="221"/>
      <c r="BV188" s="221"/>
      <c r="BW188" s="221"/>
      <c r="BX188" s="221"/>
      <c r="BY188" s="221"/>
    </row>
    <row r="189" spans="2:77">
      <c r="B189" s="74"/>
      <c r="C189" s="81" t="s">
        <v>88</v>
      </c>
      <c r="D189" s="72" t="s">
        <v>1344</v>
      </c>
      <c r="E189" s="227" t="str">
        <f t="shared" ref="E189:Z189" si="80">IFERROR(ROUND(E187/E188-1,3),"")</f>
        <v/>
      </c>
      <c r="F189" s="227" t="str">
        <f t="shared" si="80"/>
        <v/>
      </c>
      <c r="G189" s="227" t="str">
        <f t="shared" si="80"/>
        <v/>
      </c>
      <c r="H189" s="227" t="str">
        <f t="shared" si="80"/>
        <v/>
      </c>
      <c r="I189" s="227" t="str">
        <f t="shared" si="80"/>
        <v/>
      </c>
      <c r="J189" s="227" t="str">
        <f t="shared" si="80"/>
        <v/>
      </c>
      <c r="K189" s="227" t="str">
        <f t="shared" si="80"/>
        <v/>
      </c>
      <c r="L189" s="227" t="str">
        <f t="shared" si="80"/>
        <v/>
      </c>
      <c r="M189" s="227" t="str">
        <f t="shared" si="80"/>
        <v/>
      </c>
      <c r="N189" s="227" t="str">
        <f t="shared" si="80"/>
        <v/>
      </c>
      <c r="O189" s="227" t="str">
        <f t="shared" si="80"/>
        <v/>
      </c>
      <c r="P189" s="227" t="str">
        <f t="shared" si="80"/>
        <v/>
      </c>
      <c r="Q189" s="227" t="str">
        <f t="shared" si="80"/>
        <v/>
      </c>
      <c r="R189" s="227" t="str">
        <f t="shared" si="80"/>
        <v/>
      </c>
      <c r="S189" s="227" t="str">
        <f t="shared" si="80"/>
        <v/>
      </c>
      <c r="T189" s="227" t="str">
        <f t="shared" si="80"/>
        <v/>
      </c>
      <c r="U189" s="227" t="str">
        <f t="shared" si="80"/>
        <v/>
      </c>
      <c r="V189" s="227" t="str">
        <f t="shared" si="80"/>
        <v/>
      </c>
      <c r="W189" s="227" t="str">
        <f t="shared" si="80"/>
        <v/>
      </c>
      <c r="X189" s="227" t="str">
        <f t="shared" si="80"/>
        <v/>
      </c>
      <c r="Y189" s="227" t="str">
        <f t="shared" si="80"/>
        <v/>
      </c>
      <c r="Z189" s="227" t="str">
        <f t="shared" si="80"/>
        <v/>
      </c>
      <c r="AA189" s="72"/>
      <c r="AB189" s="76"/>
      <c r="AC189" s="221"/>
      <c r="AD189" s="221"/>
      <c r="AE189" s="221"/>
      <c r="AF189" s="221"/>
      <c r="AG189" s="221"/>
      <c r="AH189" s="221"/>
      <c r="AI189" s="221"/>
      <c r="AJ189" s="221"/>
      <c r="AK189" s="221"/>
      <c r="AL189" s="221"/>
      <c r="AM189" s="221"/>
      <c r="AN189" s="221"/>
      <c r="AO189" s="221"/>
      <c r="AP189" s="221"/>
      <c r="AQ189" s="221"/>
      <c r="AR189" s="221"/>
      <c r="AS189" s="221"/>
      <c r="AT189" s="221"/>
      <c r="AU189" s="221"/>
      <c r="AV189" s="221"/>
      <c r="AW189" s="221"/>
      <c r="AX189" s="221"/>
      <c r="AY189" s="76"/>
      <c r="AZ189" s="77"/>
      <c r="BA189" s="77"/>
      <c r="BB189" s="78"/>
      <c r="BC189" s="76"/>
      <c r="BD189" s="221"/>
      <c r="BE189" s="221"/>
      <c r="BF189" s="221"/>
      <c r="BG189" s="221"/>
      <c r="BH189" s="221"/>
      <c r="BI189" s="221"/>
      <c r="BJ189" s="221"/>
      <c r="BK189" s="221"/>
      <c r="BL189" s="221"/>
      <c r="BM189" s="221"/>
      <c r="BN189" s="221"/>
      <c r="BO189" s="221"/>
      <c r="BP189" s="221"/>
      <c r="BQ189" s="221"/>
      <c r="BR189" s="221"/>
      <c r="BS189" s="221"/>
      <c r="BT189" s="221"/>
      <c r="BU189" s="221"/>
      <c r="BV189" s="221"/>
      <c r="BW189" s="221"/>
      <c r="BX189" s="221"/>
      <c r="BY189" s="221"/>
    </row>
    <row r="190" spans="2:77">
      <c r="B190" s="74"/>
      <c r="C190" s="72"/>
      <c r="D190" s="72"/>
      <c r="E190" s="75"/>
      <c r="F190" s="75"/>
      <c r="G190" s="75"/>
      <c r="H190" s="75"/>
      <c r="I190" s="75"/>
      <c r="J190" s="75"/>
      <c r="K190" s="75"/>
      <c r="L190" s="75"/>
      <c r="M190" s="75"/>
      <c r="N190" s="75"/>
      <c r="O190" s="75"/>
      <c r="P190" s="75"/>
      <c r="Q190" s="75"/>
      <c r="R190" s="75"/>
      <c r="S190" s="75"/>
      <c r="T190" s="75"/>
      <c r="U190" s="75"/>
      <c r="V190" s="75"/>
      <c r="W190" s="75"/>
      <c r="X190" s="75"/>
      <c r="Y190" s="75"/>
      <c r="Z190" s="75"/>
      <c r="AA190" s="72"/>
      <c r="AB190" s="76"/>
      <c r="AC190" s="221"/>
      <c r="AD190" s="221"/>
      <c r="AE190" s="221"/>
      <c r="AF190" s="221"/>
      <c r="AG190" s="221"/>
      <c r="AH190" s="221"/>
      <c r="AI190" s="221"/>
      <c r="AJ190" s="221"/>
      <c r="AK190" s="221"/>
      <c r="AL190" s="221"/>
      <c r="AM190" s="221"/>
      <c r="AN190" s="221"/>
      <c r="AO190" s="221"/>
      <c r="AP190" s="221"/>
      <c r="AQ190" s="221"/>
      <c r="AR190" s="221"/>
      <c r="AS190" s="221"/>
      <c r="AT190" s="221"/>
      <c r="AU190" s="221"/>
      <c r="AV190" s="221"/>
      <c r="AW190" s="221"/>
      <c r="AX190" s="221"/>
      <c r="AY190" s="76"/>
      <c r="AZ190" s="77"/>
      <c r="BA190" s="77"/>
      <c r="BB190" s="78"/>
      <c r="BC190" s="76"/>
      <c r="BD190" s="221"/>
      <c r="BE190" s="221"/>
      <c r="BF190" s="221"/>
      <c r="BG190" s="221"/>
      <c r="BH190" s="221"/>
      <c r="BI190" s="221"/>
      <c r="BJ190" s="221"/>
      <c r="BK190" s="221"/>
      <c r="BL190" s="221"/>
      <c r="BM190" s="221"/>
      <c r="BN190" s="221"/>
      <c r="BO190" s="221"/>
      <c r="BP190" s="221"/>
      <c r="BQ190" s="221"/>
      <c r="BR190" s="221"/>
      <c r="BS190" s="221"/>
      <c r="BT190" s="221"/>
      <c r="BU190" s="221"/>
      <c r="BV190" s="221"/>
      <c r="BW190" s="221"/>
      <c r="BX190" s="221"/>
      <c r="BY190" s="221"/>
    </row>
    <row r="191" spans="2:77">
      <c r="B191" s="74" t="str">
        <f>BA191</f>
        <v>Table games win per unit per day - Queenstown</v>
      </c>
      <c r="C191" s="72" t="s">
        <v>72</v>
      </c>
      <c r="D191" s="224" t="s">
        <v>1342</v>
      </c>
      <c r="E191" s="223">
        <f t="shared" ref="E191:Z191" si="81">AC191</f>
        <v>695.7093705727583</v>
      </c>
      <c r="F191" s="223">
        <f t="shared" si="81"/>
        <v>764.54651070476928</v>
      </c>
      <c r="G191" s="223">
        <f t="shared" si="81"/>
        <v>725.95760407592172</v>
      </c>
      <c r="H191" s="223">
        <f t="shared" si="81"/>
        <v>693.1515641475487</v>
      </c>
      <c r="I191" s="223">
        <f t="shared" si="81"/>
        <v>816.70230458541232</v>
      </c>
      <c r="J191" s="223">
        <f t="shared" si="81"/>
        <v>335.782093925982</v>
      </c>
      <c r="K191" s="223">
        <f t="shared" si="81"/>
        <v>302.48233503163402</v>
      </c>
      <c r="L191" s="223">
        <f t="shared" si="81"/>
        <v>356.75109943745059</v>
      </c>
      <c r="M191" s="223">
        <f t="shared" si="81"/>
        <v>302.48233503163431</v>
      </c>
      <c r="N191" s="223">
        <f t="shared" si="81"/>
        <v>275.76350761126167</v>
      </c>
      <c r="O191" s="223">
        <f t="shared" si="81"/>
        <v>423.47526904428798</v>
      </c>
      <c r="P191" s="223">
        <f t="shared" si="81"/>
        <v>490.14149909980671</v>
      </c>
      <c r="Q191" s="223">
        <f t="shared" si="81"/>
        <v>450.500162061254</v>
      </c>
      <c r="R191" s="223">
        <f t="shared" si="81"/>
        <v>495.05248743620928</v>
      </c>
      <c r="S191" s="223">
        <f t="shared" si="81"/>
        <v>456.248665465003</v>
      </c>
      <c r="T191" s="223">
        <f t="shared" si="81"/>
        <v>503.65835471773198</v>
      </c>
      <c r="U191" s="223">
        <f t="shared" si="81"/>
        <v>485.85211340497852</v>
      </c>
      <c r="V191" s="223">
        <f t="shared" si="81"/>
        <v>526.71659880632103</v>
      </c>
      <c r="W191" s="223">
        <f t="shared" si="81"/>
        <v>500.31555211756699</v>
      </c>
      <c r="X191" s="223">
        <f t="shared" si="81"/>
        <v>542.28947513543505</v>
      </c>
      <c r="Y191" s="223">
        <f t="shared" si="81"/>
        <v>514.97606888605753</v>
      </c>
      <c r="Z191" s="223">
        <f t="shared" si="81"/>
        <v>558.08626966107852</v>
      </c>
      <c r="AA191" s="72"/>
      <c r="AB191" s="76"/>
      <c r="AC191" s="222">
        <v>695.7093705727583</v>
      </c>
      <c r="AD191" s="222">
        <v>764.54651070476928</v>
      </c>
      <c r="AE191" s="222">
        <v>725.95760407592172</v>
      </c>
      <c r="AF191" s="222">
        <v>693.1515641475487</v>
      </c>
      <c r="AG191" s="222">
        <v>816.70230458541232</v>
      </c>
      <c r="AH191" s="222">
        <v>335.782093925982</v>
      </c>
      <c r="AI191" s="222">
        <v>302.48233503163402</v>
      </c>
      <c r="AJ191" s="222">
        <v>356.75109943745059</v>
      </c>
      <c r="AK191" s="222">
        <v>302.48233503163431</v>
      </c>
      <c r="AL191" s="222">
        <v>275.76350761126167</v>
      </c>
      <c r="AM191" s="222">
        <v>423.47526904428798</v>
      </c>
      <c r="AN191" s="222">
        <v>490.14149909980671</v>
      </c>
      <c r="AO191" s="222">
        <v>450.500162061254</v>
      </c>
      <c r="AP191" s="222">
        <v>495.05248743620928</v>
      </c>
      <c r="AQ191" s="222">
        <v>456.248665465003</v>
      </c>
      <c r="AR191" s="222">
        <v>503.65835471773198</v>
      </c>
      <c r="AS191" s="222">
        <v>485.85211340497852</v>
      </c>
      <c r="AT191" s="222">
        <v>526.71659880632103</v>
      </c>
      <c r="AU191" s="222">
        <v>500.31555211756699</v>
      </c>
      <c r="AV191" s="222">
        <v>542.28947513543505</v>
      </c>
      <c r="AW191" s="222">
        <v>514.97606888605753</v>
      </c>
      <c r="AX191" s="222">
        <v>558.08626966107852</v>
      </c>
      <c r="AY191" s="76"/>
      <c r="AZ191" s="77" t="s">
        <v>1259</v>
      </c>
      <c r="BA191" s="77" t="s">
        <v>1376</v>
      </c>
      <c r="BB191" s="78" t="s">
        <v>1261</v>
      </c>
      <c r="BC191" s="76"/>
      <c r="BD191" s="79">
        <f>_xll.VAData($AZ191,BD$2,$BA191,$BB191)</f>
        <v>698.23922282938702</v>
      </c>
      <c r="BE191" s="79">
        <f>_xll.VAData($AZ191,BE$2,$BA191,$BB191)</f>
        <v>758.95567698846401</v>
      </c>
      <c r="BF191" s="79">
        <f>_xll.VAData($AZ191,BF$2,$BA191,$BB191)</f>
        <v>728.597449908925</v>
      </c>
      <c r="BG191" s="79">
        <f>_xll.VAData($AZ191,BG$2,$BA191,$BB191)</f>
        <v>698.23922282938702</v>
      </c>
      <c r="BH191" s="79">
        <f>_xll.VAData($AZ191,BH$2,$BA191,$BB191)</f>
        <v>819.67213114754099</v>
      </c>
      <c r="BI191" s="79">
        <f>_xll.VAData($AZ191,BI$2,$BA191,$BB191)</f>
        <v>333.94049787492401</v>
      </c>
      <c r="BJ191" s="79">
        <f>_xll.VAData($AZ191,BJ$2,$BA191,$BB191)</f>
        <v>303.58227079538602</v>
      </c>
      <c r="BK191" s="79">
        <f>_xll.VAData($AZ191,BK$2,$BA191,$BB191)</f>
        <v>364.29872495446301</v>
      </c>
      <c r="BL191" s="79">
        <f>_xll.VAData($AZ191,BL$2,$BA191,$BB191)</f>
        <v>303.58227079538602</v>
      </c>
      <c r="BM191" s="79">
        <f>_xll.VAData($AZ191,BM$2,$BA191,$BB191)</f>
        <v>274.804334988481</v>
      </c>
      <c r="BN191" s="79">
        <f>_xll.VAData($AZ191,BN$2,$BA191,$BB191)</f>
        <v>425.01517911354</v>
      </c>
      <c r="BO191" s="79">
        <f>_xll.VAData($AZ191,BO$2,$BA191,$BB191)</f>
        <v>488.22683001887998</v>
      </c>
      <c r="BP191" s="79" t="str">
        <f>_xll.VAData($AZ191,BP$2,$BA191,$BB191)</f>
        <v>-</v>
      </c>
      <c r="BQ191" s="79" t="str">
        <f>_xll.VAData($AZ191,BQ$2,$BA191,$BB191)</f>
        <v>-</v>
      </c>
      <c r="BR191" s="79" t="str">
        <f>_xll.VAData($AZ191,BR$2,$BA191,$BB191)</f>
        <v>-</v>
      </c>
      <c r="BS191" s="79" t="str">
        <f>_xll.VAData($AZ191,BS$2,$BA191,$BB191)</f>
        <v>-</v>
      </c>
      <c r="BT191" s="79" t="str">
        <f>_xll.VAData($AZ191,BT$2,$BA191,$BB191)</f>
        <v>-</v>
      </c>
      <c r="BU191" s="79" t="str">
        <f>_xll.VAData($AZ191,BU$2,$BA191,$BB191)</f>
        <v>-</v>
      </c>
      <c r="BV191" s="79" t="str">
        <f>_xll.VAData($AZ191,BV$2,$BA191,$BB191)</f>
        <v>-</v>
      </c>
      <c r="BW191" s="79" t="str">
        <f>_xll.VAData($AZ191,BW$2,$BA191,$BB191)</f>
        <v>-</v>
      </c>
      <c r="BX191" s="79" t="str">
        <f>_xll.VAData($AZ191,BX$2,$BA191,$BB191)</f>
        <v>-</v>
      </c>
      <c r="BY191" s="79" t="str">
        <f>_xll.VAData($AZ191,BY$2,$BA191,$BB191)</f>
        <v>-</v>
      </c>
    </row>
    <row r="192" spans="2:77">
      <c r="B192" s="74"/>
      <c r="C192" s="72" t="s">
        <v>72</v>
      </c>
      <c r="D192" s="225" t="s">
        <v>1343</v>
      </c>
      <c r="E192" s="226" t="e">
        <f>HY!#REF!</f>
        <v>#REF!</v>
      </c>
      <c r="F192" s="226" t="e">
        <f>HY!#REF!</f>
        <v>#REF!</v>
      </c>
      <c r="G192" s="226" t="e">
        <f>HY!#REF!</f>
        <v>#REF!</v>
      </c>
      <c r="H192" s="226" t="e">
        <f>HY!#REF!</f>
        <v>#REF!</v>
      </c>
      <c r="I192" s="226" t="e">
        <f>HY!#REF!</f>
        <v>#REF!</v>
      </c>
      <c r="J192" s="226" t="e">
        <f>HY!#REF!</f>
        <v>#REF!</v>
      </c>
      <c r="K192" s="226" t="e">
        <f>HY!#REF!</f>
        <v>#REF!</v>
      </c>
      <c r="L192" s="226" t="e">
        <f>HY!#REF!</f>
        <v>#REF!</v>
      </c>
      <c r="M192" s="226" t="e">
        <f>HY!#REF!</f>
        <v>#REF!</v>
      </c>
      <c r="N192" s="226" t="e">
        <f>HY!#REF!</f>
        <v>#REF!</v>
      </c>
      <c r="O192" s="226" t="e">
        <f>HY!#REF!</f>
        <v>#REF!</v>
      </c>
      <c r="P192" s="226" t="e">
        <f>HY!#REF!</f>
        <v>#REF!</v>
      </c>
      <c r="Q192" s="226" t="e">
        <f>HY!#REF!</f>
        <v>#REF!</v>
      </c>
      <c r="R192" s="226" t="e">
        <f>HY!#REF!</f>
        <v>#REF!</v>
      </c>
      <c r="S192" s="226" t="e">
        <f>HY!#REF!</f>
        <v>#REF!</v>
      </c>
      <c r="T192" s="226" t="e">
        <f>HY!#REF!</f>
        <v>#REF!</v>
      </c>
      <c r="U192" s="226" t="e">
        <f>HY!#REF!</f>
        <v>#REF!</v>
      </c>
      <c r="V192" s="226" t="e">
        <f>HY!#REF!</f>
        <v>#REF!</v>
      </c>
      <c r="W192" s="226" t="e">
        <f>HY!#REF!</f>
        <v>#REF!</v>
      </c>
      <c r="X192" s="226" t="e">
        <f>HY!#REF!</f>
        <v>#REF!</v>
      </c>
      <c r="Y192" s="226" t="e">
        <f>HY!#REF!</f>
        <v>#REF!</v>
      </c>
      <c r="Z192" s="226" t="e">
        <f>HY!#REF!</f>
        <v>#REF!</v>
      </c>
      <c r="AA192" s="72"/>
      <c r="AB192" s="76"/>
      <c r="AC192" s="221"/>
      <c r="AD192" s="221"/>
      <c r="AE192" s="221"/>
      <c r="AF192" s="221"/>
      <c r="AG192" s="221"/>
      <c r="AH192" s="221"/>
      <c r="AI192" s="221"/>
      <c r="AJ192" s="221"/>
      <c r="AK192" s="221"/>
      <c r="AL192" s="221"/>
      <c r="AM192" s="221"/>
      <c r="AN192" s="221"/>
      <c r="AO192" s="221"/>
      <c r="AP192" s="221"/>
      <c r="AQ192" s="221"/>
      <c r="AR192" s="221"/>
      <c r="AS192" s="221"/>
      <c r="AT192" s="221"/>
      <c r="AU192" s="221"/>
      <c r="AV192" s="221"/>
      <c r="AW192" s="221"/>
      <c r="AX192" s="221"/>
      <c r="AY192" s="76"/>
      <c r="AZ192" s="77"/>
      <c r="BA192" s="77"/>
      <c r="BB192" s="78"/>
      <c r="BC192" s="76"/>
      <c r="BD192" s="221"/>
      <c r="BE192" s="221"/>
      <c r="BF192" s="221"/>
      <c r="BG192" s="221"/>
      <c r="BH192" s="221"/>
      <c r="BI192" s="221"/>
      <c r="BJ192" s="221"/>
      <c r="BK192" s="221"/>
      <c r="BL192" s="221"/>
      <c r="BM192" s="221"/>
      <c r="BN192" s="221"/>
      <c r="BO192" s="221"/>
      <c r="BP192" s="221"/>
      <c r="BQ192" s="221"/>
      <c r="BR192" s="221"/>
      <c r="BS192" s="221"/>
      <c r="BT192" s="221"/>
      <c r="BU192" s="221"/>
      <c r="BV192" s="221"/>
      <c r="BW192" s="221"/>
      <c r="BX192" s="221"/>
      <c r="BY192" s="221"/>
    </row>
    <row r="193" spans="2:77">
      <c r="B193" s="74"/>
      <c r="C193" s="81" t="s">
        <v>88</v>
      </c>
      <c r="D193" s="72" t="s">
        <v>1344</v>
      </c>
      <c r="E193" s="227" t="str">
        <f t="shared" ref="E193:Z193" si="82">IFERROR(ROUND(E191/E192-1,3),"")</f>
        <v/>
      </c>
      <c r="F193" s="227" t="str">
        <f t="shared" si="82"/>
        <v/>
      </c>
      <c r="G193" s="227" t="str">
        <f t="shared" si="82"/>
        <v/>
      </c>
      <c r="H193" s="227" t="str">
        <f t="shared" si="82"/>
        <v/>
      </c>
      <c r="I193" s="227" t="str">
        <f t="shared" si="82"/>
        <v/>
      </c>
      <c r="J193" s="227" t="str">
        <f t="shared" si="82"/>
        <v/>
      </c>
      <c r="K193" s="227" t="str">
        <f t="shared" si="82"/>
        <v/>
      </c>
      <c r="L193" s="227" t="str">
        <f t="shared" si="82"/>
        <v/>
      </c>
      <c r="M193" s="227" t="str">
        <f t="shared" si="82"/>
        <v/>
      </c>
      <c r="N193" s="227" t="str">
        <f t="shared" si="82"/>
        <v/>
      </c>
      <c r="O193" s="227" t="str">
        <f t="shared" si="82"/>
        <v/>
      </c>
      <c r="P193" s="227" t="str">
        <f t="shared" si="82"/>
        <v/>
      </c>
      <c r="Q193" s="227" t="str">
        <f t="shared" si="82"/>
        <v/>
      </c>
      <c r="R193" s="227" t="str">
        <f t="shared" si="82"/>
        <v/>
      </c>
      <c r="S193" s="227" t="str">
        <f t="shared" si="82"/>
        <v/>
      </c>
      <c r="T193" s="227" t="str">
        <f t="shared" si="82"/>
        <v/>
      </c>
      <c r="U193" s="227" t="str">
        <f t="shared" si="82"/>
        <v/>
      </c>
      <c r="V193" s="227" t="str">
        <f t="shared" si="82"/>
        <v/>
      </c>
      <c r="W193" s="227" t="str">
        <f t="shared" si="82"/>
        <v/>
      </c>
      <c r="X193" s="227" t="str">
        <f t="shared" si="82"/>
        <v/>
      </c>
      <c r="Y193" s="227" t="str">
        <f t="shared" si="82"/>
        <v/>
      </c>
      <c r="Z193" s="227" t="str">
        <f t="shared" si="82"/>
        <v/>
      </c>
      <c r="AA193" s="72"/>
      <c r="AB193" s="76"/>
      <c r="AC193" s="221"/>
      <c r="AD193" s="221"/>
      <c r="AE193" s="221"/>
      <c r="AF193" s="221"/>
      <c r="AG193" s="221"/>
      <c r="AH193" s="221"/>
      <c r="AI193" s="221"/>
      <c r="AJ193" s="221"/>
      <c r="AK193" s="221"/>
      <c r="AL193" s="221"/>
      <c r="AM193" s="221"/>
      <c r="AN193" s="221"/>
      <c r="AO193" s="221"/>
      <c r="AP193" s="221"/>
      <c r="AQ193" s="221"/>
      <c r="AR193" s="221"/>
      <c r="AS193" s="221"/>
      <c r="AT193" s="221"/>
      <c r="AU193" s="221"/>
      <c r="AV193" s="221"/>
      <c r="AW193" s="221"/>
      <c r="AX193" s="221"/>
      <c r="AY193" s="76"/>
      <c r="AZ193" s="77"/>
      <c r="BA193" s="77"/>
      <c r="BB193" s="78"/>
      <c r="BC193" s="76"/>
      <c r="BD193" s="221"/>
      <c r="BE193" s="221"/>
      <c r="BF193" s="221"/>
      <c r="BG193" s="221"/>
      <c r="BH193" s="221"/>
      <c r="BI193" s="221"/>
      <c r="BJ193" s="221"/>
      <c r="BK193" s="221"/>
      <c r="BL193" s="221"/>
      <c r="BM193" s="221"/>
      <c r="BN193" s="221"/>
      <c r="BO193" s="221"/>
      <c r="BP193" s="221"/>
      <c r="BQ193" s="221"/>
      <c r="BR193" s="221"/>
      <c r="BS193" s="221"/>
      <c r="BT193" s="221"/>
      <c r="BU193" s="221"/>
      <c r="BV193" s="221"/>
      <c r="BW193" s="221"/>
      <c r="BX193" s="221"/>
      <c r="BY193" s="221"/>
    </row>
    <row r="195" spans="2:77">
      <c r="B195" s="237" t="s">
        <v>1361</v>
      </c>
    </row>
    <row r="197" spans="2:77">
      <c r="B197" s="74" t="str">
        <f>BA197</f>
        <v>Total revenue - Non-Gaming - Queenstown</v>
      </c>
      <c r="C197" s="72" t="s">
        <v>72</v>
      </c>
      <c r="D197" s="224" t="s">
        <v>1342</v>
      </c>
      <c r="E197" s="223">
        <f t="shared" ref="E197:Z197" si="83">AC197</f>
        <v>0.8</v>
      </c>
      <c r="F197" s="223">
        <f t="shared" si="83"/>
        <v>0.7</v>
      </c>
      <c r="G197" s="223">
        <f t="shared" si="83"/>
        <v>0.8</v>
      </c>
      <c r="H197" s="223">
        <f t="shared" si="83"/>
        <v>0.7</v>
      </c>
      <c r="I197" s="223">
        <f t="shared" si="83"/>
        <v>0.8</v>
      </c>
      <c r="J197" s="223">
        <f t="shared" si="83"/>
        <v>0.8</v>
      </c>
      <c r="K197" s="223">
        <f t="shared" si="83"/>
        <v>0.9</v>
      </c>
      <c r="L197" s="223">
        <f t="shared" si="83"/>
        <v>0.7</v>
      </c>
      <c r="M197" s="223">
        <f t="shared" si="83"/>
        <v>0.6</v>
      </c>
      <c r="N197" s="223">
        <f t="shared" si="83"/>
        <v>0.5</v>
      </c>
      <c r="O197" s="223">
        <f t="shared" si="83"/>
        <v>0.7</v>
      </c>
      <c r="P197" s="223">
        <f t="shared" si="83"/>
        <v>0.6</v>
      </c>
      <c r="Q197" s="223">
        <f t="shared" si="83"/>
        <v>0.75444</v>
      </c>
      <c r="R197" s="223">
        <f t="shared" si="83"/>
        <v>0.60721679136700957</v>
      </c>
      <c r="S197" s="223">
        <f t="shared" si="83"/>
        <v>0.75923192484580004</v>
      </c>
      <c r="T197" s="223">
        <f t="shared" si="83"/>
        <v>0.57432625273858828</v>
      </c>
      <c r="U197" s="223">
        <f t="shared" si="83"/>
        <v>0.74596053989190536</v>
      </c>
      <c r="V197" s="223">
        <f t="shared" si="83"/>
        <v>0.64624557810330063</v>
      </c>
      <c r="W197" s="223">
        <f t="shared" si="83"/>
        <v>0.77230912611234903</v>
      </c>
      <c r="X197" s="223">
        <f t="shared" si="83"/>
        <v>0.66906118200534404</v>
      </c>
      <c r="Y197" s="223">
        <f t="shared" si="83"/>
        <v>0.79949185951057866</v>
      </c>
      <c r="Z197" s="223">
        <f t="shared" si="83"/>
        <v>0.69281563769432564</v>
      </c>
      <c r="AA197" s="72"/>
      <c r="AB197" s="76"/>
      <c r="AC197" s="222">
        <v>0.8</v>
      </c>
      <c r="AD197" s="222">
        <v>0.7</v>
      </c>
      <c r="AE197" s="222">
        <v>0.8</v>
      </c>
      <c r="AF197" s="222">
        <v>0.7</v>
      </c>
      <c r="AG197" s="222">
        <v>0.8</v>
      </c>
      <c r="AH197" s="222">
        <v>0.8</v>
      </c>
      <c r="AI197" s="222">
        <v>0.9</v>
      </c>
      <c r="AJ197" s="222">
        <v>0.7</v>
      </c>
      <c r="AK197" s="222">
        <v>0.6</v>
      </c>
      <c r="AL197" s="222">
        <v>0.5</v>
      </c>
      <c r="AM197" s="222">
        <v>0.7</v>
      </c>
      <c r="AN197" s="222">
        <v>0.6</v>
      </c>
      <c r="AO197" s="222">
        <v>0.75444</v>
      </c>
      <c r="AP197" s="222">
        <v>0.60721679136700957</v>
      </c>
      <c r="AQ197" s="222">
        <v>0.75923192484580004</v>
      </c>
      <c r="AR197" s="222">
        <v>0.57432625273858828</v>
      </c>
      <c r="AS197" s="222">
        <v>0.74596053989190536</v>
      </c>
      <c r="AT197" s="222">
        <v>0.64624557810330063</v>
      </c>
      <c r="AU197" s="222">
        <v>0.77230912611234903</v>
      </c>
      <c r="AV197" s="222">
        <v>0.66906118200534404</v>
      </c>
      <c r="AW197" s="222">
        <v>0.79949185951057866</v>
      </c>
      <c r="AX197" s="222">
        <v>0.69281563769432564</v>
      </c>
      <c r="AY197" s="76"/>
      <c r="AZ197" s="77" t="s">
        <v>1259</v>
      </c>
      <c r="BA197" s="77" t="s">
        <v>1377</v>
      </c>
      <c r="BB197" s="78" t="s">
        <v>1261</v>
      </c>
      <c r="BC197" s="76"/>
      <c r="BD197" s="79">
        <f>_xll.VAData($AZ197,BD$2,$BA197,$BB197)</f>
        <v>0.78500000000000003</v>
      </c>
      <c r="BE197" s="79">
        <f>_xll.VAData($AZ197,BE$2,$BA197,$BB197)</f>
        <v>0.68</v>
      </c>
      <c r="BF197" s="79">
        <f>_xll.VAData($AZ197,BF$2,$BA197,$BB197)</f>
        <v>0.78307499999999997</v>
      </c>
      <c r="BG197" s="79">
        <f>_xll.VAData($AZ197,BG$2,$BA197,$BB197)</f>
        <v>0.70640000000000003</v>
      </c>
      <c r="BH197" s="79">
        <f>_xll.VAData($AZ197,BH$2,$BA197,$BB197)</f>
        <v>0.8</v>
      </c>
      <c r="BI197" s="79">
        <f>_xll.VAData($AZ197,BI$2,$BA197,$BB197)</f>
        <v>0.8</v>
      </c>
      <c r="BJ197" s="79">
        <f>_xll.VAData($AZ197,BJ$2,$BA197,$BB197)</f>
        <v>0.9</v>
      </c>
      <c r="BK197" s="79">
        <f>_xll.VAData($AZ197,BK$2,$BA197,$BB197)</f>
        <v>0.99</v>
      </c>
      <c r="BL197" s="79">
        <f>_xll.VAData($AZ197,BL$2,$BA197,$BB197)</f>
        <v>0.6</v>
      </c>
      <c r="BM197" s="79">
        <f>_xll.VAData($AZ197,BM$2,$BA197,$BB197)</f>
        <v>0.5</v>
      </c>
      <c r="BN197" s="79">
        <f>_xll.VAData($AZ197,BN$2,$BA197,$BB197)</f>
        <v>0.7</v>
      </c>
      <c r="BO197" s="79">
        <f>_xll.VAData($AZ197,BO$2,$BA197,$BB197)</f>
        <v>0.6</v>
      </c>
      <c r="BP197" s="79">
        <f>_xll.VAData($AZ197,BP$2,$BA197,$BB197)</f>
        <v>0.7</v>
      </c>
      <c r="BQ197" s="79">
        <f>_xll.VAData($AZ197,BQ$2,$BA197,$BB197)</f>
        <v>0.8</v>
      </c>
      <c r="BR197" s="79">
        <f>_xll.VAData($AZ197,BR$2,$BA197,$BB197)</f>
        <v>0.77700000000000002</v>
      </c>
      <c r="BS197" s="79">
        <f>_xll.VAData($AZ197,BS$2,$BA197,$BB197)</f>
        <v>0.73919999999999997</v>
      </c>
      <c r="BT197" s="79">
        <f>_xll.VAData($AZ197,BT$2,$BA197,$BB197)</f>
        <v>0.79254000000000002</v>
      </c>
      <c r="BU197" s="79">
        <f>_xll.VAData($AZ197,BU$2,$BA197,$BB197)</f>
        <v>0.76137600000000005</v>
      </c>
      <c r="BV197" s="79">
        <f>_xll.VAData($AZ197,BV$2,$BA197,$BB197)</f>
        <v>0.81235349999999995</v>
      </c>
      <c r="BW197" s="79">
        <f>_xll.VAData($AZ197,BW$2,$BA197,$BB197)</f>
        <v>0.78041039999999995</v>
      </c>
      <c r="BX197" s="79">
        <f>_xll.VAData($AZ197,BX$2,$BA197,$BB197)</f>
        <v>0.83266233749999996</v>
      </c>
      <c r="BY197" s="79">
        <f>_xll.VAData($AZ197,BY$2,$BA197,$BB197)</f>
        <v>0.79992065999999995</v>
      </c>
    </row>
    <row r="198" spans="2:77">
      <c r="B198" s="74"/>
      <c r="C198" s="72" t="s">
        <v>72</v>
      </c>
      <c r="D198" s="225" t="s">
        <v>1343</v>
      </c>
      <c r="E198" s="226" t="e">
        <f>HY!#REF!</f>
        <v>#REF!</v>
      </c>
      <c r="F198" s="226" t="e">
        <f>HY!#REF!</f>
        <v>#REF!</v>
      </c>
      <c r="G198" s="226" t="e">
        <f>HY!#REF!</f>
        <v>#REF!</v>
      </c>
      <c r="H198" s="226" t="e">
        <f>HY!#REF!</f>
        <v>#REF!</v>
      </c>
      <c r="I198" s="226" t="e">
        <f>HY!#REF!</f>
        <v>#REF!</v>
      </c>
      <c r="J198" s="226" t="e">
        <f>HY!#REF!</f>
        <v>#REF!</v>
      </c>
      <c r="K198" s="226" t="e">
        <f>HY!#REF!</f>
        <v>#REF!</v>
      </c>
      <c r="L198" s="226" t="e">
        <f>HY!#REF!</f>
        <v>#REF!</v>
      </c>
      <c r="M198" s="226" t="e">
        <f>HY!#REF!</f>
        <v>#REF!</v>
      </c>
      <c r="N198" s="226" t="e">
        <f>HY!#REF!</f>
        <v>#REF!</v>
      </c>
      <c r="O198" s="226" t="e">
        <f>HY!#REF!</f>
        <v>#REF!</v>
      </c>
      <c r="P198" s="226" t="e">
        <f>HY!#REF!</f>
        <v>#REF!</v>
      </c>
      <c r="Q198" s="226" t="e">
        <f>HY!#REF!</f>
        <v>#REF!</v>
      </c>
      <c r="R198" s="226" t="e">
        <f>HY!#REF!</f>
        <v>#REF!</v>
      </c>
      <c r="S198" s="226" t="e">
        <f>HY!#REF!</f>
        <v>#REF!</v>
      </c>
      <c r="T198" s="226" t="e">
        <f>HY!#REF!</f>
        <v>#REF!</v>
      </c>
      <c r="U198" s="226" t="e">
        <f>HY!#REF!</f>
        <v>#REF!</v>
      </c>
      <c r="V198" s="226" t="e">
        <f>HY!#REF!</f>
        <v>#REF!</v>
      </c>
      <c r="W198" s="226" t="e">
        <f>HY!#REF!</f>
        <v>#REF!</v>
      </c>
      <c r="X198" s="226" t="e">
        <f>HY!#REF!</f>
        <v>#REF!</v>
      </c>
      <c r="Y198" s="226" t="e">
        <f>HY!#REF!</f>
        <v>#REF!</v>
      </c>
      <c r="Z198" s="226" t="e">
        <f>HY!#REF!</f>
        <v>#REF!</v>
      </c>
      <c r="AA198" s="72"/>
      <c r="AB198" s="76"/>
      <c r="AC198" s="221"/>
      <c r="AD198" s="221"/>
      <c r="AE198" s="221"/>
      <c r="AF198" s="221"/>
      <c r="AG198" s="221"/>
      <c r="AH198" s="221"/>
      <c r="AI198" s="221"/>
      <c r="AJ198" s="221"/>
      <c r="AK198" s="221"/>
      <c r="AL198" s="221"/>
      <c r="AM198" s="221"/>
      <c r="AN198" s="221"/>
      <c r="AO198" s="221"/>
      <c r="AP198" s="221"/>
      <c r="AQ198" s="221"/>
      <c r="AR198" s="221"/>
      <c r="AS198" s="221"/>
      <c r="AT198" s="221"/>
      <c r="AU198" s="221"/>
      <c r="AV198" s="221"/>
      <c r="AW198" s="221"/>
      <c r="AX198" s="221"/>
      <c r="AY198" s="76"/>
      <c r="AZ198" s="77"/>
      <c r="BA198" s="77"/>
      <c r="BB198" s="78"/>
      <c r="BC198" s="76"/>
      <c r="BD198" s="221"/>
      <c r="BE198" s="221"/>
      <c r="BF198" s="221"/>
      <c r="BG198" s="221"/>
      <c r="BH198" s="221"/>
      <c r="BI198" s="221"/>
      <c r="BJ198" s="221"/>
      <c r="BK198" s="221"/>
      <c r="BL198" s="221"/>
      <c r="BM198" s="221"/>
      <c r="BN198" s="221"/>
      <c r="BO198" s="221"/>
      <c r="BP198" s="221"/>
      <c r="BQ198" s="221"/>
      <c r="BR198" s="221"/>
      <c r="BS198" s="221"/>
      <c r="BT198" s="221"/>
      <c r="BU198" s="221"/>
      <c r="BV198" s="221"/>
      <c r="BW198" s="221"/>
      <c r="BX198" s="221"/>
      <c r="BY198" s="221"/>
    </row>
    <row r="199" spans="2:77">
      <c r="B199" s="74"/>
      <c r="C199" s="81" t="s">
        <v>88</v>
      </c>
      <c r="D199" s="72" t="s">
        <v>1344</v>
      </c>
      <c r="E199" s="227" t="str">
        <f t="shared" ref="E199:Z199" si="84">IFERROR(ROUND(E197/E198-1,3),"")</f>
        <v/>
      </c>
      <c r="F199" s="227" t="str">
        <f t="shared" si="84"/>
        <v/>
      </c>
      <c r="G199" s="227" t="str">
        <f t="shared" si="84"/>
        <v/>
      </c>
      <c r="H199" s="227" t="str">
        <f t="shared" si="84"/>
        <v/>
      </c>
      <c r="I199" s="227" t="str">
        <f t="shared" si="84"/>
        <v/>
      </c>
      <c r="J199" s="227" t="str">
        <f t="shared" si="84"/>
        <v/>
      </c>
      <c r="K199" s="227" t="str">
        <f t="shared" si="84"/>
        <v/>
      </c>
      <c r="L199" s="227" t="str">
        <f t="shared" si="84"/>
        <v/>
      </c>
      <c r="M199" s="227" t="str">
        <f t="shared" si="84"/>
        <v/>
      </c>
      <c r="N199" s="227" t="str">
        <f t="shared" si="84"/>
        <v/>
      </c>
      <c r="O199" s="227" t="str">
        <f t="shared" si="84"/>
        <v/>
      </c>
      <c r="P199" s="227" t="str">
        <f t="shared" si="84"/>
        <v/>
      </c>
      <c r="Q199" s="227" t="str">
        <f t="shared" si="84"/>
        <v/>
      </c>
      <c r="R199" s="227" t="str">
        <f t="shared" si="84"/>
        <v/>
      </c>
      <c r="S199" s="227" t="str">
        <f t="shared" si="84"/>
        <v/>
      </c>
      <c r="T199" s="227" t="str">
        <f t="shared" si="84"/>
        <v/>
      </c>
      <c r="U199" s="227" t="str">
        <f t="shared" si="84"/>
        <v/>
      </c>
      <c r="V199" s="227" t="str">
        <f t="shared" si="84"/>
        <v/>
      </c>
      <c r="W199" s="227" t="str">
        <f t="shared" si="84"/>
        <v/>
      </c>
      <c r="X199" s="227" t="str">
        <f t="shared" si="84"/>
        <v/>
      </c>
      <c r="Y199" s="227" t="str">
        <f t="shared" si="84"/>
        <v/>
      </c>
      <c r="Z199" s="227" t="str">
        <f t="shared" si="84"/>
        <v/>
      </c>
      <c r="AA199" s="72"/>
      <c r="AB199" s="76"/>
      <c r="AC199" s="221"/>
      <c r="AD199" s="221"/>
      <c r="AE199" s="221"/>
      <c r="AF199" s="221"/>
      <c r="AG199" s="221"/>
      <c r="AH199" s="221"/>
      <c r="AI199" s="221"/>
      <c r="AJ199" s="221"/>
      <c r="AK199" s="221"/>
      <c r="AL199" s="221"/>
      <c r="AM199" s="221"/>
      <c r="AN199" s="221"/>
      <c r="AO199" s="221"/>
      <c r="AP199" s="221"/>
      <c r="AQ199" s="221"/>
      <c r="AR199" s="221"/>
      <c r="AS199" s="221"/>
      <c r="AT199" s="221"/>
      <c r="AU199" s="221"/>
      <c r="AV199" s="221"/>
      <c r="AW199" s="221"/>
      <c r="AX199" s="221"/>
      <c r="AY199" s="76"/>
      <c r="AZ199" s="77"/>
      <c r="BA199" s="77"/>
      <c r="BB199" s="78"/>
      <c r="BC199" s="76"/>
      <c r="BD199" s="221"/>
      <c r="BE199" s="221"/>
      <c r="BF199" s="221"/>
      <c r="BG199" s="221"/>
      <c r="BH199" s="221"/>
      <c r="BI199" s="221"/>
      <c r="BJ199" s="221"/>
      <c r="BK199" s="221"/>
      <c r="BL199" s="221"/>
      <c r="BM199" s="221"/>
      <c r="BN199" s="221"/>
      <c r="BO199" s="221"/>
      <c r="BP199" s="221"/>
      <c r="BQ199" s="221"/>
      <c r="BR199" s="221"/>
      <c r="BS199" s="221"/>
      <c r="BT199" s="221"/>
      <c r="BU199" s="221"/>
      <c r="BV199" s="221"/>
      <c r="BW199" s="221"/>
      <c r="BX199" s="221"/>
      <c r="BY199" s="221"/>
    </row>
    <row r="200" spans="2:77">
      <c r="B200" s="74"/>
      <c r="C200" s="72"/>
      <c r="D200" s="72"/>
      <c r="E200" s="75"/>
      <c r="F200" s="75"/>
      <c r="G200" s="75"/>
      <c r="H200" s="75"/>
      <c r="I200" s="75"/>
      <c r="J200" s="75"/>
      <c r="K200" s="75"/>
      <c r="L200" s="75"/>
      <c r="M200" s="75"/>
      <c r="N200" s="75"/>
      <c r="O200" s="75"/>
      <c r="P200" s="75"/>
      <c r="Q200" s="75"/>
      <c r="R200" s="75"/>
      <c r="S200" s="75"/>
      <c r="T200" s="75"/>
      <c r="U200" s="75"/>
      <c r="V200" s="75"/>
      <c r="W200" s="75"/>
      <c r="X200" s="75"/>
      <c r="Y200" s="75"/>
      <c r="Z200" s="75"/>
      <c r="AA200" s="72"/>
      <c r="AB200" s="76"/>
      <c r="AC200" s="221"/>
      <c r="AD200" s="221"/>
      <c r="AE200" s="221"/>
      <c r="AF200" s="221"/>
      <c r="AG200" s="221"/>
      <c r="AH200" s="221"/>
      <c r="AI200" s="221"/>
      <c r="AJ200" s="221"/>
      <c r="AK200" s="221"/>
      <c r="AL200" s="221"/>
      <c r="AM200" s="221"/>
      <c r="AN200" s="221"/>
      <c r="AO200" s="221"/>
      <c r="AP200" s="221"/>
      <c r="AQ200" s="221"/>
      <c r="AR200" s="221"/>
      <c r="AS200" s="221"/>
      <c r="AT200" s="221"/>
      <c r="AU200" s="221"/>
      <c r="AV200" s="221"/>
      <c r="AW200" s="221"/>
      <c r="AX200" s="221"/>
      <c r="AY200" s="76"/>
      <c r="AZ200" s="77"/>
      <c r="BA200" s="77"/>
      <c r="BB200" s="78"/>
      <c r="BC200" s="76"/>
      <c r="BD200" s="221"/>
      <c r="BE200" s="221"/>
      <c r="BF200" s="221"/>
      <c r="BG200" s="221"/>
      <c r="BH200" s="221"/>
      <c r="BI200" s="221"/>
      <c r="BJ200" s="221"/>
      <c r="BK200" s="221"/>
      <c r="BL200" s="221"/>
      <c r="BM200" s="221"/>
      <c r="BN200" s="221"/>
      <c r="BO200" s="221"/>
      <c r="BP200" s="221"/>
      <c r="BQ200" s="221"/>
      <c r="BR200" s="221"/>
      <c r="BS200" s="221"/>
      <c r="BT200" s="221"/>
      <c r="BU200" s="221"/>
      <c r="BV200" s="221"/>
      <c r="BW200" s="221"/>
      <c r="BX200" s="221"/>
      <c r="BY200" s="221"/>
    </row>
    <row r="201" spans="2:77">
      <c r="B201" s="237" t="s">
        <v>1362</v>
      </c>
      <c r="C201" s="72"/>
      <c r="D201" s="72"/>
      <c r="E201" s="75"/>
      <c r="F201" s="75"/>
      <c r="G201" s="75"/>
      <c r="H201" s="75"/>
      <c r="I201" s="75"/>
      <c r="J201" s="75"/>
      <c r="K201" s="75"/>
      <c r="L201" s="75"/>
      <c r="M201" s="75"/>
      <c r="N201" s="75"/>
      <c r="O201" s="75"/>
      <c r="P201" s="75"/>
      <c r="Q201" s="75"/>
      <c r="R201" s="75"/>
      <c r="S201" s="75"/>
      <c r="T201" s="75"/>
      <c r="U201" s="75"/>
      <c r="V201" s="75"/>
      <c r="W201" s="75"/>
      <c r="X201" s="75"/>
      <c r="Y201" s="75"/>
      <c r="Z201" s="75"/>
      <c r="AA201" s="72"/>
      <c r="AB201" s="76"/>
      <c r="AC201" s="221"/>
      <c r="AD201" s="221"/>
      <c r="AE201" s="221"/>
      <c r="AF201" s="221"/>
      <c r="AG201" s="221"/>
      <c r="AH201" s="221"/>
      <c r="AI201" s="221"/>
      <c r="AJ201" s="221"/>
      <c r="AK201" s="221"/>
      <c r="AL201" s="221"/>
      <c r="AM201" s="221"/>
      <c r="AN201" s="221"/>
      <c r="AO201" s="221"/>
      <c r="AP201" s="221"/>
      <c r="AQ201" s="221"/>
      <c r="AR201" s="221"/>
      <c r="AS201" s="221"/>
      <c r="AT201" s="221"/>
      <c r="AU201" s="221"/>
      <c r="AV201" s="221"/>
      <c r="AW201" s="221"/>
      <c r="AX201" s="221"/>
      <c r="AY201" s="76"/>
      <c r="AZ201" s="77"/>
      <c r="BA201" s="77"/>
      <c r="BB201" s="78"/>
      <c r="BC201" s="76"/>
      <c r="BD201" s="221"/>
      <c r="BE201" s="221"/>
      <c r="BF201" s="221"/>
      <c r="BG201" s="221"/>
      <c r="BH201" s="221"/>
      <c r="BI201" s="221"/>
      <c r="BJ201" s="221"/>
      <c r="BK201" s="221"/>
      <c r="BL201" s="221"/>
      <c r="BM201" s="221"/>
      <c r="BN201" s="221"/>
      <c r="BO201" s="221"/>
      <c r="BP201" s="221"/>
      <c r="BQ201" s="221"/>
      <c r="BR201" s="221"/>
      <c r="BS201" s="221"/>
      <c r="BT201" s="221"/>
      <c r="BU201" s="221"/>
      <c r="BV201" s="221"/>
      <c r="BW201" s="221"/>
      <c r="BX201" s="221"/>
      <c r="BY201" s="221"/>
    </row>
    <row r="202" spans="2:77">
      <c r="B202" s="74"/>
      <c r="C202" s="72"/>
      <c r="D202" s="72"/>
      <c r="E202" s="75"/>
      <c r="F202" s="75"/>
      <c r="G202" s="75"/>
      <c r="H202" s="75"/>
      <c r="I202" s="75"/>
      <c r="J202" s="75"/>
      <c r="K202" s="75"/>
      <c r="L202" s="75"/>
      <c r="M202" s="75"/>
      <c r="N202" s="75"/>
      <c r="O202" s="75"/>
      <c r="P202" s="75"/>
      <c r="Q202" s="75"/>
      <c r="R202" s="75"/>
      <c r="S202" s="75"/>
      <c r="T202" s="75"/>
      <c r="U202" s="75"/>
      <c r="V202" s="75"/>
      <c r="W202" s="75"/>
      <c r="X202" s="75"/>
      <c r="Y202" s="75"/>
      <c r="Z202" s="75"/>
      <c r="AA202" s="72"/>
      <c r="AB202" s="76"/>
      <c r="AC202" s="221"/>
      <c r="AD202" s="221"/>
      <c r="AE202" s="221"/>
      <c r="AF202" s="221"/>
      <c r="AG202" s="221"/>
      <c r="AH202" s="221"/>
      <c r="AI202" s="221"/>
      <c r="AJ202" s="221"/>
      <c r="AK202" s="221"/>
      <c r="AL202" s="221"/>
      <c r="AM202" s="221"/>
      <c r="AN202" s="221"/>
      <c r="AO202" s="221"/>
      <c r="AP202" s="221"/>
      <c r="AQ202" s="221"/>
      <c r="AR202" s="221"/>
      <c r="AS202" s="221"/>
      <c r="AT202" s="221"/>
      <c r="AU202" s="221"/>
      <c r="AV202" s="221"/>
      <c r="AW202" s="221"/>
      <c r="AX202" s="221"/>
      <c r="AY202" s="76"/>
      <c r="AZ202" s="77"/>
      <c r="BA202" s="77"/>
      <c r="BB202" s="78"/>
      <c r="BC202" s="76"/>
      <c r="BD202" s="221"/>
      <c r="BE202" s="221"/>
      <c r="BF202" s="221"/>
      <c r="BG202" s="221"/>
      <c r="BH202" s="221"/>
      <c r="BI202" s="221"/>
      <c r="BJ202" s="221"/>
      <c r="BK202" s="221"/>
      <c r="BL202" s="221"/>
      <c r="BM202" s="221"/>
      <c r="BN202" s="221"/>
      <c r="BO202" s="221"/>
      <c r="BP202" s="221"/>
      <c r="BQ202" s="221"/>
      <c r="BR202" s="221"/>
      <c r="BS202" s="221"/>
      <c r="BT202" s="221"/>
      <c r="BU202" s="221"/>
      <c r="BV202" s="221"/>
      <c r="BW202" s="221"/>
      <c r="BX202" s="221"/>
      <c r="BY202" s="221"/>
    </row>
    <row r="203" spans="2:77">
      <c r="B203" s="74" t="str">
        <f>BA203</f>
        <v>Total revenue - Queenstown</v>
      </c>
      <c r="C203" s="72" t="s">
        <v>72</v>
      </c>
      <c r="D203" s="224" t="s">
        <v>1342</v>
      </c>
      <c r="E203" s="223">
        <f t="shared" ref="E203:Z203" si="85">AC203</f>
        <v>6.4</v>
      </c>
      <c r="F203" s="223">
        <f t="shared" si="85"/>
        <v>6.6</v>
      </c>
      <c r="G203" s="223">
        <f t="shared" si="85"/>
        <v>6.5</v>
      </c>
      <c r="H203" s="223">
        <f t="shared" si="85"/>
        <v>6.6435272733333326</v>
      </c>
      <c r="I203" s="223">
        <f t="shared" si="85"/>
        <v>7.1</v>
      </c>
      <c r="J203" s="223">
        <f t="shared" si="85"/>
        <v>4</v>
      </c>
      <c r="K203" s="223">
        <f t="shared" si="85"/>
        <v>5.9</v>
      </c>
      <c r="L203" s="223">
        <f t="shared" si="85"/>
        <v>6.3914292549333336</v>
      </c>
      <c r="M203" s="223">
        <f t="shared" si="85"/>
        <v>5</v>
      </c>
      <c r="N203" s="223">
        <f t="shared" si="85"/>
        <v>5.2</v>
      </c>
      <c r="O203" s="223">
        <f t="shared" si="85"/>
        <v>6.3</v>
      </c>
      <c r="P203" s="223">
        <f t="shared" si="85"/>
        <v>6</v>
      </c>
      <c r="Q203" s="223">
        <f t="shared" si="85"/>
        <v>6.2818645962020359</v>
      </c>
      <c r="R203" s="223">
        <f t="shared" si="85"/>
        <v>6.0582595984798919</v>
      </c>
      <c r="S203" s="223">
        <f t="shared" si="85"/>
        <v>6.4617267545312149</v>
      </c>
      <c r="T203" s="223">
        <f t="shared" si="85"/>
        <v>6.1867800408168376</v>
      </c>
      <c r="U203" s="223">
        <f t="shared" si="85"/>
        <v>6.6953905306524701</v>
      </c>
      <c r="V203" s="223">
        <f t="shared" si="85"/>
        <v>6.4456986056530337</v>
      </c>
      <c r="W203" s="223">
        <f t="shared" si="85"/>
        <v>6.8893357234091264</v>
      </c>
      <c r="X203" s="223">
        <f t="shared" si="85"/>
        <v>6.6311301044856474</v>
      </c>
      <c r="Y203" s="223">
        <f t="shared" si="85"/>
        <v>7.0871268723536431</v>
      </c>
      <c r="Z203" s="223">
        <f t="shared" si="85"/>
        <v>6.8314271620395299</v>
      </c>
      <c r="AA203" s="72"/>
      <c r="AB203" s="76"/>
      <c r="AC203" s="222">
        <v>6.4</v>
      </c>
      <c r="AD203" s="222">
        <v>6.6</v>
      </c>
      <c r="AE203" s="222">
        <v>6.5</v>
      </c>
      <c r="AF203" s="222">
        <v>6.6435272733333326</v>
      </c>
      <c r="AG203" s="222">
        <v>7.1</v>
      </c>
      <c r="AH203" s="222">
        <v>4</v>
      </c>
      <c r="AI203" s="222">
        <v>5.9</v>
      </c>
      <c r="AJ203" s="222">
        <v>6.3914292549333336</v>
      </c>
      <c r="AK203" s="222">
        <v>5</v>
      </c>
      <c r="AL203" s="222">
        <v>5.2</v>
      </c>
      <c r="AM203" s="222">
        <v>6.3</v>
      </c>
      <c r="AN203" s="222">
        <v>6</v>
      </c>
      <c r="AO203" s="222">
        <v>6.2818645962020359</v>
      </c>
      <c r="AP203" s="222">
        <v>6.0582595984798919</v>
      </c>
      <c r="AQ203" s="222">
        <v>6.4617267545312149</v>
      </c>
      <c r="AR203" s="222">
        <v>6.1867800408168376</v>
      </c>
      <c r="AS203" s="222">
        <v>6.6953905306524701</v>
      </c>
      <c r="AT203" s="222">
        <v>6.4456986056530337</v>
      </c>
      <c r="AU203" s="222">
        <v>6.8893357234091264</v>
      </c>
      <c r="AV203" s="222">
        <v>6.6311301044856474</v>
      </c>
      <c r="AW203" s="222">
        <v>7.0871268723536431</v>
      </c>
      <c r="AX203" s="222">
        <v>6.8314271620395299</v>
      </c>
      <c r="AY203" s="76"/>
      <c r="AZ203" s="77" t="s">
        <v>1259</v>
      </c>
      <c r="BA203" s="77" t="s">
        <v>1346</v>
      </c>
      <c r="BB203" s="78" t="s">
        <v>1261</v>
      </c>
      <c r="BC203" s="76"/>
      <c r="BD203" s="79">
        <f>_xll.VAData($AZ203,BD$2,$BA203,$BB203)</f>
        <v>6.4123524999999999</v>
      </c>
      <c r="BE203" s="79">
        <f>_xll.VAData($AZ203,BE$2,$BA203,$BB203)</f>
        <v>6.4126475000000003</v>
      </c>
      <c r="BF203" s="79">
        <f>_xll.VAData($AZ203,BF$2,$BA203,$BB203)</f>
        <v>6.5002093049999994</v>
      </c>
      <c r="BG203" s="79">
        <f>_xll.VAData($AZ203,BG$2,$BA203,$BB203)</f>
        <v>6.6805818199999996</v>
      </c>
      <c r="BH203" s="79">
        <f>_xll.VAData($AZ203,BH$2,$BA203,$BB203)</f>
        <v>7.0948201470000001</v>
      </c>
      <c r="BI203" s="79">
        <f>_xll.VAData($AZ203,BI$2,$BA203,$BB203)</f>
        <v>4.0051798529999996</v>
      </c>
      <c r="BJ203" s="79">
        <f>_xll.VAData($AZ203,BJ$2,$BA203,$BB203)</f>
        <v>5.9018722441818001</v>
      </c>
      <c r="BK203" s="79">
        <f>_xll.VAData($AZ203,BK$2,$BA203,$BB203)</f>
        <v>6.4082877647999998</v>
      </c>
      <c r="BL203" s="79">
        <f>_xll.VAData($AZ203,BL$2,$BA203,$BB203)</f>
        <v>5</v>
      </c>
      <c r="BM203" s="79">
        <f>_xll.VAData($AZ203,BM$2,$BA203,$BB203)</f>
        <v>5.2</v>
      </c>
      <c r="BN203" s="79">
        <f>_xll.VAData($AZ203,BN$2,$BA203,$BB203)</f>
        <v>8.1999999999999993</v>
      </c>
      <c r="BO203" s="79">
        <f>_xll.VAData($AZ203,BO$2,$BA203,$BB203)</f>
        <v>4.9000000000000004</v>
      </c>
      <c r="BP203" s="79">
        <f>_xll.VAData($AZ203,BP$2,$BA203,$BB203)</f>
        <v>6.7</v>
      </c>
      <c r="BQ203" s="79">
        <f>_xll.VAData($AZ203,BQ$2,$BA203,$BB203)</f>
        <v>6.9</v>
      </c>
      <c r="BR203" s="79">
        <f>_xll.VAData($AZ203,BR$2,$BA203,$BB203)</f>
        <v>6.532</v>
      </c>
      <c r="BS203" s="79">
        <f>_xll.VAData($AZ203,BS$2,$BA203,$BB203)</f>
        <v>6.8327999999999998</v>
      </c>
      <c r="BT203" s="79">
        <f>_xll.VAData($AZ203,BT$2,$BA203,$BB203)</f>
        <v>6.4324399999999997</v>
      </c>
      <c r="BU203" s="79">
        <f>_xll.VAData($AZ203,BU$2,$BA203,$BB203)</f>
        <v>6.9768480000000004</v>
      </c>
      <c r="BV203" s="79">
        <f>_xll.VAData($AZ203,BV$2,$BA203,$BB203)</f>
        <v>6.5932510000000004</v>
      </c>
      <c r="BW203" s="79">
        <f>_xll.VAData($AZ203,BW$2,$BA203,$BB203)</f>
        <v>7.1512691999999998</v>
      </c>
      <c r="BX203" s="79">
        <f>_xll.VAData($AZ203,BX$2,$BA203,$BB203)</f>
        <v>6.7580822749999996</v>
      </c>
      <c r="BY203" s="79">
        <f>_xll.VAData($AZ203,BY$2,$BA203,$BB203)</f>
        <v>7.3300509299999996</v>
      </c>
    </row>
    <row r="204" spans="2:77">
      <c r="B204" s="74"/>
      <c r="C204" s="72" t="s">
        <v>72</v>
      </c>
      <c r="D204" s="225" t="s">
        <v>1343</v>
      </c>
      <c r="E204" s="226" t="e">
        <f>HY!#REF!</f>
        <v>#REF!</v>
      </c>
      <c r="F204" s="226" t="e">
        <f>HY!#REF!</f>
        <v>#REF!</v>
      </c>
      <c r="G204" s="226" t="e">
        <f>HY!#REF!</f>
        <v>#REF!</v>
      </c>
      <c r="H204" s="226" t="e">
        <f>HY!#REF!</f>
        <v>#REF!</v>
      </c>
      <c r="I204" s="226" t="e">
        <f>HY!#REF!</f>
        <v>#REF!</v>
      </c>
      <c r="J204" s="226" t="e">
        <f>HY!#REF!</f>
        <v>#REF!</v>
      </c>
      <c r="K204" s="226" t="e">
        <f>HY!#REF!</f>
        <v>#REF!</v>
      </c>
      <c r="L204" s="226" t="e">
        <f>HY!#REF!</f>
        <v>#REF!</v>
      </c>
      <c r="M204" s="226" t="e">
        <f>HY!#REF!</f>
        <v>#REF!</v>
      </c>
      <c r="N204" s="226" t="e">
        <f>HY!#REF!</f>
        <v>#REF!</v>
      </c>
      <c r="O204" s="226" t="e">
        <f>HY!#REF!</f>
        <v>#REF!</v>
      </c>
      <c r="P204" s="226" t="e">
        <f>HY!#REF!</f>
        <v>#REF!</v>
      </c>
      <c r="Q204" s="226" t="e">
        <f>HY!#REF!</f>
        <v>#REF!</v>
      </c>
      <c r="R204" s="226" t="e">
        <f>HY!#REF!</f>
        <v>#REF!</v>
      </c>
      <c r="S204" s="226" t="e">
        <f>HY!#REF!</f>
        <v>#REF!</v>
      </c>
      <c r="T204" s="226" t="e">
        <f>HY!#REF!</f>
        <v>#REF!</v>
      </c>
      <c r="U204" s="226" t="e">
        <f>HY!#REF!</f>
        <v>#REF!</v>
      </c>
      <c r="V204" s="226" t="e">
        <f>HY!#REF!</f>
        <v>#REF!</v>
      </c>
      <c r="W204" s="226" t="e">
        <f>HY!#REF!</f>
        <v>#REF!</v>
      </c>
      <c r="X204" s="226" t="e">
        <f>HY!#REF!</f>
        <v>#REF!</v>
      </c>
      <c r="Y204" s="226" t="e">
        <f>HY!#REF!</f>
        <v>#REF!</v>
      </c>
      <c r="Z204" s="226" t="e">
        <f>HY!#REF!</f>
        <v>#REF!</v>
      </c>
      <c r="AA204" s="72"/>
      <c r="AB204" s="76"/>
      <c r="AC204" s="221"/>
      <c r="AD204" s="221"/>
      <c r="AE204" s="221"/>
      <c r="AF204" s="221"/>
      <c r="AG204" s="221"/>
      <c r="AH204" s="221"/>
      <c r="AI204" s="221"/>
      <c r="AJ204" s="221"/>
      <c r="AK204" s="221"/>
      <c r="AL204" s="221"/>
      <c r="AM204" s="221"/>
      <c r="AN204" s="221"/>
      <c r="AO204" s="221"/>
      <c r="AP204" s="221"/>
      <c r="AQ204" s="221"/>
      <c r="AR204" s="221"/>
      <c r="AS204" s="221"/>
      <c r="AT204" s="221"/>
      <c r="AU204" s="221"/>
      <c r="AV204" s="221"/>
      <c r="AW204" s="221"/>
      <c r="AX204" s="221"/>
      <c r="AY204" s="76"/>
      <c r="AZ204" s="77"/>
      <c r="BA204" s="77"/>
      <c r="BB204" s="78"/>
      <c r="BC204" s="76"/>
      <c r="BD204" s="221"/>
      <c r="BE204" s="221"/>
      <c r="BF204" s="221"/>
      <c r="BG204" s="221"/>
      <c r="BH204" s="221"/>
      <c r="BI204" s="221"/>
      <c r="BJ204" s="221"/>
      <c r="BK204" s="221"/>
      <c r="BL204" s="221"/>
      <c r="BM204" s="221"/>
      <c r="BN204" s="221"/>
      <c r="BO204" s="221"/>
      <c r="BP204" s="221"/>
      <c r="BQ204" s="221"/>
      <c r="BR204" s="221"/>
      <c r="BS204" s="221"/>
      <c r="BT204" s="221"/>
      <c r="BU204" s="221"/>
      <c r="BV204" s="221"/>
      <c r="BW204" s="221"/>
      <c r="BX204" s="221"/>
      <c r="BY204" s="221"/>
    </row>
    <row r="205" spans="2:77">
      <c r="B205" s="74"/>
      <c r="C205" s="81" t="s">
        <v>88</v>
      </c>
      <c r="D205" s="72" t="s">
        <v>1344</v>
      </c>
      <c r="E205" s="227" t="str">
        <f t="shared" ref="E205:Z205" si="86">IFERROR(ROUND(E203/E204-1,3),"")</f>
        <v/>
      </c>
      <c r="F205" s="227" t="str">
        <f t="shared" si="86"/>
        <v/>
      </c>
      <c r="G205" s="227" t="str">
        <f t="shared" si="86"/>
        <v/>
      </c>
      <c r="H205" s="227" t="str">
        <f t="shared" si="86"/>
        <v/>
      </c>
      <c r="I205" s="227" t="str">
        <f t="shared" si="86"/>
        <v/>
      </c>
      <c r="J205" s="227" t="str">
        <f t="shared" si="86"/>
        <v/>
      </c>
      <c r="K205" s="227" t="str">
        <f t="shared" si="86"/>
        <v/>
      </c>
      <c r="L205" s="227" t="str">
        <f t="shared" si="86"/>
        <v/>
      </c>
      <c r="M205" s="227" t="str">
        <f t="shared" si="86"/>
        <v/>
      </c>
      <c r="N205" s="227" t="str">
        <f t="shared" si="86"/>
        <v/>
      </c>
      <c r="O205" s="227" t="str">
        <f t="shared" si="86"/>
        <v/>
      </c>
      <c r="P205" s="227" t="str">
        <f t="shared" si="86"/>
        <v/>
      </c>
      <c r="Q205" s="227" t="str">
        <f t="shared" si="86"/>
        <v/>
      </c>
      <c r="R205" s="227" t="str">
        <f t="shared" si="86"/>
        <v/>
      </c>
      <c r="S205" s="227" t="str">
        <f t="shared" si="86"/>
        <v/>
      </c>
      <c r="T205" s="227" t="str">
        <f t="shared" si="86"/>
        <v/>
      </c>
      <c r="U205" s="227" t="str">
        <f t="shared" si="86"/>
        <v/>
      </c>
      <c r="V205" s="227" t="str">
        <f t="shared" si="86"/>
        <v/>
      </c>
      <c r="W205" s="227" t="str">
        <f t="shared" si="86"/>
        <v/>
      </c>
      <c r="X205" s="227" t="str">
        <f t="shared" si="86"/>
        <v/>
      </c>
      <c r="Y205" s="227" t="str">
        <f t="shared" si="86"/>
        <v/>
      </c>
      <c r="Z205" s="227" t="str">
        <f t="shared" si="86"/>
        <v/>
      </c>
      <c r="AA205" s="72"/>
      <c r="AB205" s="76"/>
      <c r="AC205" s="221"/>
      <c r="AD205" s="221"/>
      <c r="AE205" s="221"/>
      <c r="AF205" s="221"/>
      <c r="AG205" s="221"/>
      <c r="AH205" s="221"/>
      <c r="AI205" s="221"/>
      <c r="AJ205" s="221"/>
      <c r="AK205" s="221"/>
      <c r="AL205" s="221"/>
      <c r="AM205" s="221"/>
      <c r="AN205" s="221"/>
      <c r="AO205" s="221"/>
      <c r="AP205" s="221"/>
      <c r="AQ205" s="221"/>
      <c r="AR205" s="221"/>
      <c r="AS205" s="221"/>
      <c r="AT205" s="221"/>
      <c r="AU205" s="221"/>
      <c r="AV205" s="221"/>
      <c r="AW205" s="221"/>
      <c r="AX205" s="221"/>
      <c r="AY205" s="76"/>
      <c r="AZ205" s="77"/>
      <c r="BA205" s="77"/>
      <c r="BB205" s="78"/>
      <c r="BC205" s="76"/>
      <c r="BD205" s="221"/>
      <c r="BE205" s="221"/>
      <c r="BF205" s="221"/>
      <c r="BG205" s="221"/>
      <c r="BH205" s="221"/>
      <c r="BI205" s="221"/>
      <c r="BJ205" s="221"/>
      <c r="BK205" s="221"/>
      <c r="BL205" s="221"/>
      <c r="BM205" s="221"/>
      <c r="BN205" s="221"/>
      <c r="BO205" s="221"/>
      <c r="BP205" s="221"/>
      <c r="BQ205" s="221"/>
      <c r="BR205" s="221"/>
      <c r="BS205" s="221"/>
      <c r="BT205" s="221"/>
      <c r="BU205" s="221"/>
      <c r="BV205" s="221"/>
      <c r="BW205" s="221"/>
      <c r="BX205" s="221"/>
      <c r="BY205" s="221"/>
    </row>
    <row r="206" spans="2:77">
      <c r="B206" s="74"/>
      <c r="C206" s="72"/>
      <c r="D206" s="72"/>
      <c r="E206" s="75"/>
      <c r="F206" s="75"/>
      <c r="G206" s="75"/>
      <c r="H206" s="75"/>
      <c r="I206" s="75"/>
      <c r="J206" s="75"/>
      <c r="K206" s="75"/>
      <c r="L206" s="75"/>
      <c r="M206" s="75"/>
      <c r="N206" s="75"/>
      <c r="O206" s="75"/>
      <c r="P206" s="75"/>
      <c r="Q206" s="75"/>
      <c r="R206" s="75"/>
      <c r="S206" s="75"/>
      <c r="T206" s="75"/>
      <c r="U206" s="75"/>
      <c r="V206" s="75"/>
      <c r="W206" s="75"/>
      <c r="X206" s="75"/>
      <c r="Y206" s="75"/>
      <c r="Z206" s="75"/>
      <c r="AA206" s="72"/>
      <c r="AB206" s="76"/>
      <c r="AC206" s="221"/>
      <c r="AD206" s="221"/>
      <c r="AE206" s="221"/>
      <c r="AF206" s="221"/>
      <c r="AG206" s="221"/>
      <c r="AH206" s="221"/>
      <c r="AI206" s="221"/>
      <c r="AJ206" s="221"/>
      <c r="AK206" s="221"/>
      <c r="AL206" s="221"/>
      <c r="AM206" s="221"/>
      <c r="AN206" s="221"/>
      <c r="AO206" s="221"/>
      <c r="AP206" s="221"/>
      <c r="AQ206" s="221"/>
      <c r="AR206" s="221"/>
      <c r="AS206" s="221"/>
      <c r="AT206" s="221"/>
      <c r="AU206" s="221"/>
      <c r="AV206" s="221"/>
      <c r="AW206" s="221"/>
      <c r="AX206" s="221"/>
      <c r="AY206" s="76"/>
      <c r="AZ206" s="77"/>
      <c r="BA206" s="77"/>
      <c r="BB206" s="78"/>
      <c r="BC206" s="76"/>
      <c r="BD206" s="221"/>
      <c r="BE206" s="221"/>
      <c r="BF206" s="221"/>
      <c r="BG206" s="221"/>
      <c r="BH206" s="221"/>
      <c r="BI206" s="221"/>
      <c r="BJ206" s="221"/>
      <c r="BK206" s="221"/>
      <c r="BL206" s="221"/>
      <c r="BM206" s="221"/>
      <c r="BN206" s="221"/>
      <c r="BO206" s="221"/>
      <c r="BP206" s="221"/>
      <c r="BQ206" s="221"/>
      <c r="BR206" s="221"/>
      <c r="BS206" s="221"/>
      <c r="BT206" s="221"/>
      <c r="BU206" s="221"/>
      <c r="BV206" s="221"/>
      <c r="BW206" s="221"/>
      <c r="BX206" s="221"/>
      <c r="BY206" s="221"/>
    </row>
    <row r="207" spans="2:77">
      <c r="B207" s="74" t="str">
        <f>BA207</f>
        <v>EBITDA - Queenstown</v>
      </c>
      <c r="C207" s="72" t="s">
        <v>72</v>
      </c>
      <c r="D207" s="224" t="s">
        <v>1342</v>
      </c>
      <c r="E207" s="223">
        <f t="shared" ref="E207:Z207" si="87">AC207</f>
        <v>1</v>
      </c>
      <c r="F207" s="223">
        <f t="shared" si="87"/>
        <v>1.1000000000000001</v>
      </c>
      <c r="G207" s="223">
        <f t="shared" si="87"/>
        <v>1.2</v>
      </c>
      <c r="H207" s="223">
        <f t="shared" si="87"/>
        <v>1.1000000000000001</v>
      </c>
      <c r="I207" s="223">
        <f t="shared" si="87"/>
        <v>1.5</v>
      </c>
      <c r="J207" s="223">
        <f t="shared" si="87"/>
        <v>-0.8</v>
      </c>
      <c r="K207" s="223">
        <f t="shared" si="87"/>
        <v>2.2000000000000002</v>
      </c>
      <c r="L207" s="223">
        <f t="shared" si="87"/>
        <v>1</v>
      </c>
      <c r="M207" s="223">
        <f t="shared" si="87"/>
        <v>1.4</v>
      </c>
      <c r="N207" s="223">
        <f t="shared" si="87"/>
        <v>1.6</v>
      </c>
      <c r="O207" s="223">
        <f t="shared" si="87"/>
        <v>2.2999999999999998</v>
      </c>
      <c r="P207" s="223">
        <f t="shared" si="87"/>
        <v>1.8</v>
      </c>
      <c r="Q207" s="223">
        <f t="shared" si="87"/>
        <v>2.0704908686137942</v>
      </c>
      <c r="R207" s="223">
        <f t="shared" si="87"/>
        <v>1.7206776992372139</v>
      </c>
      <c r="S207" s="223">
        <f t="shared" si="87"/>
        <v>2.2249446300665552</v>
      </c>
      <c r="T207" s="223">
        <f t="shared" si="87"/>
        <v>1.783701229096198</v>
      </c>
      <c r="U207" s="223">
        <f t="shared" si="87"/>
        <v>2.3400394100608271</v>
      </c>
      <c r="V207" s="223">
        <f t="shared" si="87"/>
        <v>1.848398806390853</v>
      </c>
      <c r="W207" s="223">
        <f t="shared" si="87"/>
        <v>2.3976944608759729</v>
      </c>
      <c r="X207" s="223">
        <f t="shared" si="87"/>
        <v>1.8903783899552731</v>
      </c>
      <c r="Y207" s="223">
        <f t="shared" si="87"/>
        <v>2.4685808089758101</v>
      </c>
      <c r="Z207" s="223">
        <f t="shared" si="87"/>
        <v>1.952189885958207</v>
      </c>
      <c r="AA207" s="72"/>
      <c r="AB207" s="76"/>
      <c r="AC207" s="222">
        <v>1</v>
      </c>
      <c r="AD207" s="222">
        <v>1.1000000000000001</v>
      </c>
      <c r="AE207" s="222">
        <v>1.2</v>
      </c>
      <c r="AF207" s="222">
        <v>1.1000000000000001</v>
      </c>
      <c r="AG207" s="222">
        <v>1.5</v>
      </c>
      <c r="AH207" s="222">
        <v>-0.8</v>
      </c>
      <c r="AI207" s="222">
        <v>2.2000000000000002</v>
      </c>
      <c r="AJ207" s="222">
        <v>1</v>
      </c>
      <c r="AK207" s="222">
        <v>1.4</v>
      </c>
      <c r="AL207" s="222">
        <v>1.6</v>
      </c>
      <c r="AM207" s="222">
        <v>2.2999999999999998</v>
      </c>
      <c r="AN207" s="222">
        <v>1.8</v>
      </c>
      <c r="AO207" s="222">
        <v>2.0704908686137942</v>
      </c>
      <c r="AP207" s="222">
        <v>1.7206776992372139</v>
      </c>
      <c r="AQ207" s="222">
        <v>2.2249446300665552</v>
      </c>
      <c r="AR207" s="222">
        <v>1.783701229096198</v>
      </c>
      <c r="AS207" s="222">
        <v>2.3400394100608271</v>
      </c>
      <c r="AT207" s="222">
        <v>1.848398806390853</v>
      </c>
      <c r="AU207" s="222">
        <v>2.3976944608759729</v>
      </c>
      <c r="AV207" s="222">
        <v>1.8903783899552731</v>
      </c>
      <c r="AW207" s="222">
        <v>2.4685808089758101</v>
      </c>
      <c r="AX207" s="222">
        <v>1.952189885958207</v>
      </c>
      <c r="AY207" s="76"/>
      <c r="AZ207" s="77" t="s">
        <v>1259</v>
      </c>
      <c r="BA207" s="77" t="s">
        <v>1350</v>
      </c>
      <c r="BB207" s="78" t="s">
        <v>1261</v>
      </c>
      <c r="BC207" s="76"/>
      <c r="BD207" s="79">
        <f>_xll.VAData($AZ207,BD$2,$BA207,$BB207)</f>
        <v>0.971796675</v>
      </c>
      <c r="BE207" s="79">
        <f>_xll.VAData($AZ207,BE$2,$BA207,$BB207)</f>
        <v>1.1282033250000001</v>
      </c>
      <c r="BF207" s="79">
        <f>_xll.VAData($AZ207,BF$2,$BA207,$BB207)</f>
        <v>1.18474682350313</v>
      </c>
      <c r="BG207" s="79">
        <f>_xll.VAData($AZ207,BG$2,$BA207,$BB207)</f>
        <v>1.15461940725532</v>
      </c>
      <c r="BH207" s="79">
        <f>_xll.VAData($AZ207,BH$2,$BA207,$BB207)</f>
        <v>1.494820147</v>
      </c>
      <c r="BI207" s="79">
        <f>_xll.VAData($AZ207,BI$2,$BA207,$BB207)</f>
        <v>-0.79482014699999948</v>
      </c>
      <c r="BJ207" s="79">
        <f>_xll.VAData($AZ207,BJ$2,$BA207,$BB207)</f>
        <v>2.1950462764956802</v>
      </c>
      <c r="BK207" s="79">
        <f>_xll.VAData($AZ207,BK$2,$BA207,$BB207)</f>
        <v>0.98587246819368501</v>
      </c>
      <c r="BL207" s="79">
        <f>_xll.VAData($AZ207,BL$2,$BA207,$BB207)</f>
        <v>1.4</v>
      </c>
      <c r="BM207" s="79">
        <f>_xll.VAData($AZ207,BM$2,$BA207,$BB207)</f>
        <v>1.6</v>
      </c>
      <c r="BN207" s="79">
        <f>_xll.VAData($AZ207,BN$2,$BA207,$BB207)</f>
        <v>3.6</v>
      </c>
      <c r="BO207" s="79">
        <f>_xll.VAData($AZ207,BO$2,$BA207,$BB207)</f>
        <v>0.4</v>
      </c>
      <c r="BP207" s="79">
        <f>_xll.VAData($AZ207,BP$2,$BA207,$BB207)</f>
        <v>0.4</v>
      </c>
      <c r="BQ207" s="79">
        <f>_xll.VAData($AZ207,BQ$2,$BA207,$BB207)</f>
        <v>2.1</v>
      </c>
      <c r="BR207" s="79">
        <f>_xll.VAData($AZ207,BR$2,$BA207,$BB207)</f>
        <v>1.36299282748207</v>
      </c>
      <c r="BS207" s="79">
        <f>_xll.VAData($AZ207,BS$2,$BA207,$BB207)</f>
        <v>1.2476640996602499</v>
      </c>
      <c r="BT207" s="79" t="str">
        <f>_xll.VAData($AZ207,BT$2,$BA207,$BB207)</f>
        <v>-</v>
      </c>
      <c r="BU207" s="79" t="str">
        <f>_xll.VAData($AZ207,BU$2,$BA207,$BB207)</f>
        <v>-</v>
      </c>
      <c r="BV207" s="79" t="str">
        <f>_xll.VAData($AZ207,BV$2,$BA207,$BB207)</f>
        <v>-</v>
      </c>
      <c r="BW207" s="79" t="str">
        <f>_xll.VAData($AZ207,BW$2,$BA207,$BB207)</f>
        <v>-</v>
      </c>
      <c r="BX207" s="79" t="str">
        <f>_xll.VAData($AZ207,BX$2,$BA207,$BB207)</f>
        <v>-</v>
      </c>
      <c r="BY207" s="79" t="str">
        <f>_xll.VAData($AZ207,BY$2,$BA207,$BB207)</f>
        <v>-</v>
      </c>
    </row>
    <row r="208" spans="2:77">
      <c r="B208" s="74"/>
      <c r="C208" s="72" t="s">
        <v>72</v>
      </c>
      <c r="D208" s="225" t="s">
        <v>1343</v>
      </c>
      <c r="E208" s="226" t="e">
        <f>HY!#REF!</f>
        <v>#REF!</v>
      </c>
      <c r="F208" s="226" t="e">
        <f>HY!#REF!</f>
        <v>#REF!</v>
      </c>
      <c r="G208" s="226" t="e">
        <f>HY!#REF!</f>
        <v>#REF!</v>
      </c>
      <c r="H208" s="226" t="e">
        <f>HY!#REF!</f>
        <v>#REF!</v>
      </c>
      <c r="I208" s="226" t="e">
        <f>HY!#REF!</f>
        <v>#REF!</v>
      </c>
      <c r="J208" s="226" t="e">
        <f>HY!#REF!</f>
        <v>#REF!</v>
      </c>
      <c r="K208" s="226" t="e">
        <f>HY!#REF!</f>
        <v>#REF!</v>
      </c>
      <c r="L208" s="226" t="e">
        <f>HY!#REF!</f>
        <v>#REF!</v>
      </c>
      <c r="M208" s="226" t="e">
        <f>HY!#REF!</f>
        <v>#REF!</v>
      </c>
      <c r="N208" s="226" t="e">
        <f>HY!#REF!</f>
        <v>#REF!</v>
      </c>
      <c r="O208" s="226" t="e">
        <f>HY!#REF!</f>
        <v>#REF!</v>
      </c>
      <c r="P208" s="226" t="e">
        <f>HY!#REF!</f>
        <v>#REF!</v>
      </c>
      <c r="Q208" s="226" t="e">
        <f>HY!#REF!</f>
        <v>#REF!</v>
      </c>
      <c r="R208" s="226" t="e">
        <f>HY!#REF!</f>
        <v>#REF!</v>
      </c>
      <c r="S208" s="226" t="e">
        <f>HY!#REF!</f>
        <v>#REF!</v>
      </c>
      <c r="T208" s="226" t="e">
        <f>HY!#REF!</f>
        <v>#REF!</v>
      </c>
      <c r="U208" s="226" t="e">
        <f>HY!#REF!</f>
        <v>#REF!</v>
      </c>
      <c r="V208" s="226" t="e">
        <f>HY!#REF!</f>
        <v>#REF!</v>
      </c>
      <c r="W208" s="226" t="e">
        <f>HY!#REF!</f>
        <v>#REF!</v>
      </c>
      <c r="X208" s="226" t="e">
        <f>HY!#REF!</f>
        <v>#REF!</v>
      </c>
      <c r="Y208" s="226" t="e">
        <f>HY!#REF!</f>
        <v>#REF!</v>
      </c>
      <c r="Z208" s="226" t="e">
        <f>HY!#REF!</f>
        <v>#REF!</v>
      </c>
      <c r="AA208" s="72"/>
      <c r="AB208" s="76"/>
      <c r="AC208" s="221"/>
      <c r="AD208" s="221"/>
      <c r="AE208" s="221"/>
      <c r="AF208" s="221"/>
      <c r="AG208" s="221"/>
      <c r="AH208" s="221"/>
      <c r="AI208" s="221"/>
      <c r="AJ208" s="221"/>
      <c r="AK208" s="221"/>
      <c r="AL208" s="221"/>
      <c r="AM208" s="221"/>
      <c r="AN208" s="221"/>
      <c r="AO208" s="221"/>
      <c r="AP208" s="221"/>
      <c r="AQ208" s="221"/>
      <c r="AR208" s="221"/>
      <c r="AS208" s="221"/>
      <c r="AT208" s="221"/>
      <c r="AU208" s="221"/>
      <c r="AV208" s="221"/>
      <c r="AW208" s="221"/>
      <c r="AX208" s="221"/>
      <c r="AY208" s="76"/>
      <c r="AZ208" s="77"/>
      <c r="BA208" s="77"/>
      <c r="BB208" s="78"/>
      <c r="BC208" s="76"/>
      <c r="BD208" s="221"/>
      <c r="BE208" s="221"/>
      <c r="BF208" s="221"/>
      <c r="BG208" s="221"/>
      <c r="BH208" s="221"/>
      <c r="BI208" s="221"/>
      <c r="BJ208" s="221"/>
      <c r="BK208" s="221"/>
      <c r="BL208" s="221"/>
      <c r="BM208" s="221"/>
      <c r="BN208" s="221"/>
      <c r="BO208" s="221"/>
      <c r="BP208" s="221"/>
      <c r="BQ208" s="221"/>
      <c r="BR208" s="221"/>
      <c r="BS208" s="221"/>
      <c r="BT208" s="221"/>
      <c r="BU208" s="221"/>
      <c r="BV208" s="221"/>
      <c r="BW208" s="221"/>
      <c r="BX208" s="221"/>
      <c r="BY208" s="221"/>
    </row>
    <row r="209" spans="1:77">
      <c r="B209" s="74"/>
      <c r="C209" s="81" t="s">
        <v>88</v>
      </c>
      <c r="D209" s="72" t="s">
        <v>1344</v>
      </c>
      <c r="E209" s="227" t="str">
        <f t="shared" ref="E209:Z209" si="88">IFERROR(ROUND(E207/E208-1,3),"")</f>
        <v/>
      </c>
      <c r="F209" s="227" t="str">
        <f t="shared" si="88"/>
        <v/>
      </c>
      <c r="G209" s="227" t="str">
        <f t="shared" si="88"/>
        <v/>
      </c>
      <c r="H209" s="227" t="str">
        <f t="shared" si="88"/>
        <v/>
      </c>
      <c r="I209" s="227" t="str">
        <f t="shared" si="88"/>
        <v/>
      </c>
      <c r="J209" s="227" t="str">
        <f t="shared" si="88"/>
        <v/>
      </c>
      <c r="K209" s="227" t="str">
        <f t="shared" si="88"/>
        <v/>
      </c>
      <c r="L209" s="227" t="str">
        <f t="shared" si="88"/>
        <v/>
      </c>
      <c r="M209" s="227" t="str">
        <f t="shared" si="88"/>
        <v/>
      </c>
      <c r="N209" s="227" t="str">
        <f t="shared" si="88"/>
        <v/>
      </c>
      <c r="O209" s="227" t="str">
        <f t="shared" si="88"/>
        <v/>
      </c>
      <c r="P209" s="227" t="str">
        <f t="shared" si="88"/>
        <v/>
      </c>
      <c r="Q209" s="227" t="str">
        <f t="shared" si="88"/>
        <v/>
      </c>
      <c r="R209" s="227" t="str">
        <f t="shared" si="88"/>
        <v/>
      </c>
      <c r="S209" s="227" t="str">
        <f t="shared" si="88"/>
        <v/>
      </c>
      <c r="T209" s="227" t="str">
        <f t="shared" si="88"/>
        <v/>
      </c>
      <c r="U209" s="227" t="str">
        <f t="shared" si="88"/>
        <v/>
      </c>
      <c r="V209" s="227" t="str">
        <f t="shared" si="88"/>
        <v/>
      </c>
      <c r="W209" s="227" t="str">
        <f t="shared" si="88"/>
        <v/>
      </c>
      <c r="X209" s="227" t="str">
        <f t="shared" si="88"/>
        <v/>
      </c>
      <c r="Y209" s="227" t="str">
        <f t="shared" si="88"/>
        <v/>
      </c>
      <c r="Z209" s="227" t="str">
        <f t="shared" si="88"/>
        <v/>
      </c>
      <c r="AA209" s="72"/>
      <c r="AB209" s="76"/>
      <c r="AC209" s="221"/>
      <c r="AD209" s="221"/>
      <c r="AE209" s="221"/>
      <c r="AF209" s="221"/>
      <c r="AG209" s="221"/>
      <c r="AH209" s="221"/>
      <c r="AI209" s="221"/>
      <c r="AJ209" s="221"/>
      <c r="AK209" s="221"/>
      <c r="AL209" s="221"/>
      <c r="AM209" s="221"/>
      <c r="AN209" s="221"/>
      <c r="AO209" s="221"/>
      <c r="AP209" s="221"/>
      <c r="AQ209" s="221"/>
      <c r="AR209" s="221"/>
      <c r="AS209" s="221"/>
      <c r="AT209" s="221"/>
      <c r="AU209" s="221"/>
      <c r="AV209" s="221"/>
      <c r="AW209" s="221"/>
      <c r="AX209" s="221"/>
      <c r="AY209" s="76"/>
      <c r="AZ209" s="77"/>
      <c r="BA209" s="77"/>
      <c r="BB209" s="78"/>
      <c r="BC209" s="76"/>
      <c r="BD209" s="221"/>
      <c r="BE209" s="221"/>
      <c r="BF209" s="221"/>
      <c r="BG209" s="221"/>
      <c r="BH209" s="221"/>
      <c r="BI209" s="221"/>
      <c r="BJ209" s="221"/>
      <c r="BK209" s="221"/>
      <c r="BL209" s="221"/>
      <c r="BM209" s="221"/>
      <c r="BN209" s="221"/>
      <c r="BO209" s="221"/>
      <c r="BP209" s="221"/>
      <c r="BQ209" s="221"/>
      <c r="BR209" s="221"/>
      <c r="BS209" s="221"/>
      <c r="BT209" s="221"/>
      <c r="BU209" s="221"/>
      <c r="BV209" s="221"/>
      <c r="BW209" s="221"/>
      <c r="BX209" s="221"/>
      <c r="BY209" s="221"/>
    </row>
    <row r="211" spans="1:77">
      <c r="A211" s="229"/>
      <c r="B211" s="229" t="s">
        <v>42</v>
      </c>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72"/>
      <c r="AB211" s="72"/>
      <c r="AC211" s="67"/>
      <c r="AD211" s="67"/>
      <c r="AE211" s="67"/>
      <c r="AF211" s="72"/>
      <c r="AG211" s="67"/>
      <c r="AH211" s="67"/>
      <c r="AI211" s="67"/>
      <c r="AJ211" s="72"/>
      <c r="AK211" s="67"/>
      <c r="AL211" s="67"/>
      <c r="AM211" s="67"/>
      <c r="AN211" s="67"/>
      <c r="AO211" s="67"/>
      <c r="AP211" s="67"/>
      <c r="AQ211" s="67"/>
      <c r="AR211" s="67"/>
      <c r="AS211" s="67"/>
      <c r="AT211" s="67"/>
      <c r="AU211" s="67"/>
      <c r="AV211" s="67"/>
      <c r="AW211" s="67"/>
      <c r="AX211" s="67"/>
      <c r="AY211" s="72"/>
      <c r="AZ211" s="67"/>
      <c r="BA211" s="67"/>
      <c r="BB211" s="67"/>
      <c r="BC211" s="72"/>
      <c r="BD211" s="67"/>
      <c r="BE211" s="67"/>
      <c r="BF211" s="67"/>
      <c r="BG211" s="72"/>
      <c r="BH211" s="67"/>
      <c r="BI211" s="67"/>
      <c r="BJ211" s="67"/>
      <c r="BK211" s="72"/>
      <c r="BL211" s="67"/>
      <c r="BM211" s="67"/>
      <c r="BN211" s="67"/>
      <c r="BO211" s="67"/>
      <c r="BP211" s="67"/>
      <c r="BQ211" s="67"/>
      <c r="BR211" s="67"/>
      <c r="BS211" s="67"/>
      <c r="BT211" s="67"/>
      <c r="BU211" s="67"/>
      <c r="BV211" s="67"/>
      <c r="BW211" s="67"/>
      <c r="BX211" s="67"/>
      <c r="BY211" s="67"/>
    </row>
    <row r="212" spans="1:77">
      <c r="B212" s="73"/>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67"/>
      <c r="AD212" s="67"/>
      <c r="AE212" s="67"/>
      <c r="AF212" s="72"/>
      <c r="AG212" s="67"/>
      <c r="AH212" s="67"/>
      <c r="AI212" s="67"/>
      <c r="AJ212" s="72"/>
      <c r="AK212" s="67"/>
      <c r="AL212" s="67"/>
      <c r="AM212" s="67"/>
      <c r="AN212" s="67"/>
      <c r="AO212" s="67"/>
      <c r="AP212" s="67"/>
      <c r="AQ212" s="67"/>
      <c r="AR212" s="67"/>
      <c r="AS212" s="67"/>
      <c r="AT212" s="67"/>
      <c r="AU212" s="67"/>
      <c r="AV212" s="67"/>
      <c r="AW212" s="67"/>
      <c r="AX212" s="67"/>
      <c r="AY212" s="72"/>
      <c r="AZ212" s="67"/>
      <c r="BA212" s="67"/>
      <c r="BB212" s="67"/>
      <c r="BC212" s="72"/>
      <c r="BD212" s="67"/>
      <c r="BE212" s="67"/>
      <c r="BF212" s="67"/>
      <c r="BG212" s="72"/>
      <c r="BH212" s="67"/>
      <c r="BI212" s="67"/>
      <c r="BJ212" s="67"/>
      <c r="BK212" s="72"/>
      <c r="BL212" s="67"/>
      <c r="BM212" s="67"/>
      <c r="BN212" s="67"/>
      <c r="BO212" s="67"/>
      <c r="BP212" s="67"/>
      <c r="BQ212" s="67"/>
      <c r="BR212" s="67"/>
      <c r="BS212" s="67"/>
      <c r="BT212" s="67"/>
      <c r="BU212" s="67"/>
      <c r="BV212" s="67"/>
      <c r="BW212" s="67"/>
      <c r="BX212" s="67"/>
      <c r="BY212" s="67"/>
    </row>
    <row r="213" spans="1:77">
      <c r="B213" s="237" t="s">
        <v>1378</v>
      </c>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67"/>
      <c r="AD213" s="67"/>
      <c r="AE213" s="67"/>
      <c r="AF213" s="72"/>
      <c r="AG213" s="67"/>
      <c r="AH213" s="67"/>
      <c r="AI213" s="67"/>
      <c r="AJ213" s="72"/>
      <c r="AK213" s="67"/>
      <c r="AL213" s="67"/>
      <c r="AM213" s="67"/>
      <c r="AN213" s="67"/>
      <c r="AO213" s="67"/>
      <c r="AP213" s="67"/>
      <c r="AQ213" s="67"/>
      <c r="AR213" s="67"/>
      <c r="AS213" s="67"/>
      <c r="AT213" s="67"/>
      <c r="AU213" s="67"/>
      <c r="AV213" s="67"/>
      <c r="AW213" s="67"/>
      <c r="AX213" s="67"/>
      <c r="AY213" s="72"/>
      <c r="AZ213" s="67"/>
      <c r="BA213" s="67"/>
      <c r="BB213" s="67"/>
      <c r="BC213" s="72"/>
      <c r="BD213" s="67"/>
      <c r="BE213" s="67"/>
      <c r="BF213" s="67"/>
      <c r="BG213" s="72"/>
      <c r="BH213" s="67"/>
      <c r="BI213" s="67"/>
      <c r="BJ213" s="67"/>
      <c r="BK213" s="72"/>
      <c r="BL213" s="67"/>
      <c r="BM213" s="67"/>
      <c r="BN213" s="67"/>
      <c r="BO213" s="67"/>
      <c r="BP213" s="67"/>
      <c r="BQ213" s="67"/>
      <c r="BR213" s="67"/>
      <c r="BS213" s="67"/>
      <c r="BT213" s="67"/>
      <c r="BU213" s="67"/>
      <c r="BV213" s="67"/>
      <c r="BW213" s="67"/>
      <c r="BX213" s="67"/>
      <c r="BY213" s="67"/>
    </row>
    <row r="214" spans="1:77">
      <c r="B214" s="73"/>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67"/>
      <c r="AD214" s="67"/>
      <c r="AE214" s="67"/>
      <c r="AF214" s="72"/>
      <c r="AG214" s="67"/>
      <c r="AH214" s="67"/>
      <c r="AI214" s="67"/>
      <c r="AJ214" s="72"/>
      <c r="AK214" s="67"/>
      <c r="AL214" s="67"/>
      <c r="AM214" s="67"/>
      <c r="AN214" s="67"/>
      <c r="AO214" s="67"/>
      <c r="AP214" s="67"/>
      <c r="AQ214" s="67"/>
      <c r="AR214" s="67"/>
      <c r="AS214" s="67"/>
      <c r="AT214" s="67"/>
      <c r="AU214" s="67"/>
      <c r="AV214" s="67"/>
      <c r="AW214" s="67"/>
      <c r="AX214" s="67"/>
      <c r="AY214" s="72"/>
      <c r="AZ214" s="67"/>
      <c r="BA214" s="67"/>
      <c r="BB214" s="67"/>
      <c r="BC214" s="72"/>
      <c r="BD214" s="67"/>
      <c r="BE214" s="67"/>
      <c r="BF214" s="67"/>
      <c r="BG214" s="72"/>
      <c r="BH214" s="67"/>
      <c r="BI214" s="67"/>
      <c r="BJ214" s="67"/>
      <c r="BK214" s="72"/>
      <c r="BL214" s="67"/>
      <c r="BM214" s="67"/>
      <c r="BN214" s="67"/>
      <c r="BO214" s="67"/>
      <c r="BP214" s="67"/>
      <c r="BQ214" s="67"/>
      <c r="BR214" s="67"/>
      <c r="BS214" s="67"/>
      <c r="BT214" s="67"/>
      <c r="BU214" s="67"/>
      <c r="BV214" s="67"/>
      <c r="BW214" s="67"/>
      <c r="BX214" s="67"/>
      <c r="BY214" s="67"/>
    </row>
    <row r="215" spans="1:77">
      <c r="B215" s="74" t="str">
        <f>BA215</f>
        <v>Exchange Rate- AUD to NZD</v>
      </c>
      <c r="C215" s="72" t="s">
        <v>90</v>
      </c>
      <c r="D215" s="224" t="s">
        <v>1342</v>
      </c>
      <c r="E215" s="238">
        <f t="shared" ref="E215:Z215" si="89">AC215</f>
        <v>1.0739012173482281</v>
      </c>
      <c r="F215" s="238">
        <f t="shared" si="89"/>
        <v>1.0825744942161251</v>
      </c>
      <c r="G215" s="238">
        <f t="shared" si="89"/>
        <v>1.069910659673273</v>
      </c>
      <c r="H215" s="238">
        <f t="shared" si="89"/>
        <v>1.0510337523319799</v>
      </c>
      <c r="I215" s="238">
        <f t="shared" si="89"/>
        <v>1.05831304899989</v>
      </c>
      <c r="J215" s="238">
        <f t="shared" si="89"/>
        <v>1.0550889264038681</v>
      </c>
      <c r="K215" s="238">
        <f t="shared" si="89"/>
        <v>1.0752688172042999</v>
      </c>
      <c r="L215" s="238">
        <f t="shared" si="89"/>
        <v>1.0746668072418251</v>
      </c>
      <c r="M215" s="238">
        <f t="shared" si="89"/>
        <v>1.0648957204130329</v>
      </c>
      <c r="N215" s="238">
        <f t="shared" si="89"/>
        <v>1.077812482542855</v>
      </c>
      <c r="O215" s="238">
        <f t="shared" si="89"/>
        <v>1.1036309458117199</v>
      </c>
      <c r="P215" s="238">
        <f t="shared" si="89"/>
        <v>1.0896317788037699</v>
      </c>
      <c r="Q215" s="238">
        <f t="shared" si="89"/>
        <v>1.07965652482452</v>
      </c>
      <c r="R215" s="238">
        <f t="shared" si="89"/>
        <v>1.092155741062363</v>
      </c>
      <c r="S215" s="238">
        <f t="shared" si="89"/>
        <v>1.0950223983212779</v>
      </c>
      <c r="T215" s="238">
        <f t="shared" si="89"/>
        <v>1.0947121610121351</v>
      </c>
      <c r="U215" s="238">
        <f t="shared" si="89"/>
        <v>1.0900810185185199</v>
      </c>
      <c r="V215" s="238">
        <f t="shared" si="89"/>
        <v>1.0890112420763971</v>
      </c>
      <c r="W215" s="238">
        <f t="shared" si="89"/>
        <v>1.087215189764253</v>
      </c>
      <c r="X215" s="238">
        <f t="shared" si="89"/>
        <v>1.085438210389533</v>
      </c>
      <c r="Y215" s="238">
        <f t="shared" si="89"/>
        <v>1.0836800017425829</v>
      </c>
      <c r="Z215" s="238">
        <f t="shared" si="89"/>
        <v>1.08194026796487</v>
      </c>
      <c r="AA215" s="72"/>
      <c r="AB215" s="76"/>
      <c r="AC215" s="222">
        <v>1.0739012173482281</v>
      </c>
      <c r="AD215" s="222">
        <v>1.0825744942161251</v>
      </c>
      <c r="AE215" s="222">
        <v>1.069910659673273</v>
      </c>
      <c r="AF215" s="222">
        <v>1.0510337523319799</v>
      </c>
      <c r="AG215" s="222">
        <v>1.05831304899989</v>
      </c>
      <c r="AH215" s="222">
        <v>1.0550889264038681</v>
      </c>
      <c r="AI215" s="222">
        <v>1.0752688172042999</v>
      </c>
      <c r="AJ215" s="222">
        <v>1.0746668072418251</v>
      </c>
      <c r="AK215" s="222">
        <v>1.0648957204130329</v>
      </c>
      <c r="AL215" s="222">
        <v>1.077812482542855</v>
      </c>
      <c r="AM215" s="222">
        <v>1.1036309458117199</v>
      </c>
      <c r="AN215" s="222">
        <v>1.0896317788037699</v>
      </c>
      <c r="AO215" s="222">
        <v>1.07965652482452</v>
      </c>
      <c r="AP215" s="222">
        <v>1.092155741062363</v>
      </c>
      <c r="AQ215" s="222">
        <v>1.0950223983212779</v>
      </c>
      <c r="AR215" s="222">
        <v>1.0947121610121351</v>
      </c>
      <c r="AS215" s="222">
        <v>1.0900810185185199</v>
      </c>
      <c r="AT215" s="222">
        <v>1.0890112420763971</v>
      </c>
      <c r="AU215" s="222">
        <v>1.087215189764253</v>
      </c>
      <c r="AV215" s="222">
        <v>1.085438210389533</v>
      </c>
      <c r="AW215" s="222">
        <v>1.0836800017425829</v>
      </c>
      <c r="AX215" s="222">
        <v>1.08194026796487</v>
      </c>
      <c r="AY215" s="76"/>
      <c r="AZ215" s="77" t="s">
        <v>1259</v>
      </c>
      <c r="BA215" s="77" t="s">
        <v>1379</v>
      </c>
      <c r="BB215" s="78" t="s">
        <v>1261</v>
      </c>
      <c r="BC215" s="76"/>
      <c r="BD215" s="79">
        <f>_xll.VAData($AZ215,BD$2,$BA215,$BB215)</f>
        <v>1.0807032874200799</v>
      </c>
      <c r="BE215" s="79">
        <f>_xll.VAData($AZ215,BE$2,$BA215,$BB215)</f>
        <v>1.0694244511707269</v>
      </c>
      <c r="BF215" s="79">
        <f>_xll.VAData($AZ215,BF$2,$BA215,$BB215)</f>
        <v>1.0681328688791381</v>
      </c>
      <c r="BG215" s="79">
        <f>_xll.VAData($AZ215,BG$2,$BA215,$BB215)</f>
        <v>1.0510337523319799</v>
      </c>
      <c r="BH215" s="79">
        <f>_xll.VAData($AZ215,BH$2,$BA215,$BB215)</f>
        <v>1.05831304899989</v>
      </c>
      <c r="BI215" s="79">
        <f>_xll.VAData($AZ215,BI$2,$BA215,$BB215)</f>
        <v>1.051085928647038</v>
      </c>
      <c r="BJ215" s="79">
        <f>_xll.VAData($AZ215,BJ$2,$BA215,$BB215)</f>
        <v>1.0752688172042999</v>
      </c>
      <c r="BK215" s="79">
        <f>_xll.VAData($AZ215,BK$2,$BA215,$BB215)</f>
        <v>1.0749443097971629</v>
      </c>
      <c r="BL215" s="79">
        <f>_xll.VAData($AZ215,BL$2,$BA215,$BB215)</f>
        <v>1.05902913327491</v>
      </c>
      <c r="BM215" s="79">
        <f>_xll.VAData($AZ215,BM$2,$BA215,$BB215)</f>
        <v>1.074637467955013</v>
      </c>
      <c r="BN215" s="79">
        <f>_xll.VAData($AZ215,BN$2,$BA215,$BB215)</f>
        <v>1.1036309458117199</v>
      </c>
      <c r="BO215" s="79">
        <f>_xll.VAData($AZ215,BO$2,$BA215,$BB215)</f>
        <v>1.0890715256248551</v>
      </c>
      <c r="BP215" s="79">
        <f>_xll.VAData($AZ215,BP$2,$BA215,$BB215)</f>
        <v>1.0833202908773181</v>
      </c>
      <c r="BQ215" s="79">
        <f>_xll.VAData($AZ215,BQ$2,$BA215,$BB215)</f>
        <v>1.08540990622444</v>
      </c>
      <c r="BR215" s="79">
        <f>_xll.VAData($AZ215,BR$2,$BA215,$BB215)</f>
        <v>1.089319356651508</v>
      </c>
      <c r="BS215" s="79">
        <f>_xll.VAData($AZ215,BS$2,$BA215,$BB215)</f>
        <v>1.084438133844013</v>
      </c>
      <c r="BT215" s="79">
        <f>_xll.VAData($AZ215,BT$2,$BA215,$BB215)</f>
        <v>1.0969504909201651</v>
      </c>
      <c r="BU215" s="79">
        <f>_xll.VAData($AZ215,BU$2,$BA215,$BB215)</f>
        <v>1.1185772589991601</v>
      </c>
      <c r="BV215" s="79">
        <f>_xll.VAData($AZ215,BV$2,$BA215,$BB215)</f>
        <v>1.1141939659094029</v>
      </c>
      <c r="BW215" s="79">
        <f>_xll.VAData($AZ215,BW$2,$BA215,$BB215)</f>
        <v>1.113884547240833</v>
      </c>
      <c r="BX215" s="79">
        <f>_xll.VAData($AZ215,BX$2,$BA215,$BB215)</f>
        <v>1.1202279452935431</v>
      </c>
      <c r="BY215" s="79">
        <f>_xll.VAData($AZ215,BY$2,$BA215,$BB215)</f>
        <v>1.1198569381967269</v>
      </c>
    </row>
    <row r="216" spans="1:77">
      <c r="B216" s="74"/>
      <c r="C216" s="72" t="s">
        <v>90</v>
      </c>
      <c r="D216" s="225" t="s">
        <v>1343</v>
      </c>
      <c r="E216" s="239" t="e">
        <f>HY!#REF!</f>
        <v>#REF!</v>
      </c>
      <c r="F216" s="239" t="e">
        <f>HY!#REF!</f>
        <v>#REF!</v>
      </c>
      <c r="G216" s="239" t="e">
        <f>HY!#REF!</f>
        <v>#REF!</v>
      </c>
      <c r="H216" s="239" t="e">
        <f>HY!#REF!</f>
        <v>#REF!</v>
      </c>
      <c r="I216" s="239" t="e">
        <f>HY!#REF!</f>
        <v>#REF!</v>
      </c>
      <c r="J216" s="239" t="e">
        <f>HY!#REF!</f>
        <v>#REF!</v>
      </c>
      <c r="K216" s="239" t="e">
        <f>HY!#REF!</f>
        <v>#REF!</v>
      </c>
      <c r="L216" s="239" t="e">
        <f>HY!#REF!</f>
        <v>#REF!</v>
      </c>
      <c r="M216" s="239" t="e">
        <f>HY!#REF!</f>
        <v>#REF!</v>
      </c>
      <c r="N216" s="239" t="e">
        <f>HY!#REF!</f>
        <v>#REF!</v>
      </c>
      <c r="O216" s="239" t="e">
        <f>HY!#REF!</f>
        <v>#REF!</v>
      </c>
      <c r="P216" s="239" t="e">
        <f>HY!#REF!</f>
        <v>#REF!</v>
      </c>
      <c r="Q216" s="239" t="e">
        <f>HY!#REF!</f>
        <v>#REF!</v>
      </c>
      <c r="R216" s="239" t="e">
        <f>HY!#REF!</f>
        <v>#REF!</v>
      </c>
      <c r="S216" s="239" t="e">
        <f>HY!#REF!</f>
        <v>#REF!</v>
      </c>
      <c r="T216" s="239" t="e">
        <f>HY!#REF!</f>
        <v>#REF!</v>
      </c>
      <c r="U216" s="239" t="e">
        <f>HY!#REF!</f>
        <v>#REF!</v>
      </c>
      <c r="V216" s="239" t="e">
        <f>HY!#REF!</f>
        <v>#REF!</v>
      </c>
      <c r="W216" s="239" t="e">
        <f>HY!#REF!</f>
        <v>#REF!</v>
      </c>
      <c r="X216" s="239" t="e">
        <f>HY!#REF!</f>
        <v>#REF!</v>
      </c>
      <c r="Y216" s="239" t="e">
        <f>HY!#REF!</f>
        <v>#REF!</v>
      </c>
      <c r="Z216" s="239" t="e">
        <f>HY!#REF!</f>
        <v>#REF!</v>
      </c>
      <c r="AA216" s="72"/>
      <c r="AB216" s="76"/>
      <c r="AC216" s="221"/>
      <c r="AD216" s="221"/>
      <c r="AE216" s="221"/>
      <c r="AF216" s="221"/>
      <c r="AG216" s="221"/>
      <c r="AH216" s="221"/>
      <c r="AI216" s="221"/>
      <c r="AJ216" s="221"/>
      <c r="AK216" s="221"/>
      <c r="AL216" s="221"/>
      <c r="AM216" s="221"/>
      <c r="AN216" s="221"/>
      <c r="AO216" s="221"/>
      <c r="AP216" s="221"/>
      <c r="AQ216" s="221"/>
      <c r="AR216" s="221"/>
      <c r="AS216" s="221"/>
      <c r="AT216" s="221"/>
      <c r="AU216" s="221"/>
      <c r="AV216" s="221"/>
      <c r="AW216" s="221"/>
      <c r="AX216" s="221"/>
      <c r="AY216" s="76"/>
      <c r="AZ216" s="77"/>
      <c r="BA216" s="77"/>
      <c r="BB216" s="78"/>
      <c r="BC216" s="76"/>
      <c r="BD216" s="221"/>
      <c r="BE216" s="221"/>
      <c r="BF216" s="221"/>
      <c r="BG216" s="221"/>
      <c r="BH216" s="221"/>
      <c r="BI216" s="221"/>
      <c r="BJ216" s="221"/>
      <c r="BK216" s="221"/>
      <c r="BL216" s="221"/>
      <c r="BM216" s="221"/>
      <c r="BN216" s="221"/>
      <c r="BO216" s="221"/>
      <c r="BP216" s="221"/>
      <c r="BQ216" s="221"/>
      <c r="BR216" s="221"/>
      <c r="BS216" s="221"/>
      <c r="BT216" s="221"/>
      <c r="BU216" s="221"/>
      <c r="BV216" s="221"/>
      <c r="BW216" s="221"/>
      <c r="BX216" s="221"/>
      <c r="BY216" s="221"/>
    </row>
    <row r="217" spans="1:77">
      <c r="B217" s="74"/>
      <c r="C217" s="81" t="s">
        <v>88</v>
      </c>
      <c r="D217" s="72" t="s">
        <v>1344</v>
      </c>
      <c r="E217" s="227" t="str">
        <f t="shared" ref="E217:Z217" si="90">IFERROR(ROUND(E215/E216-1,3),"")</f>
        <v/>
      </c>
      <c r="F217" s="227" t="str">
        <f t="shared" si="90"/>
        <v/>
      </c>
      <c r="G217" s="227" t="str">
        <f t="shared" si="90"/>
        <v/>
      </c>
      <c r="H217" s="227" t="str">
        <f t="shared" si="90"/>
        <v/>
      </c>
      <c r="I217" s="227" t="str">
        <f t="shared" si="90"/>
        <v/>
      </c>
      <c r="J217" s="227" t="str">
        <f t="shared" si="90"/>
        <v/>
      </c>
      <c r="K217" s="227" t="str">
        <f t="shared" si="90"/>
        <v/>
      </c>
      <c r="L217" s="227" t="str">
        <f t="shared" si="90"/>
        <v/>
      </c>
      <c r="M217" s="227" t="str">
        <f t="shared" si="90"/>
        <v/>
      </c>
      <c r="N217" s="227" t="str">
        <f t="shared" si="90"/>
        <v/>
      </c>
      <c r="O217" s="227" t="str">
        <f t="shared" si="90"/>
        <v/>
      </c>
      <c r="P217" s="227" t="str">
        <f t="shared" si="90"/>
        <v/>
      </c>
      <c r="Q217" s="227" t="str">
        <f t="shared" si="90"/>
        <v/>
      </c>
      <c r="R217" s="227" t="str">
        <f t="shared" si="90"/>
        <v/>
      </c>
      <c r="S217" s="227" t="str">
        <f t="shared" si="90"/>
        <v/>
      </c>
      <c r="T217" s="227" t="str">
        <f t="shared" si="90"/>
        <v/>
      </c>
      <c r="U217" s="227" t="str">
        <f t="shared" si="90"/>
        <v/>
      </c>
      <c r="V217" s="227" t="str">
        <f t="shared" si="90"/>
        <v/>
      </c>
      <c r="W217" s="227" t="str">
        <f t="shared" si="90"/>
        <v/>
      </c>
      <c r="X217" s="227" t="str">
        <f t="shared" si="90"/>
        <v/>
      </c>
      <c r="Y217" s="227" t="str">
        <f t="shared" si="90"/>
        <v/>
      </c>
      <c r="Z217" s="227" t="str">
        <f t="shared" si="90"/>
        <v/>
      </c>
      <c r="AA217" s="72"/>
      <c r="AB217" s="76"/>
      <c r="AC217" s="221"/>
      <c r="AD217" s="221"/>
      <c r="AE217" s="221"/>
      <c r="AF217" s="221"/>
      <c r="AG217" s="221"/>
      <c r="AH217" s="221"/>
      <c r="AI217" s="221"/>
      <c r="AJ217" s="221"/>
      <c r="AK217" s="221"/>
      <c r="AL217" s="221"/>
      <c r="AM217" s="221"/>
      <c r="AN217" s="221"/>
      <c r="AO217" s="221"/>
      <c r="AP217" s="221"/>
      <c r="AQ217" s="221"/>
      <c r="AR217" s="221"/>
      <c r="AS217" s="221"/>
      <c r="AT217" s="221"/>
      <c r="AU217" s="221"/>
      <c r="AV217" s="221"/>
      <c r="AW217" s="221"/>
      <c r="AX217" s="221"/>
      <c r="AY217" s="76"/>
      <c r="AZ217" s="77"/>
      <c r="BA217" s="77"/>
      <c r="BB217" s="78"/>
      <c r="BC217" s="76"/>
      <c r="BD217" s="221"/>
      <c r="BE217" s="221"/>
      <c r="BF217" s="221"/>
      <c r="BG217" s="221"/>
      <c r="BH217" s="221"/>
      <c r="BI217" s="221"/>
      <c r="BJ217" s="221"/>
      <c r="BK217" s="221"/>
      <c r="BL217" s="221"/>
      <c r="BM217" s="221"/>
      <c r="BN217" s="221"/>
      <c r="BO217" s="221"/>
      <c r="BP217" s="221"/>
      <c r="BQ217" s="221"/>
      <c r="BR217" s="221"/>
      <c r="BS217" s="221"/>
      <c r="BT217" s="221"/>
      <c r="BU217" s="221"/>
      <c r="BV217" s="221"/>
      <c r="BW217" s="221"/>
      <c r="BX217" s="221"/>
      <c r="BY217" s="221"/>
    </row>
    <row r="218" spans="1:77">
      <c r="B218" s="237" t="s">
        <v>1353</v>
      </c>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67"/>
      <c r="AD218" s="67"/>
      <c r="AE218" s="67"/>
      <c r="AF218" s="72"/>
      <c r="AG218" s="67"/>
      <c r="AH218" s="67"/>
      <c r="AI218" s="67"/>
      <c r="AJ218" s="72"/>
      <c r="AK218" s="67"/>
      <c r="AL218" s="67"/>
      <c r="AM218" s="67"/>
      <c r="AN218" s="67"/>
      <c r="AO218" s="67"/>
      <c r="AP218" s="67"/>
      <c r="AQ218" s="67"/>
      <c r="AR218" s="67"/>
      <c r="AS218" s="67"/>
      <c r="AT218" s="67"/>
      <c r="AU218" s="67"/>
      <c r="AV218" s="67"/>
      <c r="AW218" s="67"/>
      <c r="AX218" s="67"/>
      <c r="AY218" s="72"/>
      <c r="AZ218" s="67"/>
      <c r="BA218" s="67"/>
      <c r="BB218" s="67"/>
      <c r="BC218" s="72"/>
      <c r="BD218" s="67"/>
      <c r="BE218" s="67"/>
      <c r="BF218" s="67"/>
      <c r="BG218" s="72"/>
      <c r="BH218" s="67"/>
      <c r="BI218" s="67"/>
      <c r="BJ218" s="67"/>
      <c r="BK218" s="72"/>
      <c r="BL218" s="67"/>
      <c r="BM218" s="67"/>
      <c r="BN218" s="67"/>
      <c r="BO218" s="67"/>
      <c r="BP218" s="67"/>
      <c r="BQ218" s="67"/>
      <c r="BR218" s="67"/>
      <c r="BS218" s="67"/>
      <c r="BT218" s="67"/>
      <c r="BU218" s="67"/>
      <c r="BV218" s="67"/>
      <c r="BW218" s="67"/>
      <c r="BX218" s="67"/>
      <c r="BY218" s="67"/>
    </row>
    <row r="219" spans="1:77">
      <c r="B219" s="73"/>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67"/>
      <c r="AD219" s="67"/>
      <c r="AE219" s="67"/>
      <c r="AF219" s="72"/>
      <c r="AG219" s="67"/>
      <c r="AH219" s="67"/>
      <c r="AI219" s="67"/>
      <c r="AJ219" s="72"/>
      <c r="AK219" s="67"/>
      <c r="AL219" s="67"/>
      <c r="AM219" s="67"/>
      <c r="AN219" s="67"/>
      <c r="AO219" s="67"/>
      <c r="AP219" s="67"/>
      <c r="AQ219" s="67"/>
      <c r="AR219" s="67"/>
      <c r="AS219" s="67"/>
      <c r="AT219" s="67"/>
      <c r="AU219" s="67"/>
      <c r="AV219" s="67"/>
      <c r="AW219" s="67"/>
      <c r="AX219" s="67"/>
      <c r="AY219" s="72"/>
      <c r="AZ219" s="67"/>
      <c r="BA219" s="67"/>
      <c r="BB219" s="67"/>
      <c r="BC219" s="72"/>
      <c r="BD219" s="67"/>
      <c r="BE219" s="67"/>
      <c r="BF219" s="67"/>
      <c r="BG219" s="72"/>
      <c r="BH219" s="67"/>
      <c r="BI219" s="67"/>
      <c r="BJ219" s="67"/>
      <c r="BK219" s="72"/>
      <c r="BL219" s="67"/>
      <c r="BM219" s="67"/>
      <c r="BN219" s="67"/>
      <c r="BO219" s="67"/>
      <c r="BP219" s="67"/>
      <c r="BQ219" s="67"/>
      <c r="BR219" s="67"/>
      <c r="BS219" s="67"/>
      <c r="BT219" s="67"/>
      <c r="BU219" s="67"/>
      <c r="BV219" s="67"/>
      <c r="BW219" s="67"/>
      <c r="BX219" s="67"/>
      <c r="BY219" s="67"/>
    </row>
    <row r="220" spans="1:77">
      <c r="B220" s="74" t="str">
        <f>BA220</f>
        <v>Total revenue - Slot - Adelaide (A$)</v>
      </c>
      <c r="C220" s="72" t="s">
        <v>90</v>
      </c>
      <c r="D220" s="224" t="s">
        <v>1342</v>
      </c>
      <c r="E220" s="223">
        <f t="shared" ref="E220:Z220" si="91">AC220</f>
        <v>26.1</v>
      </c>
      <c r="F220" s="223">
        <f t="shared" si="91"/>
        <v>25.94313632095</v>
      </c>
      <c r="G220" s="223">
        <f t="shared" si="91"/>
        <v>26.3</v>
      </c>
      <c r="H220" s="223">
        <f t="shared" si="91"/>
        <v>25.1</v>
      </c>
      <c r="I220" s="223">
        <f t="shared" si="91"/>
        <v>26.5</v>
      </c>
      <c r="J220" s="223">
        <f t="shared" si="91"/>
        <v>11.8</v>
      </c>
      <c r="K220" s="223">
        <f t="shared" si="91"/>
        <v>25.8</v>
      </c>
      <c r="L220" s="223">
        <f t="shared" si="91"/>
        <v>39.4</v>
      </c>
      <c r="M220" s="223">
        <f t="shared" si="91"/>
        <v>34.4</v>
      </c>
      <c r="N220" s="223">
        <f t="shared" si="91"/>
        <v>40.5</v>
      </c>
      <c r="O220" s="223">
        <f t="shared" si="91"/>
        <v>51.6</v>
      </c>
      <c r="P220" s="223">
        <f t="shared" si="91"/>
        <v>48.9</v>
      </c>
      <c r="Q220" s="223">
        <f t="shared" si="91"/>
        <v>50.05289298614084</v>
      </c>
      <c r="R220" s="223">
        <f t="shared" si="91"/>
        <v>50.12700979149664</v>
      </c>
      <c r="S220" s="223">
        <f t="shared" si="91"/>
        <v>51.143814921945278</v>
      </c>
      <c r="T220" s="223">
        <f t="shared" si="91"/>
        <v>51.354988314980503</v>
      </c>
      <c r="U220" s="223">
        <f t="shared" si="91"/>
        <v>52.658146817933357</v>
      </c>
      <c r="V220" s="223">
        <f t="shared" si="91"/>
        <v>52.76162489547027</v>
      </c>
      <c r="W220" s="223">
        <f t="shared" si="91"/>
        <v>54.248037937180072</v>
      </c>
      <c r="X220" s="223">
        <f t="shared" si="91"/>
        <v>54.343499746511469</v>
      </c>
      <c r="Y220" s="223">
        <f t="shared" si="91"/>
        <v>55.871824003445496</v>
      </c>
      <c r="Z220" s="223">
        <f t="shared" si="91"/>
        <v>56.061218187941137</v>
      </c>
      <c r="AA220" s="72"/>
      <c r="AB220" s="76"/>
      <c r="AC220" s="222">
        <v>26.1</v>
      </c>
      <c r="AD220" s="222">
        <v>25.94313632095</v>
      </c>
      <c r="AE220" s="222">
        <v>26.3</v>
      </c>
      <c r="AF220" s="222">
        <v>25.1</v>
      </c>
      <c r="AG220" s="222">
        <v>26.5</v>
      </c>
      <c r="AH220" s="222">
        <v>11.8</v>
      </c>
      <c r="AI220" s="222">
        <v>25.8</v>
      </c>
      <c r="AJ220" s="222">
        <v>39.4</v>
      </c>
      <c r="AK220" s="222">
        <v>34.4</v>
      </c>
      <c r="AL220" s="222">
        <v>40.5</v>
      </c>
      <c r="AM220" s="222">
        <v>51.6</v>
      </c>
      <c r="AN220" s="222">
        <v>48.9</v>
      </c>
      <c r="AO220" s="222">
        <v>50.05289298614084</v>
      </c>
      <c r="AP220" s="222">
        <v>50.12700979149664</v>
      </c>
      <c r="AQ220" s="222">
        <v>51.143814921945278</v>
      </c>
      <c r="AR220" s="222">
        <v>51.354988314980503</v>
      </c>
      <c r="AS220" s="222">
        <v>52.658146817933357</v>
      </c>
      <c r="AT220" s="222">
        <v>52.76162489547027</v>
      </c>
      <c r="AU220" s="222">
        <v>54.248037937180072</v>
      </c>
      <c r="AV220" s="222">
        <v>54.343499746511469</v>
      </c>
      <c r="AW220" s="222">
        <v>55.871824003445496</v>
      </c>
      <c r="AX220" s="222">
        <v>56.061218187941137</v>
      </c>
      <c r="AY220" s="76"/>
      <c r="AZ220" s="77" t="s">
        <v>1259</v>
      </c>
      <c r="BA220" s="77" t="s">
        <v>1380</v>
      </c>
      <c r="BB220" s="78" t="s">
        <v>1261</v>
      </c>
      <c r="BC220" s="76"/>
      <c r="BD220" s="79">
        <f>_xll.VAData($AZ220,BD$2,$BA220,$BB220)</f>
        <v>25.504446181818174</v>
      </c>
      <c r="BE220" s="79">
        <f>_xll.VAData($AZ220,BE$2,$BA220,$BB220)</f>
        <v>25.051647673914776</v>
      </c>
      <c r="BF220" s="79">
        <f>_xll.VAData($AZ220,BF$2,$BA220,$BB220)</f>
        <v>25.211801141538533</v>
      </c>
      <c r="BG220" s="79">
        <f>_xll.VAData($AZ220,BG$2,$BA220,$BB220)</f>
        <v>23.968948970338083</v>
      </c>
      <c r="BH220" s="79">
        <f>_xll.VAData($AZ220,BH$2,$BA220,$BB220)</f>
        <v>25.488181818181843</v>
      </c>
      <c r="BI220" s="79">
        <f>_xll.VAData($AZ220,BI$2,$BA220,$BB220)</f>
        <v>11.067474822864199</v>
      </c>
      <c r="BJ220" s="79">
        <f>_xll.VAData($AZ220,BJ$2,$BA220,$BB220)</f>
        <v>24.780497535938011</v>
      </c>
      <c r="BK220" s="79">
        <f>_xll.VAData($AZ220,BK$2,$BA220,$BB220)</f>
        <v>36.039173290522136</v>
      </c>
      <c r="BL220" s="79">
        <f>_xll.VAData($AZ220,BL$2,$BA220,$BB220)</f>
        <v>34.4</v>
      </c>
      <c r="BM220" s="79">
        <f>_xll.VAData($AZ220,BM$2,$BA220,$BB220)</f>
        <v>40.4</v>
      </c>
      <c r="BN220" s="79">
        <f>_xll.VAData($AZ220,BN$2,$BA220,$BB220)</f>
        <v>46.7</v>
      </c>
      <c r="BO220" s="79">
        <f>_xll.VAData($AZ220,BO$2,$BA220,$BB220)</f>
        <v>44.4</v>
      </c>
      <c r="BP220" s="79">
        <f>_xll.VAData($AZ220,BP$2,$BA220,$BB220)</f>
        <v>43.1</v>
      </c>
      <c r="BQ220" s="79">
        <f>_xll.VAData($AZ220,BQ$2,$BA220,$BB220)</f>
        <v>47.3</v>
      </c>
      <c r="BR220" s="79">
        <f>_xll.VAData($AZ220,BR$2,$BA220,$BB220)</f>
        <v>45.8</v>
      </c>
      <c r="BS220" s="79">
        <f>_xll.VAData($AZ220,BS$2,$BA220,$BB220)</f>
        <v>41.9</v>
      </c>
      <c r="BT220" s="79">
        <f>_xll.VAData($AZ220,BT$2,$BA220,$BB220)</f>
        <v>44.4</v>
      </c>
      <c r="BU220" s="79">
        <f>_xll.VAData($AZ220,BU$2,$BA220,$BB220)</f>
        <v>44.1</v>
      </c>
      <c r="BV220" s="79">
        <f>_xll.VAData($AZ220,BV$2,$BA220,$BB220)</f>
        <v>47.654129975708869</v>
      </c>
      <c r="BW220" s="79">
        <f>_xll.VAData($AZ220,BW$2,$BA220,$BB220)</f>
        <v>46.316433779765809</v>
      </c>
      <c r="BX220" s="79">
        <f>_xll.VAData($AZ220,BX$2,$BA220,$BB220)</f>
        <v>42.762723421073652</v>
      </c>
      <c r="BY220" s="79">
        <f>_xll.VAData($AZ220,BY$2,$BA220,$BB220)</f>
        <v>44.522090889026352</v>
      </c>
    </row>
    <row r="221" spans="1:77">
      <c r="B221" s="74"/>
      <c r="C221" s="72" t="s">
        <v>90</v>
      </c>
      <c r="D221" s="225" t="s">
        <v>1343</v>
      </c>
      <c r="E221" s="226">
        <f>HY!E127</f>
        <v>25.69740728585494</v>
      </c>
      <c r="F221" s="226" t="e">
        <f>HY!#REF!</f>
        <v>#REF!</v>
      </c>
      <c r="G221" s="226" t="e">
        <f>HY!#REF!</f>
        <v>#REF!</v>
      </c>
      <c r="H221" s="226" t="e">
        <f>HY!#REF!</f>
        <v>#REF!</v>
      </c>
      <c r="I221" s="226" t="e">
        <f>HY!#REF!</f>
        <v>#REF!</v>
      </c>
      <c r="J221" s="226" t="e">
        <f>HY!#REF!</f>
        <v>#REF!</v>
      </c>
      <c r="K221" s="226" t="e">
        <f>HY!#REF!</f>
        <v>#REF!</v>
      </c>
      <c r="L221" s="226" t="e">
        <f>HY!#REF!</f>
        <v>#REF!</v>
      </c>
      <c r="M221" s="226" t="e">
        <f>HY!#REF!</f>
        <v>#REF!</v>
      </c>
      <c r="N221" s="226" t="e">
        <f>HY!#REF!</f>
        <v>#REF!</v>
      </c>
      <c r="O221" s="226" t="e">
        <f>HY!#REF!</f>
        <v>#REF!</v>
      </c>
      <c r="P221" s="226" t="e">
        <f>HY!#REF!</f>
        <v>#REF!</v>
      </c>
      <c r="Q221" s="226" t="e">
        <f>HY!#REF!</f>
        <v>#REF!</v>
      </c>
      <c r="R221" s="226" t="e">
        <f>HY!#REF!</f>
        <v>#REF!</v>
      </c>
      <c r="S221" s="226" t="e">
        <f>HY!#REF!</f>
        <v>#REF!</v>
      </c>
      <c r="T221" s="226" t="e">
        <f>HY!#REF!</f>
        <v>#REF!</v>
      </c>
      <c r="U221" s="226" t="e">
        <f>HY!#REF!</f>
        <v>#REF!</v>
      </c>
      <c r="V221" s="226" t="e">
        <f>HY!#REF!</f>
        <v>#REF!</v>
      </c>
      <c r="W221" s="226" t="e">
        <f>HY!#REF!</f>
        <v>#REF!</v>
      </c>
      <c r="X221" s="226" t="e">
        <f>HY!#REF!</f>
        <v>#REF!</v>
      </c>
      <c r="Y221" s="226" t="e">
        <f>HY!#REF!</f>
        <v>#REF!</v>
      </c>
      <c r="Z221" s="226" t="e">
        <f>HY!#REF!</f>
        <v>#REF!</v>
      </c>
      <c r="AA221" s="72"/>
      <c r="AB221" s="76"/>
      <c r="AC221" s="221"/>
      <c r="AD221" s="221"/>
      <c r="AE221" s="221"/>
      <c r="AF221" s="221"/>
      <c r="AG221" s="221"/>
      <c r="AH221" s="221"/>
      <c r="AI221" s="221"/>
      <c r="AJ221" s="221"/>
      <c r="AK221" s="221"/>
      <c r="AL221" s="221"/>
      <c r="AM221" s="221"/>
      <c r="AN221" s="221"/>
      <c r="AO221" s="221"/>
      <c r="AP221" s="221"/>
      <c r="AQ221" s="221"/>
      <c r="AR221" s="221"/>
      <c r="AS221" s="221"/>
      <c r="AT221" s="221"/>
      <c r="AU221" s="221"/>
      <c r="AV221" s="221"/>
      <c r="AW221" s="221"/>
      <c r="AX221" s="221"/>
      <c r="AY221" s="76"/>
      <c r="AZ221" s="77"/>
      <c r="BA221" s="77"/>
      <c r="BB221" s="78"/>
      <c r="BC221" s="76"/>
      <c r="BD221" s="221"/>
      <c r="BE221" s="221"/>
      <c r="BF221" s="221"/>
      <c r="BG221" s="221"/>
      <c r="BH221" s="221"/>
      <c r="BI221" s="221"/>
      <c r="BJ221" s="221"/>
      <c r="BK221" s="221"/>
      <c r="BL221" s="221"/>
      <c r="BM221" s="221"/>
      <c r="BN221" s="221"/>
      <c r="BO221" s="221"/>
      <c r="BP221" s="221"/>
      <c r="BQ221" s="221"/>
      <c r="BR221" s="221"/>
      <c r="BS221" s="221"/>
      <c r="BT221" s="221"/>
      <c r="BU221" s="221"/>
      <c r="BV221" s="221"/>
      <c r="BW221" s="221"/>
      <c r="BX221" s="221"/>
      <c r="BY221" s="221"/>
    </row>
    <row r="222" spans="1:77">
      <c r="B222" s="74"/>
      <c r="C222" s="81" t="s">
        <v>88</v>
      </c>
      <c r="D222" s="72" t="s">
        <v>1344</v>
      </c>
      <c r="E222" s="227">
        <f t="shared" ref="E222:Z222" si="92">IFERROR(ROUND(E220/E221-1,3),"")</f>
        <v>1.6E-2</v>
      </c>
      <c r="F222" s="227" t="str">
        <f t="shared" si="92"/>
        <v/>
      </c>
      <c r="G222" s="227" t="str">
        <f t="shared" si="92"/>
        <v/>
      </c>
      <c r="H222" s="227" t="str">
        <f t="shared" si="92"/>
        <v/>
      </c>
      <c r="I222" s="227" t="str">
        <f t="shared" si="92"/>
        <v/>
      </c>
      <c r="J222" s="227" t="str">
        <f t="shared" si="92"/>
        <v/>
      </c>
      <c r="K222" s="227" t="str">
        <f t="shared" si="92"/>
        <v/>
      </c>
      <c r="L222" s="227" t="str">
        <f t="shared" si="92"/>
        <v/>
      </c>
      <c r="M222" s="227" t="str">
        <f t="shared" si="92"/>
        <v/>
      </c>
      <c r="N222" s="227" t="str">
        <f t="shared" si="92"/>
        <v/>
      </c>
      <c r="O222" s="227" t="str">
        <f t="shared" si="92"/>
        <v/>
      </c>
      <c r="P222" s="227" t="str">
        <f t="shared" si="92"/>
        <v/>
      </c>
      <c r="Q222" s="227" t="str">
        <f t="shared" si="92"/>
        <v/>
      </c>
      <c r="R222" s="227" t="str">
        <f t="shared" si="92"/>
        <v/>
      </c>
      <c r="S222" s="227" t="str">
        <f t="shared" si="92"/>
        <v/>
      </c>
      <c r="T222" s="227" t="str">
        <f t="shared" si="92"/>
        <v/>
      </c>
      <c r="U222" s="227" t="str">
        <f t="shared" si="92"/>
        <v/>
      </c>
      <c r="V222" s="227" t="str">
        <f t="shared" si="92"/>
        <v/>
      </c>
      <c r="W222" s="227" t="str">
        <f t="shared" si="92"/>
        <v/>
      </c>
      <c r="X222" s="227" t="str">
        <f t="shared" si="92"/>
        <v/>
      </c>
      <c r="Y222" s="227" t="str">
        <f t="shared" si="92"/>
        <v/>
      </c>
      <c r="Z222" s="227" t="str">
        <f t="shared" si="92"/>
        <v/>
      </c>
      <c r="AA222" s="72"/>
      <c r="AB222" s="76"/>
      <c r="AC222" s="221"/>
      <c r="AD222" s="221"/>
      <c r="AE222" s="221"/>
      <c r="AF222" s="221"/>
      <c r="AG222" s="221"/>
      <c r="AH222" s="221"/>
      <c r="AI222" s="221"/>
      <c r="AJ222" s="221"/>
      <c r="AK222" s="221"/>
      <c r="AL222" s="221"/>
      <c r="AM222" s="221"/>
      <c r="AN222" s="221"/>
      <c r="AO222" s="221"/>
      <c r="AP222" s="221"/>
      <c r="AQ222" s="221"/>
      <c r="AR222" s="221"/>
      <c r="AS222" s="221"/>
      <c r="AT222" s="221"/>
      <c r="AU222" s="221"/>
      <c r="AV222" s="221"/>
      <c r="AW222" s="221"/>
      <c r="AX222" s="221"/>
      <c r="AY222" s="76"/>
      <c r="AZ222" s="77"/>
      <c r="BA222" s="77"/>
      <c r="BB222" s="78"/>
      <c r="BC222" s="76"/>
      <c r="BD222" s="221"/>
      <c r="BE222" s="221"/>
      <c r="BF222" s="221"/>
      <c r="BG222" s="221"/>
      <c r="BH222" s="221"/>
      <c r="BI222" s="221"/>
      <c r="BJ222" s="221"/>
      <c r="BK222" s="221"/>
      <c r="BL222" s="221"/>
      <c r="BM222" s="221"/>
      <c r="BN222" s="221"/>
      <c r="BO222" s="221"/>
      <c r="BP222" s="221"/>
      <c r="BQ222" s="221"/>
      <c r="BR222" s="221"/>
      <c r="BS222" s="221"/>
      <c r="BT222" s="221"/>
      <c r="BU222" s="221"/>
      <c r="BV222" s="221"/>
      <c r="BW222" s="221"/>
      <c r="BX222" s="221"/>
      <c r="BY222" s="221"/>
    </row>
    <row r="223" spans="1:77">
      <c r="B223" s="74"/>
      <c r="C223" s="72"/>
      <c r="D223" s="72"/>
      <c r="E223" s="75"/>
      <c r="F223" s="75"/>
      <c r="G223" s="75"/>
      <c r="H223" s="75"/>
      <c r="I223" s="75"/>
      <c r="J223" s="75"/>
      <c r="K223" s="75"/>
      <c r="L223" s="75"/>
      <c r="M223" s="75"/>
      <c r="N223" s="75"/>
      <c r="O223" s="75"/>
      <c r="P223" s="75"/>
      <c r="Q223" s="75"/>
      <c r="R223" s="75"/>
      <c r="S223" s="75"/>
      <c r="T223" s="75"/>
      <c r="U223" s="75"/>
      <c r="V223" s="75"/>
      <c r="W223" s="75"/>
      <c r="X223" s="75"/>
      <c r="Y223" s="75"/>
      <c r="Z223" s="75"/>
      <c r="AA223" s="72"/>
      <c r="AB223" s="76"/>
      <c r="AC223" s="221"/>
      <c r="AD223" s="221"/>
      <c r="AE223" s="221"/>
      <c r="AF223" s="221"/>
      <c r="AG223" s="221"/>
      <c r="AH223" s="221"/>
      <c r="AI223" s="221"/>
      <c r="AJ223" s="221"/>
      <c r="AK223" s="221"/>
      <c r="AL223" s="221"/>
      <c r="AM223" s="221"/>
      <c r="AN223" s="221"/>
      <c r="AO223" s="221"/>
      <c r="AP223" s="221"/>
      <c r="AQ223" s="221"/>
      <c r="AR223" s="221"/>
      <c r="AS223" s="221"/>
      <c r="AT223" s="221"/>
      <c r="AU223" s="221"/>
      <c r="AV223" s="221"/>
      <c r="AW223" s="221"/>
      <c r="AX223" s="221"/>
      <c r="AY223" s="76"/>
      <c r="AZ223" s="77"/>
      <c r="BA223" s="77"/>
      <c r="BB223" s="78"/>
      <c r="BC223" s="76"/>
      <c r="BD223" s="221"/>
      <c r="BE223" s="221"/>
      <c r="BF223" s="221"/>
      <c r="BG223" s="221"/>
      <c r="BH223" s="221"/>
      <c r="BI223" s="221"/>
      <c r="BJ223" s="221"/>
      <c r="BK223" s="221"/>
      <c r="BL223" s="221"/>
      <c r="BM223" s="221"/>
      <c r="BN223" s="221"/>
      <c r="BO223" s="221"/>
      <c r="BP223" s="221"/>
      <c r="BQ223" s="221"/>
      <c r="BR223" s="221"/>
      <c r="BS223" s="221"/>
      <c r="BT223" s="221"/>
      <c r="BU223" s="221"/>
      <c r="BV223" s="221"/>
      <c r="BW223" s="221"/>
      <c r="BX223" s="221"/>
      <c r="BY223" s="221"/>
    </row>
    <row r="224" spans="1:77">
      <c r="B224" s="74" t="str">
        <f>BA224</f>
        <v>Number of slot machines - Adelaide</v>
      </c>
      <c r="C224" s="72" t="s">
        <v>90</v>
      </c>
      <c r="D224" s="224" t="s">
        <v>1342</v>
      </c>
      <c r="E224" s="223">
        <f t="shared" ref="E224:Z224" si="93">AC224</f>
        <v>919.5</v>
      </c>
      <c r="F224" s="223">
        <f t="shared" si="93"/>
        <v>900</v>
      </c>
      <c r="G224" s="223">
        <f t="shared" si="93"/>
        <v>869</v>
      </c>
      <c r="H224" s="223">
        <f t="shared" si="93"/>
        <v>899</v>
      </c>
      <c r="I224" s="223">
        <f t="shared" si="93"/>
        <v>876.6</v>
      </c>
      <c r="J224" s="223">
        <f t="shared" si="93"/>
        <v>901</v>
      </c>
      <c r="K224" s="223">
        <f t="shared" si="93"/>
        <v>1074.4000000000001</v>
      </c>
      <c r="L224" s="223">
        <f t="shared" si="93"/>
        <v>1067.8</v>
      </c>
      <c r="M224" s="223">
        <f t="shared" si="93"/>
        <v>1079.833333333333</v>
      </c>
      <c r="N224" s="223">
        <f t="shared" si="93"/>
        <v>1114</v>
      </c>
      <c r="O224" s="223">
        <f t="shared" si="93"/>
        <v>1106.5</v>
      </c>
      <c r="P224" s="223">
        <f t="shared" si="93"/>
        <v>1102.333333333333</v>
      </c>
      <c r="Q224" s="223">
        <f t="shared" si="93"/>
        <v>1096.75</v>
      </c>
      <c r="R224" s="223">
        <f t="shared" si="93"/>
        <v>1096.75</v>
      </c>
      <c r="S224" s="223">
        <f t="shared" si="93"/>
        <v>1096.75</v>
      </c>
      <c r="T224" s="223">
        <f t="shared" si="93"/>
        <v>1096.75</v>
      </c>
      <c r="U224" s="223">
        <f t="shared" si="93"/>
        <v>1104</v>
      </c>
      <c r="V224" s="223">
        <f t="shared" si="93"/>
        <v>1104</v>
      </c>
      <c r="W224" s="223">
        <f t="shared" si="93"/>
        <v>1104</v>
      </c>
      <c r="X224" s="223">
        <f t="shared" si="93"/>
        <v>1104</v>
      </c>
      <c r="Y224" s="223">
        <f t="shared" si="93"/>
        <v>1104</v>
      </c>
      <c r="Z224" s="223">
        <f t="shared" si="93"/>
        <v>1104</v>
      </c>
      <c r="AA224" s="72"/>
      <c r="AB224" s="76"/>
      <c r="AC224" s="222">
        <v>919.5</v>
      </c>
      <c r="AD224" s="222">
        <v>900</v>
      </c>
      <c r="AE224" s="222">
        <v>869</v>
      </c>
      <c r="AF224" s="222">
        <v>899</v>
      </c>
      <c r="AG224" s="222">
        <v>876.6</v>
      </c>
      <c r="AH224" s="222">
        <v>901</v>
      </c>
      <c r="AI224" s="222">
        <v>1074.4000000000001</v>
      </c>
      <c r="AJ224" s="222">
        <v>1067.8</v>
      </c>
      <c r="AK224" s="222">
        <v>1079.833333333333</v>
      </c>
      <c r="AL224" s="222">
        <v>1114</v>
      </c>
      <c r="AM224" s="222">
        <v>1106.5</v>
      </c>
      <c r="AN224" s="222">
        <v>1102.333333333333</v>
      </c>
      <c r="AO224" s="222">
        <v>1096.75</v>
      </c>
      <c r="AP224" s="222">
        <v>1096.75</v>
      </c>
      <c r="AQ224" s="222">
        <v>1096.75</v>
      </c>
      <c r="AR224" s="222">
        <v>1096.75</v>
      </c>
      <c r="AS224" s="222">
        <v>1104</v>
      </c>
      <c r="AT224" s="222">
        <v>1104</v>
      </c>
      <c r="AU224" s="222">
        <v>1104</v>
      </c>
      <c r="AV224" s="222">
        <v>1104</v>
      </c>
      <c r="AW224" s="222">
        <v>1104</v>
      </c>
      <c r="AX224" s="222">
        <v>1104</v>
      </c>
      <c r="AY224" s="76"/>
      <c r="AZ224" s="77" t="s">
        <v>1259</v>
      </c>
      <c r="BA224" s="77" t="s">
        <v>1381</v>
      </c>
      <c r="BB224" s="78" t="s">
        <v>1261</v>
      </c>
      <c r="BC224" s="76"/>
      <c r="BD224" s="79">
        <f>_xll.VAData($AZ224,BD$2,$BA224,$BB224)</f>
        <v>919.5</v>
      </c>
      <c r="BE224" s="79">
        <f>_xll.VAData($AZ224,BE$2,$BA224,$BB224)</f>
        <v>900</v>
      </c>
      <c r="BF224" s="79">
        <f>_xll.VAData($AZ224,BF$2,$BA224,$BB224)</f>
        <v>860.8</v>
      </c>
      <c r="BG224" s="79">
        <f>_xll.VAData($AZ224,BG$2,$BA224,$BB224)</f>
        <v>884.8</v>
      </c>
      <c r="BH224" s="79">
        <f>_xll.VAData($AZ224,BH$2,$BA224,$BB224)</f>
        <v>828</v>
      </c>
      <c r="BI224" s="79">
        <f>_xll.VAData($AZ224,BI$2,$BA224,$BB224)</f>
        <v>884.8</v>
      </c>
      <c r="BJ224" s="79">
        <f>_xll.VAData($AZ224,BJ$2,$BA224,$BB224)</f>
        <v>1055.2</v>
      </c>
      <c r="BK224" s="79">
        <f>_xll.VAData($AZ224,BK$2,$BA224,$BB224)</f>
        <v>1057.5999999999999</v>
      </c>
      <c r="BL224" s="79">
        <f>_xll.VAData($AZ224,BL$2,$BA224,$BB224)</f>
        <v>1069.5999999999999</v>
      </c>
      <c r="BM224" s="79">
        <f>_xll.VAData($AZ224,BM$2,$BA224,$BB224)</f>
        <v>1103.5999999999999</v>
      </c>
      <c r="BN224" s="79">
        <f>_xll.VAData($AZ224,BN$2,$BA224,$BB224)</f>
        <v>1093.5999999999999</v>
      </c>
      <c r="BO224" s="79">
        <f>_xll.VAData($AZ224,BO$2,$BA224,$BB224)</f>
        <v>1093.5999999999999</v>
      </c>
      <c r="BP224" s="79">
        <f>_xll.VAData($AZ224,BP$2,$BA224,$BB224)</f>
        <v>1080</v>
      </c>
      <c r="BQ224" s="79">
        <f>_xll.VAData($AZ224,BQ$2,$BA224,$BB224)</f>
        <v>1080</v>
      </c>
      <c r="BR224" s="79">
        <f>_xll.VAData($AZ224,BR$2,$BA224,$BB224)</f>
        <v>1072.2994109625629</v>
      </c>
      <c r="BS224" s="79">
        <f>_xll.VAData($AZ224,BS$2,$BA224,$BB224)</f>
        <v>1069.6765969739645</v>
      </c>
      <c r="BT224" s="79">
        <f>_xll.VAData($AZ224,BT$2,$BA224,$BB224)</f>
        <v>1065.6124952222106</v>
      </c>
      <c r="BU224" s="79">
        <f>_xll.VAData($AZ224,BU$2,$BA224,$BB224)</f>
        <v>1060.5855544087588</v>
      </c>
      <c r="BV224" s="79">
        <f>_xll.VAData($AZ224,BV$2,$BA224,$BB224)</f>
        <v>1093.5999999999999</v>
      </c>
      <c r="BW224" s="79">
        <f>_xll.VAData($AZ224,BW$2,$BA224,$BB224)</f>
        <v>1093.5999999999999</v>
      </c>
      <c r="BX224" s="79">
        <f>_xll.VAData($AZ224,BX$2,$BA224,$BB224)</f>
        <v>1097</v>
      </c>
      <c r="BY224" s="79">
        <f>_xll.VAData($AZ224,BY$2,$BA224,$BB224)</f>
        <v>1097</v>
      </c>
    </row>
    <row r="225" spans="2:77">
      <c r="B225" s="74"/>
      <c r="C225" s="72" t="s">
        <v>90</v>
      </c>
      <c r="D225" s="225" t="s">
        <v>1343</v>
      </c>
      <c r="E225" s="226">
        <f>HY!E109</f>
        <v>828</v>
      </c>
      <c r="F225" s="226">
        <f>HY!F109</f>
        <v>828</v>
      </c>
      <c r="G225" s="226">
        <f>HY!G109</f>
        <v>828</v>
      </c>
      <c r="H225" s="226">
        <f>HY!H109</f>
        <v>828</v>
      </c>
      <c r="I225" s="226">
        <f>HY!I109</f>
        <v>828</v>
      </c>
      <c r="J225" s="226">
        <f>HY!J109</f>
        <v>828</v>
      </c>
      <c r="K225" s="226">
        <f>HY!K109</f>
        <v>1035</v>
      </c>
      <c r="L225" s="226">
        <f>HY!L109</f>
        <v>1080</v>
      </c>
      <c r="M225" s="226">
        <f>HY!M109</f>
        <v>1075</v>
      </c>
      <c r="N225" s="226">
        <f>HY!N109</f>
        <v>1075</v>
      </c>
      <c r="O225" s="226">
        <f>HY!O109</f>
        <v>1080</v>
      </c>
      <c r="P225" s="226">
        <f>HY!P109</f>
        <v>1080</v>
      </c>
      <c r="Q225" s="226">
        <f>HY!Q109</f>
        <v>1080</v>
      </c>
      <c r="R225" s="226">
        <f>HY!R109</f>
        <v>1080</v>
      </c>
      <c r="S225" s="226">
        <f>HY!S109</f>
        <v>1080</v>
      </c>
      <c r="T225" s="226">
        <f>HY!T109</f>
        <v>1080</v>
      </c>
      <c r="U225" s="226">
        <f>HY!U109</f>
        <v>1080</v>
      </c>
      <c r="V225" s="226">
        <f>HY!V109</f>
        <v>1080</v>
      </c>
      <c r="W225" s="226">
        <f>HY!W109</f>
        <v>1080</v>
      </c>
      <c r="X225" s="226">
        <f>HY!X109</f>
        <v>1080</v>
      </c>
      <c r="Y225" s="226">
        <f>HY!Y109</f>
        <v>1080</v>
      </c>
      <c r="Z225" s="226">
        <f>HY!Z109</f>
        <v>1080</v>
      </c>
      <c r="AA225" s="72"/>
      <c r="AB225" s="76"/>
      <c r="AC225" s="221"/>
      <c r="AD225" s="221"/>
      <c r="AE225" s="221"/>
      <c r="AF225" s="221"/>
      <c r="AG225" s="221"/>
      <c r="AH225" s="221"/>
      <c r="AI225" s="221"/>
      <c r="AJ225" s="221"/>
      <c r="AK225" s="221"/>
      <c r="AL225" s="221"/>
      <c r="AM225" s="221"/>
      <c r="AN225" s="221"/>
      <c r="AO225" s="221"/>
      <c r="AP225" s="221"/>
      <c r="AQ225" s="221"/>
      <c r="AR225" s="221"/>
      <c r="AS225" s="221"/>
      <c r="AT225" s="221"/>
      <c r="AU225" s="221"/>
      <c r="AV225" s="221"/>
      <c r="AW225" s="221"/>
      <c r="AX225" s="221"/>
      <c r="AY225" s="76"/>
      <c r="AZ225" s="77"/>
      <c r="BA225" s="77"/>
      <c r="BB225" s="78"/>
      <c r="BC225" s="76"/>
      <c r="BD225" s="221"/>
      <c r="BE225" s="221"/>
      <c r="BF225" s="221"/>
      <c r="BG225" s="221"/>
      <c r="BH225" s="221"/>
      <c r="BI225" s="221"/>
      <c r="BJ225" s="221"/>
      <c r="BK225" s="221"/>
      <c r="BL225" s="221"/>
      <c r="BM225" s="221"/>
      <c r="BN225" s="221"/>
      <c r="BO225" s="221"/>
      <c r="BP225" s="221"/>
      <c r="BQ225" s="221"/>
      <c r="BR225" s="221"/>
      <c r="BS225" s="221"/>
      <c r="BT225" s="221"/>
      <c r="BU225" s="221"/>
      <c r="BV225" s="221"/>
      <c r="BW225" s="221"/>
      <c r="BX225" s="221"/>
      <c r="BY225" s="221"/>
    </row>
    <row r="226" spans="2:77">
      <c r="B226" s="74"/>
      <c r="C226" s="81" t="s">
        <v>88</v>
      </c>
      <c r="D226" s="72" t="s">
        <v>1344</v>
      </c>
      <c r="E226" s="227">
        <f t="shared" ref="E226:Z226" si="94">IFERROR(ROUND(E224/E225-1,3),"")</f>
        <v>0.111</v>
      </c>
      <c r="F226" s="227">
        <f t="shared" si="94"/>
        <v>8.6999999999999994E-2</v>
      </c>
      <c r="G226" s="227">
        <f t="shared" si="94"/>
        <v>0.05</v>
      </c>
      <c r="H226" s="227">
        <f t="shared" si="94"/>
        <v>8.5999999999999993E-2</v>
      </c>
      <c r="I226" s="227">
        <f t="shared" si="94"/>
        <v>5.8999999999999997E-2</v>
      </c>
      <c r="J226" s="227">
        <f t="shared" si="94"/>
        <v>8.7999999999999995E-2</v>
      </c>
      <c r="K226" s="227">
        <f t="shared" si="94"/>
        <v>3.7999999999999999E-2</v>
      </c>
      <c r="L226" s="227">
        <f t="shared" si="94"/>
        <v>-1.0999999999999999E-2</v>
      </c>
      <c r="M226" s="227">
        <f t="shared" si="94"/>
        <v>4.0000000000000001E-3</v>
      </c>
      <c r="N226" s="227">
        <f t="shared" si="94"/>
        <v>3.5999999999999997E-2</v>
      </c>
      <c r="O226" s="227">
        <f t="shared" si="94"/>
        <v>2.5000000000000001E-2</v>
      </c>
      <c r="P226" s="227">
        <f t="shared" si="94"/>
        <v>2.1000000000000001E-2</v>
      </c>
      <c r="Q226" s="227">
        <f t="shared" si="94"/>
        <v>1.6E-2</v>
      </c>
      <c r="R226" s="227">
        <f t="shared" si="94"/>
        <v>1.6E-2</v>
      </c>
      <c r="S226" s="227">
        <f t="shared" si="94"/>
        <v>1.6E-2</v>
      </c>
      <c r="T226" s="227">
        <f t="shared" si="94"/>
        <v>1.6E-2</v>
      </c>
      <c r="U226" s="227">
        <f t="shared" si="94"/>
        <v>2.1999999999999999E-2</v>
      </c>
      <c r="V226" s="227">
        <f t="shared" si="94"/>
        <v>2.1999999999999999E-2</v>
      </c>
      <c r="W226" s="227">
        <f t="shared" si="94"/>
        <v>2.1999999999999999E-2</v>
      </c>
      <c r="X226" s="227">
        <f t="shared" si="94"/>
        <v>2.1999999999999999E-2</v>
      </c>
      <c r="Y226" s="227">
        <f t="shared" si="94"/>
        <v>2.1999999999999999E-2</v>
      </c>
      <c r="Z226" s="227">
        <f t="shared" si="94"/>
        <v>2.1999999999999999E-2</v>
      </c>
      <c r="AA226" s="72"/>
      <c r="AB226" s="76"/>
      <c r="AC226" s="221"/>
      <c r="AD226" s="221"/>
      <c r="AE226" s="221"/>
      <c r="AF226" s="221"/>
      <c r="AG226" s="221"/>
      <c r="AH226" s="221"/>
      <c r="AI226" s="221"/>
      <c r="AJ226" s="221"/>
      <c r="AK226" s="221"/>
      <c r="AL226" s="221"/>
      <c r="AM226" s="221"/>
      <c r="AN226" s="221"/>
      <c r="AO226" s="221"/>
      <c r="AP226" s="221"/>
      <c r="AQ226" s="221"/>
      <c r="AR226" s="221"/>
      <c r="AS226" s="221"/>
      <c r="AT226" s="221"/>
      <c r="AU226" s="221"/>
      <c r="AV226" s="221"/>
      <c r="AW226" s="221"/>
      <c r="AX226" s="221"/>
      <c r="AY226" s="76"/>
      <c r="AZ226" s="77"/>
      <c r="BA226" s="77"/>
      <c r="BB226" s="78"/>
      <c r="BC226" s="76"/>
      <c r="BD226" s="221"/>
      <c r="BE226" s="221"/>
      <c r="BF226" s="221"/>
      <c r="BG226" s="221"/>
      <c r="BH226" s="221"/>
      <c r="BI226" s="221"/>
      <c r="BJ226" s="221"/>
      <c r="BK226" s="221"/>
      <c r="BL226" s="221"/>
      <c r="BM226" s="221"/>
      <c r="BN226" s="221"/>
      <c r="BO226" s="221"/>
      <c r="BP226" s="221"/>
      <c r="BQ226" s="221"/>
      <c r="BR226" s="221"/>
      <c r="BS226" s="221"/>
      <c r="BT226" s="221"/>
      <c r="BU226" s="221"/>
      <c r="BV226" s="221"/>
      <c r="BW226" s="221"/>
      <c r="BX226" s="221"/>
      <c r="BY226" s="221"/>
    </row>
    <row r="227" spans="2:77">
      <c r="B227" s="74"/>
      <c r="C227" s="72"/>
      <c r="D227" s="72"/>
      <c r="E227" s="75"/>
      <c r="F227" s="75"/>
      <c r="G227" s="75"/>
      <c r="H227" s="75"/>
      <c r="I227" s="75"/>
      <c r="J227" s="75"/>
      <c r="K227" s="75"/>
      <c r="L227" s="75"/>
      <c r="M227" s="75"/>
      <c r="N227" s="75"/>
      <c r="O227" s="75"/>
      <c r="P227" s="75"/>
      <c r="Q227" s="75"/>
      <c r="R227" s="75"/>
      <c r="S227" s="75"/>
      <c r="T227" s="75"/>
      <c r="U227" s="75"/>
      <c r="V227" s="75"/>
      <c r="W227" s="75"/>
      <c r="X227" s="75"/>
      <c r="Y227" s="75"/>
      <c r="Z227" s="75"/>
      <c r="AA227" s="72"/>
      <c r="AB227" s="76"/>
      <c r="AC227" s="221"/>
      <c r="AD227" s="221"/>
      <c r="AE227" s="221"/>
      <c r="AF227" s="221"/>
      <c r="AG227" s="221"/>
      <c r="AH227" s="221"/>
      <c r="AI227" s="221"/>
      <c r="AJ227" s="221"/>
      <c r="AK227" s="221"/>
      <c r="AL227" s="221"/>
      <c r="AM227" s="221"/>
      <c r="AN227" s="221"/>
      <c r="AO227" s="221"/>
      <c r="AP227" s="221"/>
      <c r="AQ227" s="221"/>
      <c r="AR227" s="221"/>
      <c r="AS227" s="221"/>
      <c r="AT227" s="221"/>
      <c r="AU227" s="221"/>
      <c r="AV227" s="221"/>
      <c r="AW227" s="221"/>
      <c r="AX227" s="221"/>
      <c r="AY227" s="76"/>
      <c r="AZ227" s="77"/>
      <c r="BA227" s="77"/>
      <c r="BB227" s="78"/>
      <c r="BC227" s="76"/>
      <c r="BD227" s="221"/>
      <c r="BE227" s="221"/>
      <c r="BF227" s="221"/>
      <c r="BG227" s="221"/>
      <c r="BH227" s="221"/>
      <c r="BI227" s="221"/>
      <c r="BJ227" s="221"/>
      <c r="BK227" s="221"/>
      <c r="BL227" s="221"/>
      <c r="BM227" s="221"/>
      <c r="BN227" s="221"/>
      <c r="BO227" s="221"/>
      <c r="BP227" s="221"/>
      <c r="BQ227" s="221"/>
      <c r="BR227" s="221"/>
      <c r="BS227" s="221"/>
      <c r="BT227" s="221"/>
      <c r="BU227" s="221"/>
      <c r="BV227" s="221"/>
      <c r="BW227" s="221"/>
      <c r="BX227" s="221"/>
      <c r="BY227" s="221"/>
    </row>
    <row r="228" spans="2:77">
      <c r="B228" s="74" t="str">
        <f>BA228</f>
        <v>Slot machine win per unit per day - Adelaide (A$)</v>
      </c>
      <c r="C228" s="72" t="s">
        <v>90</v>
      </c>
      <c r="D228" s="224" t="s">
        <v>1342</v>
      </c>
      <c r="E228" s="223">
        <f t="shared" ref="E228:Z228" si="95">AC228</f>
        <v>153.11832378071071</v>
      </c>
      <c r="F228" s="223">
        <f t="shared" si="95"/>
        <v>151.9908184179412</v>
      </c>
      <c r="G228" s="223">
        <f t="shared" si="95"/>
        <v>158.3259050323108</v>
      </c>
      <c r="H228" s="223">
        <f t="shared" si="95"/>
        <v>156.39530322753021</v>
      </c>
      <c r="I228" s="223">
        <f t="shared" si="95"/>
        <v>164.60822695876621</v>
      </c>
      <c r="J228" s="223">
        <f t="shared" si="95"/>
        <v>72.663012748802402</v>
      </c>
      <c r="K228" s="223">
        <f t="shared" si="95"/>
        <v>144.14079093860701</v>
      </c>
      <c r="L228" s="223">
        <f t="shared" si="95"/>
        <v>192.44302333157009</v>
      </c>
      <c r="M228" s="223">
        <f t="shared" si="95"/>
        <v>177.42920530427261</v>
      </c>
      <c r="N228" s="223">
        <f t="shared" si="95"/>
        <v>199.78050492493421</v>
      </c>
      <c r="O228" s="223">
        <f t="shared" si="95"/>
        <v>249.0430288223279</v>
      </c>
      <c r="P228" s="223">
        <f t="shared" si="95"/>
        <v>242.1507668689342</v>
      </c>
      <c r="Q228" s="223">
        <f t="shared" si="95"/>
        <v>242.76471171951181</v>
      </c>
      <c r="R228" s="223">
        <f t="shared" si="95"/>
        <v>243.5495842792705</v>
      </c>
      <c r="S228" s="223">
        <f t="shared" si="95"/>
        <v>250.39781071095399</v>
      </c>
      <c r="T228" s="223">
        <f t="shared" si="95"/>
        <v>252.1255129382385</v>
      </c>
      <c r="U228" s="223">
        <f t="shared" si="95"/>
        <v>254.1841386214337</v>
      </c>
      <c r="V228" s="223">
        <f t="shared" si="95"/>
        <v>256.14328917737282</v>
      </c>
      <c r="W228" s="223">
        <f t="shared" si="95"/>
        <v>261.88108300319578</v>
      </c>
      <c r="X228" s="223">
        <f t="shared" si="95"/>
        <v>263.85834754032652</v>
      </c>
      <c r="Y228" s="223">
        <f t="shared" si="95"/>
        <v>269.73999127821639</v>
      </c>
      <c r="Z228" s="223">
        <f t="shared" si="95"/>
        <v>271.73331587946939</v>
      </c>
      <c r="AA228" s="72"/>
      <c r="AB228" s="76"/>
      <c r="AC228" s="222">
        <v>153.11832378071071</v>
      </c>
      <c r="AD228" s="222">
        <v>151.9908184179412</v>
      </c>
      <c r="AE228" s="222">
        <v>158.3259050323108</v>
      </c>
      <c r="AF228" s="222">
        <v>156.39530322753021</v>
      </c>
      <c r="AG228" s="222">
        <v>164.60822695876621</v>
      </c>
      <c r="AH228" s="222">
        <v>72.663012748802402</v>
      </c>
      <c r="AI228" s="222">
        <v>144.14079093860701</v>
      </c>
      <c r="AJ228" s="222">
        <v>192.44302333157009</v>
      </c>
      <c r="AK228" s="222">
        <v>177.42920530427261</v>
      </c>
      <c r="AL228" s="222">
        <v>199.78050492493421</v>
      </c>
      <c r="AM228" s="222">
        <v>249.0430288223279</v>
      </c>
      <c r="AN228" s="222">
        <v>242.1507668689342</v>
      </c>
      <c r="AO228" s="222">
        <v>242.76471171951181</v>
      </c>
      <c r="AP228" s="222">
        <v>243.5495842792705</v>
      </c>
      <c r="AQ228" s="222">
        <v>250.39781071095399</v>
      </c>
      <c r="AR228" s="222">
        <v>252.1255129382385</v>
      </c>
      <c r="AS228" s="222">
        <v>254.1841386214337</v>
      </c>
      <c r="AT228" s="222">
        <v>256.14328917737282</v>
      </c>
      <c r="AU228" s="222">
        <v>261.88108300319578</v>
      </c>
      <c r="AV228" s="222">
        <v>263.85834754032652</v>
      </c>
      <c r="AW228" s="222">
        <v>269.73999127821639</v>
      </c>
      <c r="AX228" s="222">
        <v>271.73331587946939</v>
      </c>
      <c r="AY228" s="76"/>
      <c r="AZ228" s="77" t="s">
        <v>1259</v>
      </c>
      <c r="BA228" s="77" t="s">
        <v>1382</v>
      </c>
      <c r="BB228" s="78" t="s">
        <v>1261</v>
      </c>
      <c r="BC228" s="76"/>
      <c r="BD228" s="79">
        <f>_xll.VAData($AZ228,BD$2,$BA228,$BB228)</f>
        <v>149.95285710370032</v>
      </c>
      <c r="BE228" s="79">
        <f>_xll.VAData($AZ228,BE$2,$BA228,$BB228)</f>
        <v>151.8392471654675</v>
      </c>
      <c r="BF228" s="79">
        <f>_xll.VAData($AZ228,BF$2,$BA228,$BB228)</f>
        <v>157.7032551290655</v>
      </c>
      <c r="BG228" s="79">
        <f>_xll.VAData($AZ228,BG$2,$BA228,$BB228)</f>
        <v>155.09367571456599</v>
      </c>
      <c r="BH228" s="79">
        <f>_xll.VAData($AZ228,BH$2,$BA228,$BB228)</f>
        <v>163.21011809859675</v>
      </c>
      <c r="BI228" s="79">
        <f>_xll.VAData($AZ228,BI$2,$BA228,$BB228)</f>
        <v>72.380144103807751</v>
      </c>
      <c r="BJ228" s="79">
        <f>_xll.VAData($AZ228,BJ$2,$BA228,$BB228)</f>
        <v>147.140286958556</v>
      </c>
      <c r="BK228" s="79">
        <f>_xll.VAData($AZ228,BK$2,$BA228,$BB228)</f>
        <v>190.88648766220325</v>
      </c>
      <c r="BL228" s="79">
        <f>_xll.VAData($AZ228,BL$2,$BA228,$BB228)</f>
        <v>234.79015509065499</v>
      </c>
      <c r="BM228" s="79">
        <f>_xll.VAData($AZ228,BM$2,$BA228,$BB228)</f>
        <v>200.07395949288826</v>
      </c>
      <c r="BN228" s="79">
        <f>_xll.VAData($AZ228,BN$2,$BA228,$BB228)</f>
        <v>240.84754189140475</v>
      </c>
      <c r="BO228" s="79">
        <f>_xll.VAData($AZ228,BO$2,$BA228,$BB228)</f>
        <v>234.24042010135599</v>
      </c>
      <c r="BP228" s="79">
        <f>_xll.VAData($AZ228,BP$2,$BA228,$BB228)</f>
        <v>213.44784944650226</v>
      </c>
      <c r="BQ228" s="79">
        <f>_xll.VAData($AZ228,BQ$2,$BA228,$BB228)</f>
        <v>241.2145350026305</v>
      </c>
      <c r="BR228" s="79">
        <f>_xll.VAData($AZ228,BR$2,$BA228,$BB228)</f>
        <v>229.37206267751526</v>
      </c>
      <c r="BS228" s="79">
        <f>_xll.VAData($AZ228,BS$2,$BA228,$BB228)</f>
        <v>212.0097106128035</v>
      </c>
      <c r="BT228" s="79">
        <f>_xll.VAData($AZ228,BT$2,$BA228,$BB228)</f>
        <v>229.00540139978324</v>
      </c>
      <c r="BU228" s="79">
        <f>_xll.VAData($AZ228,BU$2,$BA228,$BB228)</f>
        <v>249.82321454252374</v>
      </c>
      <c r="BV228" s="79">
        <f>_xll.VAData($AZ228,BV$2,$BA228,$BB228)</f>
        <v>237.433345183292</v>
      </c>
      <c r="BW228" s="79">
        <f>_xll.VAData($AZ228,BW$2,$BA228,$BB228)</f>
        <v>228.99001141522976</v>
      </c>
      <c r="BX228" s="79">
        <f>_xll.VAData($AZ228,BX$2,$BA228,$BB228)</f>
        <v>215.26730668490634</v>
      </c>
      <c r="BY228" s="79">
        <f>_xll.VAData($AZ228,BY$2,$BA228,$BB228)</f>
        <v>227.36125489147</v>
      </c>
    </row>
    <row r="229" spans="2:77">
      <c r="B229" s="74"/>
      <c r="C229" s="72" t="s">
        <v>90</v>
      </c>
      <c r="D229" s="225" t="s">
        <v>1343</v>
      </c>
      <c r="E229" s="226">
        <f>HY!E118</f>
        <v>168.67128285716589</v>
      </c>
      <c r="F229" s="226">
        <f>HY!F118</f>
        <v>156.17227503456439</v>
      </c>
      <c r="G229" s="226">
        <f>HY!G118</f>
        <v>167.21977627799654</v>
      </c>
      <c r="H229" s="226">
        <f>HY!H118</f>
        <v>148.40842876073552</v>
      </c>
      <c r="I229" s="226">
        <f>HY!I118</f>
        <v>165.67400637108457</v>
      </c>
      <c r="J229" s="226">
        <f>HY!J118</f>
        <v>64.698978242136292</v>
      </c>
      <c r="K229" s="226">
        <f>HY!K118</f>
        <v>130.62799052025585</v>
      </c>
      <c r="L229" s="226">
        <f>HY!L118</f>
        <v>185.37183080461594</v>
      </c>
      <c r="M229" s="226">
        <f>HY!M118</f>
        <v>164.32728517630946</v>
      </c>
      <c r="N229" s="226">
        <f>HY!N118</f>
        <v>198.37069225133399</v>
      </c>
      <c r="O229" s="226">
        <f>HY!O118</f>
        <v>259.66183574879227</v>
      </c>
      <c r="P229" s="226">
        <f>HY!P118</f>
        <v>246.57253939021891</v>
      </c>
      <c r="Q229" s="226">
        <f>HY!Q118</f>
        <v>234.50080515297904</v>
      </c>
      <c r="R229" s="226">
        <f>HY!R118</f>
        <v>260.98901098901104</v>
      </c>
      <c r="S229" s="226">
        <f>HY!S118</f>
        <v>253.11996779388082</v>
      </c>
      <c r="T229" s="226">
        <f>HY!T118</f>
        <v>233.27194597912833</v>
      </c>
      <c r="U229" s="226">
        <f>HY!U118</f>
        <v>252.61674718196457</v>
      </c>
      <c r="V229" s="226">
        <f>HY!V118</f>
        <v>270.10435850214856</v>
      </c>
      <c r="W229" s="226">
        <f>HY!W118</f>
        <v>230</v>
      </c>
      <c r="X229" s="226">
        <f>HY!X118</f>
        <v>215</v>
      </c>
      <c r="Y229" s="226">
        <f>HY!Y118</f>
        <v>215</v>
      </c>
      <c r="Z229" s="226">
        <f>HY!Z118</f>
        <v>227.9</v>
      </c>
      <c r="AA229" s="72"/>
      <c r="AB229" s="76"/>
      <c r="AC229" s="221"/>
      <c r="AD229" s="221"/>
      <c r="AE229" s="221"/>
      <c r="AF229" s="221"/>
      <c r="AG229" s="221"/>
      <c r="AH229" s="221"/>
      <c r="AI229" s="221"/>
      <c r="AJ229" s="221"/>
      <c r="AK229" s="221"/>
      <c r="AL229" s="221"/>
      <c r="AM229" s="221"/>
      <c r="AN229" s="221"/>
      <c r="AO229" s="221"/>
      <c r="AP229" s="221"/>
      <c r="AQ229" s="221"/>
      <c r="AR229" s="221"/>
      <c r="AS229" s="221"/>
      <c r="AT229" s="221"/>
      <c r="AU229" s="221"/>
      <c r="AV229" s="221"/>
      <c r="AW229" s="221"/>
      <c r="AX229" s="221"/>
      <c r="AY229" s="76"/>
      <c r="AZ229" s="77"/>
      <c r="BA229" s="77"/>
      <c r="BB229" s="78"/>
      <c r="BC229" s="76"/>
      <c r="BD229" s="221"/>
      <c r="BE229" s="221"/>
      <c r="BF229" s="221"/>
      <c r="BG229" s="221"/>
      <c r="BH229" s="221"/>
      <c r="BI229" s="221"/>
      <c r="BJ229" s="221"/>
      <c r="BK229" s="221"/>
      <c r="BL229" s="221"/>
      <c r="BM229" s="221"/>
      <c r="BN229" s="221"/>
      <c r="BO229" s="221"/>
      <c r="BP229" s="221"/>
      <c r="BQ229" s="221"/>
      <c r="BR229" s="221"/>
      <c r="BS229" s="221"/>
      <c r="BT229" s="221"/>
      <c r="BU229" s="221"/>
      <c r="BV229" s="221"/>
      <c r="BW229" s="221"/>
      <c r="BX229" s="221"/>
      <c r="BY229" s="221"/>
    </row>
    <row r="230" spans="2:77">
      <c r="B230" s="74"/>
      <c r="C230" s="81" t="s">
        <v>88</v>
      </c>
      <c r="D230" s="72" t="s">
        <v>1344</v>
      </c>
      <c r="E230" s="227">
        <f t="shared" ref="E230:Z230" si="96">IFERROR(ROUND(E228/E229-1,3),"")</f>
        <v>-9.1999999999999998E-2</v>
      </c>
      <c r="F230" s="227">
        <f t="shared" si="96"/>
        <v>-2.7E-2</v>
      </c>
      <c r="G230" s="227">
        <f t="shared" si="96"/>
        <v>-5.2999999999999999E-2</v>
      </c>
      <c r="H230" s="227">
        <f t="shared" si="96"/>
        <v>5.3999999999999999E-2</v>
      </c>
      <c r="I230" s="227">
        <f t="shared" si="96"/>
        <v>-6.0000000000000001E-3</v>
      </c>
      <c r="J230" s="227">
        <f t="shared" si="96"/>
        <v>0.123</v>
      </c>
      <c r="K230" s="227">
        <f t="shared" si="96"/>
        <v>0.10299999999999999</v>
      </c>
      <c r="L230" s="227">
        <f t="shared" si="96"/>
        <v>3.7999999999999999E-2</v>
      </c>
      <c r="M230" s="227">
        <f t="shared" si="96"/>
        <v>0.08</v>
      </c>
      <c r="N230" s="227">
        <f t="shared" si="96"/>
        <v>7.0000000000000001E-3</v>
      </c>
      <c r="O230" s="227">
        <f t="shared" si="96"/>
        <v>-4.1000000000000002E-2</v>
      </c>
      <c r="P230" s="227">
        <f t="shared" si="96"/>
        <v>-1.7999999999999999E-2</v>
      </c>
      <c r="Q230" s="227">
        <f t="shared" si="96"/>
        <v>3.5000000000000003E-2</v>
      </c>
      <c r="R230" s="227">
        <f t="shared" si="96"/>
        <v>-6.7000000000000004E-2</v>
      </c>
      <c r="S230" s="227">
        <f t="shared" si="96"/>
        <v>-1.0999999999999999E-2</v>
      </c>
      <c r="T230" s="227">
        <f t="shared" si="96"/>
        <v>8.1000000000000003E-2</v>
      </c>
      <c r="U230" s="227">
        <f t="shared" si="96"/>
        <v>6.0000000000000001E-3</v>
      </c>
      <c r="V230" s="227">
        <f t="shared" si="96"/>
        <v>-5.1999999999999998E-2</v>
      </c>
      <c r="W230" s="227">
        <f t="shared" si="96"/>
        <v>0.13900000000000001</v>
      </c>
      <c r="X230" s="227">
        <f t="shared" si="96"/>
        <v>0.22700000000000001</v>
      </c>
      <c r="Y230" s="227">
        <f t="shared" si="96"/>
        <v>0.255</v>
      </c>
      <c r="Z230" s="227">
        <f t="shared" si="96"/>
        <v>0.192</v>
      </c>
      <c r="AA230" s="72"/>
      <c r="AB230" s="76"/>
      <c r="AC230" s="221"/>
      <c r="AD230" s="221"/>
      <c r="AE230" s="221"/>
      <c r="AF230" s="221"/>
      <c r="AG230" s="221"/>
      <c r="AH230" s="221"/>
      <c r="AI230" s="221"/>
      <c r="AJ230" s="221"/>
      <c r="AK230" s="221"/>
      <c r="AL230" s="221"/>
      <c r="AM230" s="221"/>
      <c r="AN230" s="221"/>
      <c r="AO230" s="221"/>
      <c r="AP230" s="221"/>
      <c r="AQ230" s="221"/>
      <c r="AR230" s="221"/>
      <c r="AS230" s="221"/>
      <c r="AT230" s="221"/>
      <c r="AU230" s="221"/>
      <c r="AV230" s="221"/>
      <c r="AW230" s="221"/>
      <c r="AX230" s="221"/>
      <c r="AY230" s="76"/>
      <c r="AZ230" s="77"/>
      <c r="BA230" s="77"/>
      <c r="BB230" s="78"/>
      <c r="BC230" s="76"/>
      <c r="BD230" s="221"/>
      <c r="BE230" s="221"/>
      <c r="BF230" s="221"/>
      <c r="BG230" s="221"/>
      <c r="BH230" s="221"/>
      <c r="BI230" s="221"/>
      <c r="BJ230" s="221"/>
      <c r="BK230" s="221"/>
      <c r="BL230" s="221"/>
      <c r="BM230" s="221"/>
      <c r="BN230" s="221"/>
      <c r="BO230" s="221"/>
      <c r="BP230" s="221"/>
      <c r="BQ230" s="221"/>
      <c r="BR230" s="221"/>
      <c r="BS230" s="221"/>
      <c r="BT230" s="221"/>
      <c r="BU230" s="221"/>
      <c r="BV230" s="221"/>
      <c r="BW230" s="221"/>
      <c r="BX230" s="221"/>
      <c r="BY230" s="221"/>
    </row>
    <row r="231" spans="2:77">
      <c r="B231" s="74"/>
      <c r="C231" s="81"/>
      <c r="D231" s="72"/>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c r="AA231" s="72"/>
      <c r="AB231" s="76"/>
      <c r="AC231" s="221"/>
      <c r="AD231" s="221"/>
      <c r="AE231" s="221"/>
      <c r="AF231" s="221"/>
      <c r="AG231" s="221"/>
      <c r="AH231" s="221"/>
      <c r="AI231" s="221"/>
      <c r="AJ231" s="221"/>
      <c r="AK231" s="221"/>
      <c r="AL231" s="221"/>
      <c r="AM231" s="221"/>
      <c r="AN231" s="221"/>
      <c r="AO231" s="221"/>
      <c r="AP231" s="221"/>
      <c r="AQ231" s="221"/>
      <c r="AR231" s="221"/>
      <c r="AS231" s="221"/>
      <c r="AT231" s="221"/>
      <c r="AU231" s="221"/>
      <c r="AV231" s="221"/>
      <c r="AW231" s="221"/>
      <c r="AX231" s="221"/>
      <c r="AY231" s="76"/>
      <c r="AZ231" s="77"/>
      <c r="BA231" s="77"/>
      <c r="BB231" s="78"/>
      <c r="BC231" s="76"/>
      <c r="BD231" s="221"/>
      <c r="BE231" s="221"/>
      <c r="BF231" s="221"/>
      <c r="BG231" s="221"/>
      <c r="BH231" s="221"/>
      <c r="BI231" s="221"/>
      <c r="BJ231" s="221"/>
      <c r="BK231" s="221"/>
      <c r="BL231" s="221"/>
      <c r="BM231" s="221"/>
      <c r="BN231" s="221"/>
      <c r="BO231" s="221"/>
      <c r="BP231" s="221"/>
      <c r="BQ231" s="221"/>
      <c r="BR231" s="221"/>
      <c r="BS231" s="221"/>
      <c r="BT231" s="221"/>
      <c r="BU231" s="221"/>
      <c r="BV231" s="221"/>
      <c r="BW231" s="221"/>
      <c r="BX231" s="221"/>
      <c r="BY231" s="221"/>
    </row>
    <row r="232" spans="2:77">
      <c r="B232" s="237" t="s">
        <v>1356</v>
      </c>
      <c r="C232" s="81"/>
      <c r="D232" s="72"/>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c r="AA232" s="72"/>
      <c r="AB232" s="76"/>
      <c r="AC232" s="221"/>
      <c r="AD232" s="221"/>
      <c r="AE232" s="221"/>
      <c r="AF232" s="221"/>
      <c r="AG232" s="221"/>
      <c r="AH232" s="221"/>
      <c r="AI232" s="221"/>
      <c r="AJ232" s="221"/>
      <c r="AK232" s="221"/>
      <c r="AL232" s="221"/>
      <c r="AM232" s="221"/>
      <c r="AN232" s="221"/>
      <c r="AO232" s="221"/>
      <c r="AP232" s="221"/>
      <c r="AQ232" s="221"/>
      <c r="AR232" s="221"/>
      <c r="AS232" s="221"/>
      <c r="AT232" s="221"/>
      <c r="AU232" s="221"/>
      <c r="AV232" s="221"/>
      <c r="AW232" s="221"/>
      <c r="AX232" s="221"/>
      <c r="AY232" s="76"/>
      <c r="AZ232" s="77"/>
      <c r="BA232" s="77"/>
      <c r="BB232" s="78"/>
      <c r="BC232" s="76"/>
      <c r="BD232" s="221"/>
      <c r="BE232" s="221"/>
      <c r="BF232" s="221"/>
      <c r="BG232" s="221"/>
      <c r="BH232" s="221"/>
      <c r="BI232" s="221"/>
      <c r="BJ232" s="221"/>
      <c r="BK232" s="221"/>
      <c r="BL232" s="221"/>
      <c r="BM232" s="221"/>
      <c r="BN232" s="221"/>
      <c r="BO232" s="221"/>
      <c r="BP232" s="221"/>
      <c r="BQ232" s="221"/>
      <c r="BR232" s="221"/>
      <c r="BS232" s="221"/>
      <c r="BT232" s="221"/>
      <c r="BU232" s="221"/>
      <c r="BV232" s="221"/>
      <c r="BW232" s="221"/>
      <c r="BX232" s="221"/>
      <c r="BY232" s="221"/>
    </row>
    <row r="233" spans="2:77">
      <c r="B233" s="74"/>
      <c r="C233" s="81"/>
      <c r="D233" s="72"/>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c r="AA233" s="72"/>
      <c r="AB233" s="76"/>
      <c r="AC233" s="221"/>
      <c r="AD233" s="221"/>
      <c r="AE233" s="221"/>
      <c r="AF233" s="221"/>
      <c r="AG233" s="221"/>
      <c r="AH233" s="221"/>
      <c r="AI233" s="221"/>
      <c r="AJ233" s="221"/>
      <c r="AK233" s="221"/>
      <c r="AL233" s="221"/>
      <c r="AM233" s="221"/>
      <c r="AN233" s="221"/>
      <c r="AO233" s="221"/>
      <c r="AP233" s="221"/>
      <c r="AQ233" s="221"/>
      <c r="AR233" s="221"/>
      <c r="AS233" s="221"/>
      <c r="AT233" s="221"/>
      <c r="AU233" s="221"/>
      <c r="AV233" s="221"/>
      <c r="AW233" s="221"/>
      <c r="AX233" s="221"/>
      <c r="AY233" s="76"/>
      <c r="AZ233" s="77"/>
      <c r="BA233" s="77"/>
      <c r="BB233" s="78"/>
      <c r="BC233" s="76"/>
      <c r="BD233" s="221"/>
      <c r="BE233" s="221"/>
      <c r="BF233" s="221"/>
      <c r="BG233" s="221"/>
      <c r="BH233" s="221"/>
      <c r="BI233" s="221"/>
      <c r="BJ233" s="221"/>
      <c r="BK233" s="221"/>
      <c r="BL233" s="221"/>
      <c r="BM233" s="221"/>
      <c r="BN233" s="221"/>
      <c r="BO233" s="221"/>
      <c r="BP233" s="221"/>
      <c r="BQ233" s="221"/>
      <c r="BR233" s="221"/>
      <c r="BS233" s="221"/>
      <c r="BT233" s="221"/>
      <c r="BU233" s="221"/>
      <c r="BV233" s="221"/>
      <c r="BW233" s="221"/>
      <c r="BX233" s="221"/>
      <c r="BY233" s="221"/>
    </row>
    <row r="234" spans="2:77">
      <c r="B234" s="74" t="str">
        <f>BA234</f>
        <v>Total revenue - Table - Adelaide (A$)</v>
      </c>
      <c r="C234" s="72" t="s">
        <v>90</v>
      </c>
      <c r="D234" s="224" t="s">
        <v>1342</v>
      </c>
      <c r="E234" s="223">
        <f t="shared" ref="E234:Z234" si="97">AC234</f>
        <v>40.769751124999999</v>
      </c>
      <c r="F234" s="223">
        <f t="shared" si="97"/>
        <v>34.535997826352883</v>
      </c>
      <c r="G234" s="223">
        <f t="shared" si="97"/>
        <v>41</v>
      </c>
      <c r="H234" s="223">
        <f t="shared" si="97"/>
        <v>36.5</v>
      </c>
      <c r="I234" s="223">
        <f t="shared" si="97"/>
        <v>39.5</v>
      </c>
      <c r="J234" s="223">
        <f t="shared" si="97"/>
        <v>17.399999999999999</v>
      </c>
      <c r="K234" s="223">
        <f t="shared" si="97"/>
        <v>38.299999999999997</v>
      </c>
      <c r="L234" s="223">
        <f t="shared" si="97"/>
        <v>44.1</v>
      </c>
      <c r="M234" s="223">
        <f t="shared" si="97"/>
        <v>36.1</v>
      </c>
      <c r="N234" s="223">
        <f t="shared" si="97"/>
        <v>28.8</v>
      </c>
      <c r="O234" s="223">
        <f t="shared" si="97"/>
        <v>39.700000000000003</v>
      </c>
      <c r="P234" s="223">
        <f t="shared" si="97"/>
        <v>30.6</v>
      </c>
      <c r="Q234" s="223">
        <f t="shared" si="97"/>
        <v>33.299280076313877</v>
      </c>
      <c r="R234" s="223">
        <f t="shared" si="97"/>
        <v>31.151643123256001</v>
      </c>
      <c r="S234" s="223">
        <f t="shared" si="97"/>
        <v>35.390112737054572</v>
      </c>
      <c r="T234" s="223">
        <f t="shared" si="97"/>
        <v>32.475896317036401</v>
      </c>
      <c r="U234" s="223">
        <f t="shared" si="97"/>
        <v>34.980728210271998</v>
      </c>
      <c r="V234" s="223">
        <f t="shared" si="97"/>
        <v>32.86279996508695</v>
      </c>
      <c r="W234" s="223">
        <f t="shared" si="97"/>
        <v>36.024252620101201</v>
      </c>
      <c r="X234" s="223">
        <f t="shared" si="97"/>
        <v>33.846340006626448</v>
      </c>
      <c r="Y234" s="223">
        <f t="shared" si="97"/>
        <v>37.085965782528397</v>
      </c>
      <c r="Z234" s="223">
        <f t="shared" si="97"/>
        <v>34.940908741986803</v>
      </c>
      <c r="AA234" s="72"/>
      <c r="AB234" s="76"/>
      <c r="AC234" s="222">
        <v>40.769751124999999</v>
      </c>
      <c r="AD234" s="222">
        <v>34.535997826352883</v>
      </c>
      <c r="AE234" s="222">
        <v>41</v>
      </c>
      <c r="AF234" s="222">
        <v>36.5</v>
      </c>
      <c r="AG234" s="222">
        <v>39.5</v>
      </c>
      <c r="AH234" s="222">
        <v>17.399999999999999</v>
      </c>
      <c r="AI234" s="222">
        <v>38.299999999999997</v>
      </c>
      <c r="AJ234" s="222">
        <v>44.1</v>
      </c>
      <c r="AK234" s="222">
        <v>36.1</v>
      </c>
      <c r="AL234" s="222">
        <v>28.8</v>
      </c>
      <c r="AM234" s="222">
        <v>39.700000000000003</v>
      </c>
      <c r="AN234" s="222">
        <v>30.6</v>
      </c>
      <c r="AO234" s="222">
        <v>33.299280076313877</v>
      </c>
      <c r="AP234" s="222">
        <v>31.151643123256001</v>
      </c>
      <c r="AQ234" s="222">
        <v>35.390112737054572</v>
      </c>
      <c r="AR234" s="222">
        <v>32.475896317036401</v>
      </c>
      <c r="AS234" s="222">
        <v>34.980728210271998</v>
      </c>
      <c r="AT234" s="222">
        <v>32.86279996508695</v>
      </c>
      <c r="AU234" s="222">
        <v>36.024252620101201</v>
      </c>
      <c r="AV234" s="222">
        <v>33.846340006626448</v>
      </c>
      <c r="AW234" s="222">
        <v>37.085965782528397</v>
      </c>
      <c r="AX234" s="222">
        <v>34.940908741986803</v>
      </c>
      <c r="AY234" s="76"/>
      <c r="AZ234" s="77" t="s">
        <v>1259</v>
      </c>
      <c r="BA234" s="77" t="s">
        <v>1383</v>
      </c>
      <c r="BB234" s="78" t="s">
        <v>1261</v>
      </c>
      <c r="BC234" s="76"/>
      <c r="BD234" s="79">
        <f>_xll.VAData($AZ234,BD$2,$BA234,$BB234)</f>
        <v>39.831114761363622</v>
      </c>
      <c r="BE234" s="79">
        <f>_xll.VAData($AZ234,BE$2,$BA234,$BB234)</f>
        <v>33.954179644534698</v>
      </c>
      <c r="BF234" s="79">
        <f>_xll.VAData($AZ234,BF$2,$BA234,$BB234)</f>
        <v>39.600515771771498</v>
      </c>
      <c r="BG234" s="79">
        <f>_xll.VAData($AZ234,BG$2,$BA234,$BB234)</f>
        <v>34.525841298515871</v>
      </c>
      <c r="BH234" s="79">
        <f>_xll.VAData($AZ234,BH$2,$BA234,$BB234)</f>
        <v>37.991818181818203</v>
      </c>
      <c r="BI234" s="79">
        <f>_xll.VAData($AZ234,BI$2,$BA234,$BB234)</f>
        <v>16.316474243812682</v>
      </c>
      <c r="BJ234" s="79">
        <f>_xll.VAData($AZ234,BJ$2,$BA234,$BB234)</f>
        <v>36.781323645382265</v>
      </c>
      <c r="BK234" s="79">
        <f>_xll.VAData($AZ234,BK$2,$BA234,$BB234)</f>
        <v>41.804741657279408</v>
      </c>
      <c r="BL234" s="79">
        <f>_xll.VAData($AZ234,BL$2,$BA234,$BB234)</f>
        <v>36.1</v>
      </c>
      <c r="BM234" s="79">
        <f>_xll.VAData($AZ234,BM$2,$BA234,$BB234)</f>
        <v>28.8</v>
      </c>
      <c r="BN234" s="79">
        <f>_xll.VAData($AZ234,BN$2,$BA234,$BB234)</f>
        <v>39.4</v>
      </c>
      <c r="BO234" s="79">
        <f>_xll.VAData($AZ234,BO$2,$BA234,$BB234)</f>
        <v>32.5</v>
      </c>
      <c r="BP234" s="79">
        <f>_xll.VAData($AZ234,BP$2,$BA234,$BB234)</f>
        <v>31.8</v>
      </c>
      <c r="BQ234" s="79">
        <f>_xll.VAData($AZ234,BQ$2,$BA234,$BB234)</f>
        <v>32.6</v>
      </c>
      <c r="BR234" s="79">
        <f>_xll.VAData($AZ234,BR$2,$BA234,$BB234)</f>
        <v>30.9</v>
      </c>
      <c r="BS234" s="79">
        <f>_xll.VAData($AZ234,BS$2,$BA234,$BB234)</f>
        <v>26.9</v>
      </c>
      <c r="BT234" s="79">
        <f>_xll.VAData($AZ234,BT$2,$BA234,$BB234)</f>
        <v>29.3</v>
      </c>
      <c r="BU234" s="79">
        <f>_xll.VAData($AZ234,BU$2,$BA234,$BB234)</f>
        <v>25.1</v>
      </c>
      <c r="BV234" s="79">
        <f>_xll.VAData($AZ234,BV$2,$BA234,$BB234)</f>
        <v>28.006110769471224</v>
      </c>
      <c r="BW234" s="79">
        <f>_xll.VAData($AZ234,BW$2,$BA234,$BB234)</f>
        <v>27.004220492637721</v>
      </c>
      <c r="BX234" s="79">
        <f>_xll.VAData($AZ234,BX$2,$BA234,$BB234)</f>
        <v>23.994396302147347</v>
      </c>
      <c r="BY234" s="79">
        <f>_xll.VAData($AZ234,BY$2,$BA234,$BB234)</f>
        <v>26.135496824167841</v>
      </c>
    </row>
    <row r="235" spans="2:77">
      <c r="B235" s="74"/>
      <c r="C235" s="72" t="s">
        <v>90</v>
      </c>
      <c r="D235" s="225" t="s">
        <v>1343</v>
      </c>
      <c r="E235" s="226">
        <f>HY!E156</f>
        <v>40.1706596652445</v>
      </c>
      <c r="F235" s="226">
        <f>HY!F156</f>
        <v>29.704842240736639</v>
      </c>
      <c r="G235" s="226">
        <f>HY!G156</f>
        <v>39.715854052308693</v>
      </c>
      <c r="H235" s="226">
        <f>HY!H156</f>
        <v>32.140987690824893</v>
      </c>
      <c r="I235" s="226">
        <f>HY!I156</f>
        <v>37.623028891946241</v>
      </c>
      <c r="J235" s="226">
        <f>HY!J156</f>
        <v>14.35344507506208</v>
      </c>
      <c r="K235" s="226">
        <f>HY!K156</f>
        <v>36.929505035354623</v>
      </c>
      <c r="L235" s="226">
        <f>HY!L156</f>
        <v>39.910483962743633</v>
      </c>
      <c r="M235" s="226">
        <f>HY!M156</f>
        <v>34.110236220472437</v>
      </c>
      <c r="N235" s="226">
        <f>HY!N156</f>
        <v>27.44745062741568</v>
      </c>
      <c r="O235" s="226">
        <f>HY!O156</f>
        <v>39.9</v>
      </c>
      <c r="P235" s="226">
        <f>HY!P156</f>
        <v>30.300000000000004</v>
      </c>
      <c r="Q235" s="226">
        <f>HY!Q156</f>
        <v>29.1</v>
      </c>
      <c r="R235" s="226">
        <f>HY!R156</f>
        <v>29</v>
      </c>
      <c r="S235" s="226">
        <f>HY!S156</f>
        <v>30.3</v>
      </c>
      <c r="T235" s="226">
        <f>HY!T156</f>
        <v>27.2</v>
      </c>
      <c r="U235" s="226">
        <f>HY!U156</f>
        <v>31.4</v>
      </c>
      <c r="V235" s="226">
        <f>HY!V156</f>
        <v>30.1</v>
      </c>
      <c r="W235" s="226">
        <f>HY!W156</f>
        <v>29</v>
      </c>
      <c r="X235" s="226">
        <f>HY!X156</f>
        <v>30.1</v>
      </c>
      <c r="Y235" s="226">
        <f>HY!Y156</f>
        <v>25</v>
      </c>
      <c r="Z235" s="226">
        <f>HY!Z156</f>
        <v>25</v>
      </c>
      <c r="AA235" s="72"/>
      <c r="AB235" s="76"/>
      <c r="AC235" s="221"/>
      <c r="AD235" s="221"/>
      <c r="AE235" s="221"/>
      <c r="AF235" s="221"/>
      <c r="AG235" s="221"/>
      <c r="AH235" s="221"/>
      <c r="AI235" s="221"/>
      <c r="AJ235" s="221"/>
      <c r="AK235" s="221"/>
      <c r="AL235" s="221"/>
      <c r="AM235" s="221"/>
      <c r="AN235" s="221"/>
      <c r="AO235" s="221"/>
      <c r="AP235" s="221"/>
      <c r="AQ235" s="221"/>
      <c r="AR235" s="221"/>
      <c r="AS235" s="221"/>
      <c r="AT235" s="221"/>
      <c r="AU235" s="221"/>
      <c r="AV235" s="221"/>
      <c r="AW235" s="221"/>
      <c r="AX235" s="221"/>
      <c r="AY235" s="76"/>
      <c r="AZ235" s="77"/>
      <c r="BA235" s="77"/>
      <c r="BB235" s="78"/>
      <c r="BC235" s="76"/>
      <c r="BD235" s="221"/>
      <c r="BE235" s="221"/>
      <c r="BF235" s="221"/>
      <c r="BG235" s="221"/>
      <c r="BH235" s="221"/>
      <c r="BI235" s="221"/>
      <c r="BJ235" s="221"/>
      <c r="BK235" s="221"/>
      <c r="BL235" s="221"/>
      <c r="BM235" s="221"/>
      <c r="BN235" s="221"/>
      <c r="BO235" s="221"/>
      <c r="BP235" s="221"/>
      <c r="BQ235" s="221"/>
      <c r="BR235" s="221"/>
      <c r="BS235" s="221"/>
      <c r="BT235" s="221"/>
      <c r="BU235" s="221"/>
      <c r="BV235" s="221"/>
      <c r="BW235" s="221"/>
      <c r="BX235" s="221"/>
      <c r="BY235" s="221"/>
    </row>
    <row r="236" spans="2:77">
      <c r="B236" s="74"/>
      <c r="C236" s="81" t="s">
        <v>88</v>
      </c>
      <c r="D236" s="72" t="s">
        <v>1344</v>
      </c>
      <c r="E236" s="227">
        <f t="shared" ref="E236:Z236" si="98">IFERROR(ROUND(E234/E235-1,3),"")</f>
        <v>1.4999999999999999E-2</v>
      </c>
      <c r="F236" s="227">
        <f t="shared" si="98"/>
        <v>0.16300000000000001</v>
      </c>
      <c r="G236" s="227">
        <f t="shared" si="98"/>
        <v>3.2000000000000001E-2</v>
      </c>
      <c r="H236" s="227">
        <f t="shared" si="98"/>
        <v>0.13600000000000001</v>
      </c>
      <c r="I236" s="227">
        <f t="shared" si="98"/>
        <v>0.05</v>
      </c>
      <c r="J236" s="227">
        <f t="shared" si="98"/>
        <v>0.21199999999999999</v>
      </c>
      <c r="K236" s="227">
        <f t="shared" si="98"/>
        <v>3.6999999999999998E-2</v>
      </c>
      <c r="L236" s="227">
        <f t="shared" si="98"/>
        <v>0.105</v>
      </c>
      <c r="M236" s="227">
        <f t="shared" si="98"/>
        <v>5.8000000000000003E-2</v>
      </c>
      <c r="N236" s="227">
        <f t="shared" si="98"/>
        <v>4.9000000000000002E-2</v>
      </c>
      <c r="O236" s="227">
        <f t="shared" si="98"/>
        <v>-5.0000000000000001E-3</v>
      </c>
      <c r="P236" s="227">
        <f t="shared" si="98"/>
        <v>0.01</v>
      </c>
      <c r="Q236" s="227">
        <f t="shared" si="98"/>
        <v>0.14399999999999999</v>
      </c>
      <c r="R236" s="227">
        <f t="shared" si="98"/>
        <v>7.3999999999999996E-2</v>
      </c>
      <c r="S236" s="227">
        <f t="shared" si="98"/>
        <v>0.16800000000000001</v>
      </c>
      <c r="T236" s="227">
        <f t="shared" si="98"/>
        <v>0.19400000000000001</v>
      </c>
      <c r="U236" s="227">
        <f t="shared" si="98"/>
        <v>0.114</v>
      </c>
      <c r="V236" s="227">
        <f t="shared" si="98"/>
        <v>9.1999999999999998E-2</v>
      </c>
      <c r="W236" s="227">
        <f t="shared" si="98"/>
        <v>0.24199999999999999</v>
      </c>
      <c r="X236" s="227">
        <f t="shared" si="98"/>
        <v>0.124</v>
      </c>
      <c r="Y236" s="227">
        <f t="shared" si="98"/>
        <v>0.48299999999999998</v>
      </c>
      <c r="Z236" s="227">
        <f t="shared" si="98"/>
        <v>0.39800000000000002</v>
      </c>
      <c r="AA236" s="72"/>
      <c r="AB236" s="76"/>
      <c r="AC236" s="221"/>
      <c r="AD236" s="221"/>
      <c r="AE236" s="221"/>
      <c r="AF236" s="221"/>
      <c r="AG236" s="221"/>
      <c r="AH236" s="221"/>
      <c r="AI236" s="221"/>
      <c r="AJ236" s="221"/>
      <c r="AK236" s="221"/>
      <c r="AL236" s="221"/>
      <c r="AM236" s="221"/>
      <c r="AN236" s="221"/>
      <c r="AO236" s="221"/>
      <c r="AP236" s="221"/>
      <c r="AQ236" s="221"/>
      <c r="AR236" s="221"/>
      <c r="AS236" s="221"/>
      <c r="AT236" s="221"/>
      <c r="AU236" s="221"/>
      <c r="AV236" s="221"/>
      <c r="AW236" s="221"/>
      <c r="AX236" s="221"/>
      <c r="AY236" s="76"/>
      <c r="AZ236" s="77"/>
      <c r="BA236" s="77"/>
      <c r="BB236" s="78"/>
      <c r="BC236" s="76"/>
      <c r="BD236" s="221"/>
      <c r="BE236" s="221"/>
      <c r="BF236" s="221"/>
      <c r="BG236" s="221"/>
      <c r="BH236" s="221"/>
      <c r="BI236" s="221"/>
      <c r="BJ236" s="221"/>
      <c r="BK236" s="221"/>
      <c r="BL236" s="221"/>
      <c r="BM236" s="221"/>
      <c r="BN236" s="221"/>
      <c r="BO236" s="221"/>
      <c r="BP236" s="221"/>
      <c r="BQ236" s="221"/>
      <c r="BR236" s="221"/>
      <c r="BS236" s="221"/>
      <c r="BT236" s="221"/>
      <c r="BU236" s="221"/>
      <c r="BV236" s="221"/>
      <c r="BW236" s="221"/>
      <c r="BX236" s="221"/>
      <c r="BY236" s="221"/>
    </row>
    <row r="237" spans="2:77">
      <c r="B237" s="74"/>
      <c r="C237" s="72"/>
      <c r="D237" s="72"/>
      <c r="E237" s="75"/>
      <c r="F237" s="75"/>
      <c r="G237" s="75"/>
      <c r="H237" s="75"/>
      <c r="I237" s="75"/>
      <c r="J237" s="75"/>
      <c r="K237" s="75"/>
      <c r="L237" s="75"/>
      <c r="M237" s="75"/>
      <c r="N237" s="75"/>
      <c r="O237" s="75"/>
      <c r="P237" s="75"/>
      <c r="Q237" s="75"/>
      <c r="R237" s="75"/>
      <c r="S237" s="75"/>
      <c r="T237" s="75"/>
      <c r="U237" s="75"/>
      <c r="V237" s="75"/>
      <c r="W237" s="75"/>
      <c r="X237" s="75"/>
      <c r="Y237" s="75"/>
      <c r="Z237" s="75"/>
      <c r="AA237" s="72"/>
      <c r="AB237" s="76"/>
      <c r="AC237" s="221"/>
      <c r="AD237" s="221"/>
      <c r="AE237" s="221"/>
      <c r="AF237" s="221"/>
      <c r="AG237" s="221"/>
      <c r="AH237" s="221"/>
      <c r="AI237" s="221"/>
      <c r="AJ237" s="221"/>
      <c r="AK237" s="221"/>
      <c r="AL237" s="221"/>
      <c r="AM237" s="221"/>
      <c r="AN237" s="221"/>
      <c r="AO237" s="221"/>
      <c r="AP237" s="221"/>
      <c r="AQ237" s="221"/>
      <c r="AR237" s="221"/>
      <c r="AS237" s="221"/>
      <c r="AT237" s="221"/>
      <c r="AU237" s="221"/>
      <c r="AV237" s="221"/>
      <c r="AW237" s="221"/>
      <c r="AX237" s="221"/>
      <c r="AY237" s="76"/>
      <c r="AZ237" s="77"/>
      <c r="BA237" s="77"/>
      <c r="BB237" s="78"/>
      <c r="BC237" s="76"/>
      <c r="BD237" s="221"/>
      <c r="BE237" s="221"/>
      <c r="BF237" s="221"/>
      <c r="BG237" s="221"/>
      <c r="BH237" s="221"/>
      <c r="BI237" s="221"/>
      <c r="BJ237" s="221"/>
      <c r="BK237" s="221"/>
      <c r="BL237" s="221"/>
      <c r="BM237" s="221"/>
      <c r="BN237" s="221"/>
      <c r="BO237" s="221"/>
      <c r="BP237" s="221"/>
      <c r="BQ237" s="221"/>
      <c r="BR237" s="221"/>
      <c r="BS237" s="221"/>
      <c r="BT237" s="221"/>
      <c r="BU237" s="221"/>
      <c r="BV237" s="221"/>
      <c r="BW237" s="221"/>
      <c r="BX237" s="221"/>
      <c r="BY237" s="221"/>
    </row>
    <row r="238" spans="2:77">
      <c r="B238" s="74" t="str">
        <f>BA238</f>
        <v>Number of tables - Adelaide</v>
      </c>
      <c r="C238" s="72" t="s">
        <v>90</v>
      </c>
      <c r="D238" s="224" t="s">
        <v>1342</v>
      </c>
      <c r="E238" s="223">
        <f t="shared" ref="E238:Z238" si="99">AC238</f>
        <v>82</v>
      </c>
      <c r="F238" s="223">
        <f t="shared" si="99"/>
        <v>81.666666666666671</v>
      </c>
      <c r="G238" s="223">
        <f t="shared" si="99"/>
        <v>81.666666666666671</v>
      </c>
      <c r="H238" s="223">
        <f t="shared" si="99"/>
        <v>81.666666666666671</v>
      </c>
      <c r="I238" s="223">
        <f t="shared" si="99"/>
        <v>81.666666666666671</v>
      </c>
      <c r="J238" s="223">
        <f t="shared" si="99"/>
        <v>79.5</v>
      </c>
      <c r="K238" s="223">
        <f t="shared" si="99"/>
        <v>96</v>
      </c>
      <c r="L238" s="223">
        <f t="shared" si="99"/>
        <v>99.5</v>
      </c>
      <c r="M238" s="223">
        <f t="shared" si="99"/>
        <v>105.25</v>
      </c>
      <c r="N238" s="223">
        <f t="shared" si="99"/>
        <v>109.25</v>
      </c>
      <c r="O238" s="223">
        <f t="shared" si="99"/>
        <v>137</v>
      </c>
      <c r="P238" s="223">
        <f t="shared" si="99"/>
        <v>109.6666666666667</v>
      </c>
      <c r="Q238" s="223">
        <f t="shared" si="99"/>
        <v>142</v>
      </c>
      <c r="R238" s="223">
        <f t="shared" si="99"/>
        <v>142</v>
      </c>
      <c r="S238" s="223">
        <f t="shared" si="99"/>
        <v>142</v>
      </c>
      <c r="T238" s="223">
        <f t="shared" si="99"/>
        <v>142</v>
      </c>
      <c r="U238" s="223">
        <f t="shared" si="99"/>
        <v>142</v>
      </c>
      <c r="V238" s="223">
        <f t="shared" si="99"/>
        <v>142</v>
      </c>
      <c r="W238" s="223">
        <f t="shared" si="99"/>
        <v>142</v>
      </c>
      <c r="X238" s="223">
        <f t="shared" si="99"/>
        <v>142</v>
      </c>
      <c r="Y238" s="223">
        <f t="shared" si="99"/>
        <v>142</v>
      </c>
      <c r="Z238" s="223">
        <f t="shared" si="99"/>
        <v>142</v>
      </c>
      <c r="AA238" s="72"/>
      <c r="AB238" s="76"/>
      <c r="AC238" s="222">
        <v>82</v>
      </c>
      <c r="AD238" s="222">
        <v>81.666666666666671</v>
      </c>
      <c r="AE238" s="222">
        <v>81.666666666666671</v>
      </c>
      <c r="AF238" s="222">
        <v>81.666666666666671</v>
      </c>
      <c r="AG238" s="222">
        <v>81.666666666666671</v>
      </c>
      <c r="AH238" s="222">
        <v>79.5</v>
      </c>
      <c r="AI238" s="222">
        <v>96</v>
      </c>
      <c r="AJ238" s="222">
        <v>99.5</v>
      </c>
      <c r="AK238" s="222">
        <v>105.25</v>
      </c>
      <c r="AL238" s="222">
        <v>109.25</v>
      </c>
      <c r="AM238" s="222">
        <v>137</v>
      </c>
      <c r="AN238" s="222">
        <v>109.6666666666667</v>
      </c>
      <c r="AO238" s="222">
        <v>142</v>
      </c>
      <c r="AP238" s="222">
        <v>142</v>
      </c>
      <c r="AQ238" s="222">
        <v>142</v>
      </c>
      <c r="AR238" s="222">
        <v>142</v>
      </c>
      <c r="AS238" s="222">
        <v>142</v>
      </c>
      <c r="AT238" s="222">
        <v>142</v>
      </c>
      <c r="AU238" s="222">
        <v>142</v>
      </c>
      <c r="AV238" s="222">
        <v>142</v>
      </c>
      <c r="AW238" s="222">
        <v>142</v>
      </c>
      <c r="AX238" s="222">
        <v>142</v>
      </c>
      <c r="AY238" s="76"/>
      <c r="AZ238" s="77" t="s">
        <v>1259</v>
      </c>
      <c r="BA238" s="77" t="s">
        <v>1384</v>
      </c>
      <c r="BB238" s="78" t="s">
        <v>1261</v>
      </c>
      <c r="BC238" s="76"/>
      <c r="BD238" s="79">
        <f>_xll.VAData($AZ238,BD$2,$BA238,$BB238)</f>
        <v>87.666666666666671</v>
      </c>
      <c r="BE238" s="79">
        <f>_xll.VAData($AZ238,BE$2,$BA238,$BB238)</f>
        <v>87.333333333333329</v>
      </c>
      <c r="BF238" s="79">
        <f>_xll.VAData($AZ238,BF$2,$BA238,$BB238)</f>
        <v>87.333333333333329</v>
      </c>
      <c r="BG238" s="79">
        <f>_xll.VAData($AZ238,BG$2,$BA238,$BB238)</f>
        <v>87.333333333333329</v>
      </c>
      <c r="BH238" s="79">
        <f>_xll.VAData($AZ238,BH$2,$BA238,$BB238)</f>
        <v>87.333333333333329</v>
      </c>
      <c r="BI238" s="79">
        <f>_xll.VAData($AZ238,BI$2,$BA238,$BB238)</f>
        <v>87.333333333333329</v>
      </c>
      <c r="BJ238" s="79">
        <f>_xll.VAData($AZ238,BJ$2,$BA238,$BB238)</f>
        <v>106.33333333333333</v>
      </c>
      <c r="BK238" s="79">
        <f>_xll.VAData($AZ238,BK$2,$BA238,$BB238)</f>
        <v>111</v>
      </c>
      <c r="BL238" s="79">
        <f>_xll.VAData($AZ238,BL$2,$BA238,$BB238)</f>
        <v>108.66666666666667</v>
      </c>
      <c r="BM238" s="79">
        <f>_xll.VAData($AZ238,BM$2,$BA238,$BB238)</f>
        <v>114</v>
      </c>
      <c r="BN238" s="79">
        <f>_xll.VAData($AZ238,BN$2,$BA238,$BB238)</f>
        <v>151</v>
      </c>
      <c r="BO238" s="79">
        <f>_xll.VAData($AZ238,BO$2,$BA238,$BB238)</f>
        <v>149.66666666666666</v>
      </c>
      <c r="BP238" s="79">
        <f>_xll.VAData($AZ238,BP$2,$BA238,$BB238)</f>
        <v>154.25</v>
      </c>
      <c r="BQ238" s="79">
        <f>_xll.VAData($AZ238,BQ$2,$BA238,$BB238)</f>
        <v>154.25</v>
      </c>
      <c r="BR238" s="79">
        <f>_xll.VAData($AZ238,BR$2,$BA238,$BB238)</f>
        <v>154.25</v>
      </c>
      <c r="BS238" s="79">
        <f>_xll.VAData($AZ238,BS$2,$BA238,$BB238)</f>
        <v>154.25</v>
      </c>
      <c r="BT238" s="79">
        <f>_xll.VAData($AZ238,BT$2,$BA238,$BB238)</f>
        <v>154.25</v>
      </c>
      <c r="BU238" s="79">
        <f>_xll.VAData($AZ238,BU$2,$BA238,$BB238)</f>
        <v>154.25</v>
      </c>
      <c r="BV238" s="79">
        <f>_xll.VAData($AZ238,BV$2,$BA238,$BB238)</f>
        <v>139</v>
      </c>
      <c r="BW238" s="79">
        <f>_xll.VAData($AZ238,BW$2,$BA238,$BB238)</f>
        <v>139</v>
      </c>
      <c r="BX238" s="79">
        <f>_xll.VAData($AZ238,BX$2,$BA238,$BB238)</f>
        <v>139</v>
      </c>
      <c r="BY238" s="79">
        <f>_xll.VAData($AZ238,BY$2,$BA238,$BB238)</f>
        <v>139</v>
      </c>
    </row>
    <row r="239" spans="2:77">
      <c r="B239" s="228" t="s">
        <v>1359</v>
      </c>
      <c r="C239" s="72" t="s">
        <v>90</v>
      </c>
      <c r="D239" s="225" t="s">
        <v>1343</v>
      </c>
      <c r="E239" s="226">
        <f>HY!E138</f>
        <v>81</v>
      </c>
      <c r="F239" s="226">
        <f>HY!F138</f>
        <v>81</v>
      </c>
      <c r="G239" s="226">
        <f>HY!G138</f>
        <v>81</v>
      </c>
      <c r="H239" s="226">
        <f>HY!H138</f>
        <v>81</v>
      </c>
      <c r="I239" s="226">
        <f>HY!I138</f>
        <v>81</v>
      </c>
      <c r="J239" s="226">
        <f>HY!J138</f>
        <v>81</v>
      </c>
      <c r="K239" s="226">
        <f>HY!K138</f>
        <v>81</v>
      </c>
      <c r="L239" s="226">
        <f>HY!L138</f>
        <v>81</v>
      </c>
      <c r="M239" s="226">
        <f>HY!M138</f>
        <v>81</v>
      </c>
      <c r="N239" s="226">
        <f>HY!N138</f>
        <v>81</v>
      </c>
      <c r="O239" s="226">
        <f>HY!O138</f>
        <v>81</v>
      </c>
      <c r="P239" s="226">
        <f>HY!P138</f>
        <v>81</v>
      </c>
      <c r="Q239" s="226">
        <f>HY!Q138</f>
        <v>81</v>
      </c>
      <c r="R239" s="226">
        <f>HY!R138</f>
        <v>81</v>
      </c>
      <c r="S239" s="226">
        <f>HY!S138</f>
        <v>81</v>
      </c>
      <c r="T239" s="226">
        <f>HY!T138</f>
        <v>81</v>
      </c>
      <c r="U239" s="226">
        <f>HY!U138</f>
        <v>81</v>
      </c>
      <c r="V239" s="226">
        <f>HY!V138</f>
        <v>81</v>
      </c>
      <c r="W239" s="226">
        <f>HY!W138</f>
        <v>81</v>
      </c>
      <c r="X239" s="226">
        <f>HY!X138</f>
        <v>81</v>
      </c>
      <c r="Y239" s="226">
        <f>HY!Y138</f>
        <v>81</v>
      </c>
      <c r="Z239" s="226">
        <f>HY!Z138</f>
        <v>81</v>
      </c>
      <c r="AA239" s="72"/>
      <c r="AB239" s="76"/>
      <c r="AC239" s="221"/>
      <c r="AD239" s="221"/>
      <c r="AE239" s="221"/>
      <c r="AF239" s="221"/>
      <c r="AG239" s="221"/>
      <c r="AH239" s="221"/>
      <c r="AI239" s="221"/>
      <c r="AJ239" s="221"/>
      <c r="AK239" s="221"/>
      <c r="AL239" s="221"/>
      <c r="AM239" s="221"/>
      <c r="AN239" s="221"/>
      <c r="AO239" s="221"/>
      <c r="AP239" s="221"/>
      <c r="AQ239" s="221"/>
      <c r="AR239" s="221"/>
      <c r="AS239" s="221"/>
      <c r="AT239" s="221"/>
      <c r="AU239" s="221"/>
      <c r="AV239" s="221"/>
      <c r="AW239" s="221"/>
      <c r="AX239" s="221"/>
      <c r="AY239" s="76"/>
      <c r="AZ239" s="77"/>
      <c r="BA239" s="77"/>
      <c r="BB239" s="78"/>
      <c r="BC239" s="76"/>
      <c r="BD239" s="221"/>
      <c r="BE239" s="221"/>
      <c r="BF239" s="221"/>
      <c r="BG239" s="221"/>
      <c r="BH239" s="221"/>
      <c r="BI239" s="221"/>
      <c r="BJ239" s="221"/>
      <c r="BK239" s="221"/>
      <c r="BL239" s="221"/>
      <c r="BM239" s="221"/>
      <c r="BN239" s="221"/>
      <c r="BO239" s="221"/>
      <c r="BP239" s="221"/>
      <c r="BQ239" s="221"/>
      <c r="BR239" s="221"/>
      <c r="BS239" s="221"/>
      <c r="BT239" s="221"/>
      <c r="BU239" s="221"/>
      <c r="BV239" s="221"/>
      <c r="BW239" s="221"/>
      <c r="BX239" s="221"/>
      <c r="BY239" s="221"/>
    </row>
    <row r="240" spans="2:77">
      <c r="B240" s="74"/>
      <c r="C240" s="81" t="s">
        <v>88</v>
      </c>
      <c r="D240" s="72" t="s">
        <v>1344</v>
      </c>
      <c r="E240" s="227">
        <f t="shared" ref="E240:Z240" si="100">IFERROR(ROUND(E238/E239-1,3),"")</f>
        <v>1.2E-2</v>
      </c>
      <c r="F240" s="227">
        <f t="shared" si="100"/>
        <v>8.0000000000000002E-3</v>
      </c>
      <c r="G240" s="227">
        <f t="shared" si="100"/>
        <v>8.0000000000000002E-3</v>
      </c>
      <c r="H240" s="227">
        <f t="shared" si="100"/>
        <v>8.0000000000000002E-3</v>
      </c>
      <c r="I240" s="227">
        <f t="shared" si="100"/>
        <v>8.0000000000000002E-3</v>
      </c>
      <c r="J240" s="227">
        <f t="shared" si="100"/>
        <v>-1.9E-2</v>
      </c>
      <c r="K240" s="227">
        <f t="shared" si="100"/>
        <v>0.185</v>
      </c>
      <c r="L240" s="227">
        <f t="shared" si="100"/>
        <v>0.22800000000000001</v>
      </c>
      <c r="M240" s="227">
        <f t="shared" si="100"/>
        <v>0.29899999999999999</v>
      </c>
      <c r="N240" s="227">
        <f t="shared" si="100"/>
        <v>0.34899999999999998</v>
      </c>
      <c r="O240" s="227">
        <f t="shared" si="100"/>
        <v>0.69099999999999995</v>
      </c>
      <c r="P240" s="227">
        <f t="shared" si="100"/>
        <v>0.35399999999999998</v>
      </c>
      <c r="Q240" s="227">
        <f t="shared" si="100"/>
        <v>0.753</v>
      </c>
      <c r="R240" s="227">
        <f t="shared" si="100"/>
        <v>0.753</v>
      </c>
      <c r="S240" s="227">
        <f t="shared" si="100"/>
        <v>0.753</v>
      </c>
      <c r="T240" s="227">
        <f t="shared" si="100"/>
        <v>0.753</v>
      </c>
      <c r="U240" s="227">
        <f t="shared" si="100"/>
        <v>0.753</v>
      </c>
      <c r="V240" s="227">
        <f t="shared" si="100"/>
        <v>0.753</v>
      </c>
      <c r="W240" s="227">
        <f t="shared" si="100"/>
        <v>0.753</v>
      </c>
      <c r="X240" s="227">
        <f t="shared" si="100"/>
        <v>0.753</v>
      </c>
      <c r="Y240" s="227">
        <f t="shared" si="100"/>
        <v>0.753</v>
      </c>
      <c r="Z240" s="227">
        <f t="shared" si="100"/>
        <v>0.753</v>
      </c>
      <c r="AA240" s="72"/>
      <c r="AB240" s="76"/>
      <c r="AC240" s="221"/>
      <c r="AD240" s="221"/>
      <c r="AE240" s="221"/>
      <c r="AF240" s="221"/>
      <c r="AG240" s="221"/>
      <c r="AH240" s="221"/>
      <c r="AI240" s="221"/>
      <c r="AJ240" s="221"/>
      <c r="AK240" s="221"/>
      <c r="AL240" s="221"/>
      <c r="AM240" s="221"/>
      <c r="AN240" s="221"/>
      <c r="AO240" s="221"/>
      <c r="AP240" s="221"/>
      <c r="AQ240" s="221"/>
      <c r="AR240" s="221"/>
      <c r="AS240" s="221"/>
      <c r="AT240" s="221"/>
      <c r="AU240" s="221"/>
      <c r="AV240" s="221"/>
      <c r="AW240" s="221"/>
      <c r="AX240" s="221"/>
      <c r="AY240" s="76"/>
      <c r="AZ240" s="77"/>
      <c r="BA240" s="77"/>
      <c r="BB240" s="78"/>
      <c r="BC240" s="76"/>
      <c r="BD240" s="221"/>
      <c r="BE240" s="221"/>
      <c r="BF240" s="221"/>
      <c r="BG240" s="221"/>
      <c r="BH240" s="221"/>
      <c r="BI240" s="221"/>
      <c r="BJ240" s="221"/>
      <c r="BK240" s="221"/>
      <c r="BL240" s="221"/>
      <c r="BM240" s="221"/>
      <c r="BN240" s="221"/>
      <c r="BO240" s="221"/>
      <c r="BP240" s="221"/>
      <c r="BQ240" s="221"/>
      <c r="BR240" s="221"/>
      <c r="BS240" s="221"/>
      <c r="BT240" s="221"/>
      <c r="BU240" s="221"/>
      <c r="BV240" s="221"/>
      <c r="BW240" s="221"/>
      <c r="BX240" s="221"/>
      <c r="BY240" s="221"/>
    </row>
    <row r="241" spans="2:77">
      <c r="B241" s="74"/>
      <c r="C241" s="72"/>
      <c r="D241" s="72"/>
      <c r="E241" s="75"/>
      <c r="F241" s="75"/>
      <c r="G241" s="75"/>
      <c r="H241" s="75"/>
      <c r="I241" s="75"/>
      <c r="J241" s="75"/>
      <c r="K241" s="75"/>
      <c r="L241" s="75"/>
      <c r="M241" s="75"/>
      <c r="N241" s="75"/>
      <c r="O241" s="75"/>
      <c r="P241" s="75"/>
      <c r="Q241" s="75"/>
      <c r="R241" s="75"/>
      <c r="S241" s="75"/>
      <c r="T241" s="75"/>
      <c r="U241" s="75"/>
      <c r="V241" s="75"/>
      <c r="W241" s="75"/>
      <c r="X241" s="75"/>
      <c r="Y241" s="75"/>
      <c r="Z241" s="75"/>
      <c r="AA241" s="72"/>
      <c r="AB241" s="76"/>
      <c r="AC241" s="221"/>
      <c r="AD241" s="221"/>
      <c r="AE241" s="221"/>
      <c r="AF241" s="221"/>
      <c r="AG241" s="221"/>
      <c r="AH241" s="221"/>
      <c r="AI241" s="221"/>
      <c r="AJ241" s="221"/>
      <c r="AK241" s="221"/>
      <c r="AL241" s="221"/>
      <c r="AM241" s="221"/>
      <c r="AN241" s="221"/>
      <c r="AO241" s="221"/>
      <c r="AP241" s="221"/>
      <c r="AQ241" s="221"/>
      <c r="AR241" s="221"/>
      <c r="AS241" s="221"/>
      <c r="AT241" s="221"/>
      <c r="AU241" s="221"/>
      <c r="AV241" s="221"/>
      <c r="AW241" s="221"/>
      <c r="AX241" s="221"/>
      <c r="AY241" s="76"/>
      <c r="AZ241" s="77"/>
      <c r="BA241" s="77"/>
      <c r="BB241" s="78"/>
      <c r="BC241" s="76"/>
      <c r="BD241" s="221"/>
      <c r="BE241" s="221"/>
      <c r="BF241" s="221"/>
      <c r="BG241" s="221"/>
      <c r="BH241" s="221"/>
      <c r="BI241" s="221"/>
      <c r="BJ241" s="221"/>
      <c r="BK241" s="221"/>
      <c r="BL241" s="221"/>
      <c r="BM241" s="221"/>
      <c r="BN241" s="221"/>
      <c r="BO241" s="221"/>
      <c r="BP241" s="221"/>
      <c r="BQ241" s="221"/>
      <c r="BR241" s="221"/>
      <c r="BS241" s="221"/>
      <c r="BT241" s="221"/>
      <c r="BU241" s="221"/>
      <c r="BV241" s="221"/>
      <c r="BW241" s="221"/>
      <c r="BX241" s="221"/>
      <c r="BY241" s="221"/>
    </row>
    <row r="242" spans="2:77">
      <c r="B242" s="74" t="str">
        <f>BA242</f>
        <v>Table games win per unit per day - Adelaide (A$)</v>
      </c>
      <c r="C242" s="72" t="s">
        <v>90</v>
      </c>
      <c r="D242" s="224" t="s">
        <v>1342</v>
      </c>
      <c r="E242" s="223">
        <f t="shared" ref="E242:Z242" si="101">AC242</f>
        <v>2621.3067513418878</v>
      </c>
      <c r="F242" s="223">
        <f t="shared" si="101"/>
        <v>2191.86794800289</v>
      </c>
      <c r="G242" s="223">
        <f t="shared" si="101"/>
        <v>2645.998003153592</v>
      </c>
      <c r="H242" s="223">
        <f t="shared" si="101"/>
        <v>2355.5225806066751</v>
      </c>
      <c r="I242" s="223">
        <f t="shared" si="101"/>
        <v>2607.0987996824588</v>
      </c>
      <c r="J242" s="223">
        <f t="shared" si="101"/>
        <v>1167.0330342742609</v>
      </c>
      <c r="K242" s="223">
        <f t="shared" si="101"/>
        <v>2224.2486418149342</v>
      </c>
      <c r="L242" s="223">
        <f t="shared" si="101"/>
        <v>2270.0225996386371</v>
      </c>
      <c r="M242" s="223">
        <f t="shared" si="101"/>
        <v>2250.5537863662162</v>
      </c>
      <c r="N242" s="223">
        <f t="shared" si="101"/>
        <v>1364.2022773415549</v>
      </c>
      <c r="O242" s="223">
        <f t="shared" si="101"/>
        <v>1975.310747180828</v>
      </c>
      <c r="P242" s="223">
        <f t="shared" si="101"/>
        <v>1309.039873131218</v>
      </c>
      <c r="Q242" s="223">
        <f t="shared" si="101"/>
        <v>1279.7004049521611</v>
      </c>
      <c r="R242" s="223">
        <f t="shared" si="101"/>
        <v>1147.7202970856199</v>
      </c>
      <c r="S242" s="223">
        <f t="shared" si="101"/>
        <v>1325.673176143413</v>
      </c>
      <c r="T242" s="223">
        <f t="shared" si="101"/>
        <v>1193.970392632822</v>
      </c>
      <c r="U242" s="223">
        <f t="shared" si="101"/>
        <v>1368.7711886317461</v>
      </c>
      <c r="V242" s="223">
        <f t="shared" si="101"/>
        <v>1232.575287583519</v>
      </c>
      <c r="W242" s="223">
        <f t="shared" si="101"/>
        <v>1421.855401798264</v>
      </c>
      <c r="X242" s="223">
        <f t="shared" si="101"/>
        <v>1279.542785560134</v>
      </c>
      <c r="Y242" s="223">
        <f t="shared" si="101"/>
        <v>1476.699295181239</v>
      </c>
      <c r="Z242" s="223">
        <f t="shared" si="101"/>
        <v>1327.975119426347</v>
      </c>
      <c r="AA242" s="72"/>
      <c r="AB242" s="76"/>
      <c r="AC242" s="222">
        <v>2621.3067513418878</v>
      </c>
      <c r="AD242" s="222">
        <v>2191.86794800289</v>
      </c>
      <c r="AE242" s="222">
        <v>2645.998003153592</v>
      </c>
      <c r="AF242" s="222">
        <v>2355.5225806066751</v>
      </c>
      <c r="AG242" s="222">
        <v>2607.0987996824588</v>
      </c>
      <c r="AH242" s="222">
        <v>1167.0330342742609</v>
      </c>
      <c r="AI242" s="222">
        <v>2224.2486418149342</v>
      </c>
      <c r="AJ242" s="222">
        <v>2270.0225996386371</v>
      </c>
      <c r="AK242" s="222">
        <v>2250.5537863662162</v>
      </c>
      <c r="AL242" s="222">
        <v>1364.2022773415549</v>
      </c>
      <c r="AM242" s="222">
        <v>1975.310747180828</v>
      </c>
      <c r="AN242" s="222">
        <v>1309.039873131218</v>
      </c>
      <c r="AO242" s="222">
        <v>1279.7004049521611</v>
      </c>
      <c r="AP242" s="222">
        <v>1147.7202970856199</v>
      </c>
      <c r="AQ242" s="222">
        <v>1325.673176143413</v>
      </c>
      <c r="AR242" s="222">
        <v>1193.970392632822</v>
      </c>
      <c r="AS242" s="222">
        <v>1368.7711886317461</v>
      </c>
      <c r="AT242" s="222">
        <v>1232.575287583519</v>
      </c>
      <c r="AU242" s="222">
        <v>1421.855401798264</v>
      </c>
      <c r="AV242" s="222">
        <v>1279.542785560134</v>
      </c>
      <c r="AW242" s="222">
        <v>1476.699295181239</v>
      </c>
      <c r="AX242" s="222">
        <v>1327.975119426347</v>
      </c>
      <c r="AY242" s="76"/>
      <c r="AZ242" s="77" t="s">
        <v>1259</v>
      </c>
      <c r="BA242" s="77" t="s">
        <v>1385</v>
      </c>
      <c r="BB242" s="78" t="s">
        <v>1261</v>
      </c>
      <c r="BC242" s="76"/>
      <c r="BD242" s="79">
        <f>_xll.VAData($AZ242,BD$2,$BA242,$BB242)</f>
        <v>3216.9674018087967</v>
      </c>
      <c r="BE242" s="79">
        <f>_xll.VAData($AZ242,BE$2,$BA242,$BB242)</f>
        <v>2142.0871763994633</v>
      </c>
      <c r="BF242" s="79">
        <f>_xll.VAData($AZ242,BF$2,$BA242,$BB242)</f>
        <v>2506.7139106719369</v>
      </c>
      <c r="BG242" s="79">
        <f>_xll.VAData($AZ242,BG$2,$BA242,$BB242)</f>
        <v>2192.1393187091567</v>
      </c>
      <c r="BH242" s="79">
        <f>_xll.VAData($AZ242,BH$2,$BA242,$BB242)</f>
        <v>2444.5205850221655</v>
      </c>
      <c r="BI242" s="79">
        <f>_xll.VAData($AZ242,BI$2,$BA242,$BB242)</f>
        <v>1029.7298687886985</v>
      </c>
      <c r="BJ242" s="79">
        <f>_xll.VAData($AZ242,BJ$2,$BA242,$BB242)</f>
        <v>2211.2531055497298</v>
      </c>
      <c r="BK242" s="79">
        <f>_xll.VAData($AZ242,BK$2,$BA242,$BB242)</f>
        <v>2277.5488104733254</v>
      </c>
      <c r="BL242" s="79">
        <f>_xll.VAData($AZ242,BL$2,$BA242,$BB242)</f>
        <v>2681.4284256676401</v>
      </c>
      <c r="BM242" s="79">
        <f>_xll.VAData($AZ242,BM$2,$BA242,$BB242)</f>
        <v>1475.4611827405743</v>
      </c>
      <c r="BN242" s="79">
        <f>_xll.VAData($AZ242,BN$2,$BA242,$BB242)</f>
        <v>2015.1715745942186</v>
      </c>
      <c r="BO242" s="79">
        <f>_xll.VAData($AZ242,BO$2,$BA242,$BB242)</f>
        <v>1324.3208778178266</v>
      </c>
      <c r="BP242" s="79">
        <f>_xll.VAData($AZ242,BP$2,$BA242,$BB242)</f>
        <v>1345.5526091638096</v>
      </c>
      <c r="BQ242" s="79">
        <f>_xll.VAData($AZ242,BQ$2,$BA242,$BB242)</f>
        <v>1420.6376002641589</v>
      </c>
      <c r="BR242" s="79">
        <f>_xll.VAData($AZ242,BR$2,$BA242,$BB242)</f>
        <v>1452.4340776453548</v>
      </c>
      <c r="BS242" s="79">
        <f>_xll.VAData($AZ242,BS$2,$BA242,$BB242)</f>
        <v>1272.9714241867732</v>
      </c>
      <c r="BT242" s="79">
        <f>_xll.VAData($AZ242,BT$2,$BA242,$BB242)</f>
        <v>1396.9652190059051</v>
      </c>
      <c r="BU242" s="79">
        <f>_xll.VAData($AZ242,BU$2,$BA242,$BB242)</f>
        <v>1402.6094373745773</v>
      </c>
      <c r="BV242" s="79">
        <f>_xll.VAData($AZ242,BV$2,$BA242,$BB242)</f>
        <v>1337.5747720189188</v>
      </c>
      <c r="BW242" s="79">
        <f>_xll.VAData($AZ242,BW$2,$BA242,$BB242)</f>
        <v>1337.6605763725267</v>
      </c>
      <c r="BX242" s="79">
        <f>_xll.VAData($AZ242,BX$2,$BA242,$BB242)</f>
        <v>1266.8411607040209</v>
      </c>
      <c r="BY242" s="79">
        <f>_xll.VAData($AZ242,BY$2,$BA242,$BB242)</f>
        <v>1378.5833833313475</v>
      </c>
    </row>
    <row r="243" spans="2:77">
      <c r="B243" s="74"/>
      <c r="C243" s="72" t="s">
        <v>90</v>
      </c>
      <c r="D243" s="225" t="s">
        <v>1343</v>
      </c>
      <c r="E243" s="226">
        <f>HY!E147</f>
        <v>2695.2938583765763</v>
      </c>
      <c r="F243" s="226">
        <f>HY!F147</f>
        <v>2026.1129691519432</v>
      </c>
      <c r="G243" s="226">
        <f>HY!G147</f>
        <v>2664.7781838639758</v>
      </c>
      <c r="H243" s="226">
        <f>HY!H147</f>
        <v>2192.2779954181087</v>
      </c>
      <c r="I243" s="226">
        <f>HY!I147</f>
        <v>2524.3578161531295</v>
      </c>
      <c r="J243" s="226">
        <f>HY!J147</f>
        <v>973.64299790137568</v>
      </c>
      <c r="K243" s="226">
        <f>HY!K147</f>
        <v>2477.8250828874543</v>
      </c>
      <c r="L243" s="226">
        <f>HY!L147</f>
        <v>2722.221128350292</v>
      </c>
      <c r="M243" s="226">
        <f>HY!M147</f>
        <v>2288.6631924632607</v>
      </c>
      <c r="N243" s="226">
        <f>HY!N147</f>
        <v>1872.1404152114917</v>
      </c>
      <c r="O243" s="226">
        <f>HY!O147</f>
        <v>2677.1336553945248</v>
      </c>
      <c r="P243" s="226">
        <f>HY!P147</f>
        <v>2066.70759156947</v>
      </c>
      <c r="Q243" s="226">
        <f>HY!Q147</f>
        <v>1952.4959742351048</v>
      </c>
      <c r="R243" s="226">
        <f>HY!R147</f>
        <v>1967.1686338353006</v>
      </c>
      <c r="S243" s="226">
        <f>HY!S147</f>
        <v>2033.011272141707</v>
      </c>
      <c r="T243" s="226">
        <f>HY!T147</f>
        <v>1855.2622604187982</v>
      </c>
      <c r="U243" s="226">
        <f>HY!U147</f>
        <v>2106.8169618894258</v>
      </c>
      <c r="V243" s="226">
        <f>HY!V147</f>
        <v>2053.0659573016846</v>
      </c>
      <c r="W243" s="226">
        <f>HY!W147</f>
        <v>1950</v>
      </c>
      <c r="X243" s="226">
        <f>HY!X147</f>
        <v>2053.0659573016846</v>
      </c>
      <c r="Y243" s="226">
        <f>HY!Y147</f>
        <v>1969.5</v>
      </c>
      <c r="Z243" s="226">
        <f>HY!Z147</f>
        <v>2176.2499147397857</v>
      </c>
      <c r="AA243" s="72"/>
      <c r="AB243" s="76"/>
      <c r="AC243" s="221"/>
      <c r="AD243" s="221"/>
      <c r="AE243" s="221"/>
      <c r="AF243" s="221"/>
      <c r="AG243" s="221"/>
      <c r="AH243" s="221"/>
      <c r="AI243" s="221"/>
      <c r="AJ243" s="221"/>
      <c r="AK243" s="221"/>
      <c r="AL243" s="221"/>
      <c r="AM243" s="221"/>
      <c r="AN243" s="221"/>
      <c r="AO243" s="221"/>
      <c r="AP243" s="221"/>
      <c r="AQ243" s="221"/>
      <c r="AR243" s="221"/>
      <c r="AS243" s="221"/>
      <c r="AT243" s="221"/>
      <c r="AU243" s="221"/>
      <c r="AV243" s="221"/>
      <c r="AW243" s="221"/>
      <c r="AX243" s="221"/>
      <c r="AY243" s="76"/>
      <c r="AZ243" s="77"/>
      <c r="BA243" s="77"/>
      <c r="BB243" s="78"/>
      <c r="BC243" s="76"/>
      <c r="BD243" s="221"/>
      <c r="BE243" s="221"/>
      <c r="BF243" s="221"/>
      <c r="BG243" s="221"/>
      <c r="BH243" s="221"/>
      <c r="BI243" s="221"/>
      <c r="BJ243" s="221"/>
      <c r="BK243" s="221"/>
      <c r="BL243" s="221"/>
      <c r="BM243" s="221"/>
      <c r="BN243" s="221"/>
      <c r="BO243" s="221"/>
      <c r="BP243" s="221"/>
      <c r="BQ243" s="221"/>
      <c r="BR243" s="221"/>
      <c r="BS243" s="221"/>
      <c r="BT243" s="221"/>
      <c r="BU243" s="221"/>
      <c r="BV243" s="221"/>
      <c r="BW243" s="221"/>
      <c r="BX243" s="221"/>
      <c r="BY243" s="221"/>
    </row>
    <row r="244" spans="2:77">
      <c r="B244" s="74"/>
      <c r="C244" s="81" t="s">
        <v>88</v>
      </c>
      <c r="D244" s="72" t="s">
        <v>1344</v>
      </c>
      <c r="E244" s="227">
        <f t="shared" ref="E244:Z244" si="102">IFERROR(ROUND(E242/E243-1,3),"")</f>
        <v>-2.7E-2</v>
      </c>
      <c r="F244" s="227">
        <f t="shared" si="102"/>
        <v>8.2000000000000003E-2</v>
      </c>
      <c r="G244" s="227">
        <f t="shared" si="102"/>
        <v>-7.0000000000000001E-3</v>
      </c>
      <c r="H244" s="227">
        <f t="shared" si="102"/>
        <v>7.3999999999999996E-2</v>
      </c>
      <c r="I244" s="227">
        <f t="shared" si="102"/>
        <v>3.3000000000000002E-2</v>
      </c>
      <c r="J244" s="227">
        <f t="shared" si="102"/>
        <v>0.19900000000000001</v>
      </c>
      <c r="K244" s="227">
        <f t="shared" si="102"/>
        <v>-0.10199999999999999</v>
      </c>
      <c r="L244" s="227">
        <f t="shared" si="102"/>
        <v>-0.16600000000000001</v>
      </c>
      <c r="M244" s="227">
        <f t="shared" si="102"/>
        <v>-1.7000000000000001E-2</v>
      </c>
      <c r="N244" s="227">
        <f t="shared" si="102"/>
        <v>-0.27100000000000002</v>
      </c>
      <c r="O244" s="227">
        <f t="shared" si="102"/>
        <v>-0.26200000000000001</v>
      </c>
      <c r="P244" s="227">
        <f t="shared" si="102"/>
        <v>-0.36699999999999999</v>
      </c>
      <c r="Q244" s="227">
        <f t="shared" si="102"/>
        <v>-0.34499999999999997</v>
      </c>
      <c r="R244" s="227">
        <f t="shared" si="102"/>
        <v>-0.41699999999999998</v>
      </c>
      <c r="S244" s="227">
        <f t="shared" si="102"/>
        <v>-0.34799999999999998</v>
      </c>
      <c r="T244" s="227">
        <f t="shared" si="102"/>
        <v>-0.35599999999999998</v>
      </c>
      <c r="U244" s="227">
        <f t="shared" si="102"/>
        <v>-0.35</v>
      </c>
      <c r="V244" s="227">
        <f t="shared" si="102"/>
        <v>-0.4</v>
      </c>
      <c r="W244" s="227">
        <f t="shared" si="102"/>
        <v>-0.27100000000000002</v>
      </c>
      <c r="X244" s="227">
        <f t="shared" si="102"/>
        <v>-0.377</v>
      </c>
      <c r="Y244" s="227">
        <f t="shared" si="102"/>
        <v>-0.25</v>
      </c>
      <c r="Z244" s="227">
        <f t="shared" si="102"/>
        <v>-0.39</v>
      </c>
      <c r="AA244" s="72"/>
      <c r="AB244" s="76"/>
      <c r="AC244" s="221"/>
      <c r="AD244" s="221"/>
      <c r="AE244" s="221"/>
      <c r="AF244" s="221"/>
      <c r="AG244" s="221"/>
      <c r="AH244" s="221"/>
      <c r="AI244" s="221"/>
      <c r="AJ244" s="221"/>
      <c r="AK244" s="221"/>
      <c r="AL244" s="221"/>
      <c r="AM244" s="221"/>
      <c r="AN244" s="221"/>
      <c r="AO244" s="221"/>
      <c r="AP244" s="221"/>
      <c r="AQ244" s="221"/>
      <c r="AR244" s="221"/>
      <c r="AS244" s="221"/>
      <c r="AT244" s="221"/>
      <c r="AU244" s="221"/>
      <c r="AV244" s="221"/>
      <c r="AW244" s="221"/>
      <c r="AX244" s="221"/>
      <c r="AY244" s="76"/>
      <c r="AZ244" s="77"/>
      <c r="BA244" s="77"/>
      <c r="BB244" s="78"/>
      <c r="BC244" s="76"/>
      <c r="BD244" s="221"/>
      <c r="BE244" s="221"/>
      <c r="BF244" s="221"/>
      <c r="BG244" s="221"/>
      <c r="BH244" s="221"/>
      <c r="BI244" s="221"/>
      <c r="BJ244" s="221"/>
      <c r="BK244" s="221"/>
      <c r="BL244" s="221"/>
      <c r="BM244" s="221"/>
      <c r="BN244" s="221"/>
      <c r="BO244" s="221"/>
      <c r="BP244" s="221"/>
      <c r="BQ244" s="221"/>
      <c r="BR244" s="221"/>
      <c r="BS244" s="221"/>
      <c r="BT244" s="221"/>
      <c r="BU244" s="221"/>
      <c r="BV244" s="221"/>
      <c r="BW244" s="221"/>
      <c r="BX244" s="221"/>
      <c r="BY244" s="221"/>
    </row>
    <row r="246" spans="2:77">
      <c r="B246" s="237" t="s">
        <v>1361</v>
      </c>
    </row>
    <row r="248" spans="2:77">
      <c r="B248" s="74" t="str">
        <f>BA248</f>
        <v>Total revenue - Non-Gaming - Adelaide (A$)</v>
      </c>
      <c r="C248" s="72" t="s">
        <v>90</v>
      </c>
      <c r="D248" s="224" t="s">
        <v>1342</v>
      </c>
      <c r="E248" s="223">
        <f t="shared" ref="E248:Z248" si="103">AC248</f>
        <v>11.3</v>
      </c>
      <c r="F248" s="223">
        <f t="shared" si="103"/>
        <v>10.4</v>
      </c>
      <c r="G248" s="223">
        <f t="shared" si="103"/>
        <v>10.6</v>
      </c>
      <c r="H248" s="223">
        <f t="shared" si="103"/>
        <v>9.1999999999999993</v>
      </c>
      <c r="I248" s="223">
        <f t="shared" si="103"/>
        <v>11.4</v>
      </c>
      <c r="J248" s="223">
        <f t="shared" si="103"/>
        <v>14.4</v>
      </c>
      <c r="K248" s="223">
        <f t="shared" si="103"/>
        <v>25.4</v>
      </c>
      <c r="L248" s="223">
        <f t="shared" si="103"/>
        <v>23.9</v>
      </c>
      <c r="M248" s="223">
        <f t="shared" si="103"/>
        <v>22.3</v>
      </c>
      <c r="N248" s="223">
        <f t="shared" si="103"/>
        <v>22.4</v>
      </c>
      <c r="O248" s="223">
        <f t="shared" si="103"/>
        <v>31.7</v>
      </c>
      <c r="P248" s="223">
        <f t="shared" si="103"/>
        <v>33.700000000000003</v>
      </c>
      <c r="Q248" s="223">
        <f t="shared" si="103"/>
        <v>33.387966718234779</v>
      </c>
      <c r="R248" s="223">
        <f t="shared" si="103"/>
        <v>34.908615201968942</v>
      </c>
      <c r="S248" s="223">
        <f t="shared" si="103"/>
        <v>33.902119202406183</v>
      </c>
      <c r="T248" s="223">
        <f t="shared" si="103"/>
        <v>35.903081217587427</v>
      </c>
      <c r="U248" s="223">
        <f t="shared" si="103"/>
        <v>35.039866410940199</v>
      </c>
      <c r="V248" s="223">
        <f t="shared" si="103"/>
        <v>37.067246071446569</v>
      </c>
      <c r="W248" s="223">
        <f t="shared" si="103"/>
        <v>36.004578252643697</v>
      </c>
      <c r="X248" s="223">
        <f t="shared" si="103"/>
        <v>38.087306962807169</v>
      </c>
      <c r="Y248" s="223">
        <f t="shared" si="103"/>
        <v>36.989970704222372</v>
      </c>
      <c r="Z248" s="223">
        <f t="shared" si="103"/>
        <v>39.171008772666369</v>
      </c>
      <c r="AA248" s="72"/>
      <c r="AB248" s="76"/>
      <c r="AC248" s="222">
        <v>11.3</v>
      </c>
      <c r="AD248" s="222">
        <v>10.4</v>
      </c>
      <c r="AE248" s="222">
        <v>10.6</v>
      </c>
      <c r="AF248" s="222">
        <v>9.1999999999999993</v>
      </c>
      <c r="AG248" s="222">
        <v>11.4</v>
      </c>
      <c r="AH248" s="222">
        <v>14.4</v>
      </c>
      <c r="AI248" s="222">
        <v>25.4</v>
      </c>
      <c r="AJ248" s="222">
        <v>23.9</v>
      </c>
      <c r="AK248" s="222">
        <v>22.3</v>
      </c>
      <c r="AL248" s="222">
        <v>22.4</v>
      </c>
      <c r="AM248" s="222">
        <v>31.7</v>
      </c>
      <c r="AN248" s="222">
        <v>33.700000000000003</v>
      </c>
      <c r="AO248" s="222">
        <v>33.387966718234779</v>
      </c>
      <c r="AP248" s="222">
        <v>34.908615201968942</v>
      </c>
      <c r="AQ248" s="222">
        <v>33.902119202406183</v>
      </c>
      <c r="AR248" s="222">
        <v>35.903081217587427</v>
      </c>
      <c r="AS248" s="222">
        <v>35.039866410940199</v>
      </c>
      <c r="AT248" s="222">
        <v>37.067246071446569</v>
      </c>
      <c r="AU248" s="222">
        <v>36.004578252643697</v>
      </c>
      <c r="AV248" s="222">
        <v>38.087306962807169</v>
      </c>
      <c r="AW248" s="222">
        <v>36.989970704222372</v>
      </c>
      <c r="AX248" s="222">
        <v>39.171008772666369</v>
      </c>
      <c r="AY248" s="76"/>
      <c r="AZ248" s="77" t="s">
        <v>1259</v>
      </c>
      <c r="BA248" s="77" t="s">
        <v>1386</v>
      </c>
      <c r="BB248" s="78" t="s">
        <v>1261</v>
      </c>
      <c r="BC248" s="76"/>
      <c r="BD248" s="79">
        <f>_xll.VAData($AZ248,BD$2,$BA248,$BB248)</f>
        <v>11.283333333333333</v>
      </c>
      <c r="BE248" s="79">
        <f>_xll.VAData($AZ248,BE$2,$BA248,$BB248)</f>
        <v>10.416666666666666</v>
      </c>
      <c r="BF248" s="79">
        <f>_xll.VAData($AZ248,BF$2,$BA248,$BB248)</f>
        <v>10.426842319534652</v>
      </c>
      <c r="BG248" s="79">
        <f>_xll.VAData($AZ248,BG$2,$BA248,$BB248)</f>
        <v>9.0883217307692341</v>
      </c>
      <c r="BH248" s="79">
        <f>_xll.VAData($AZ248,BH$2,$BA248,$BB248)</f>
        <v>11.4</v>
      </c>
      <c r="BI248" s="79">
        <f>_xll.VAData($AZ248,BI$2,$BA248,$BB248)</f>
        <v>14.4</v>
      </c>
      <c r="BJ248" s="79">
        <f>_xll.VAData($AZ248,BJ$2,$BA248,$BB248)</f>
        <v>25.034175622450341</v>
      </c>
      <c r="BK248" s="79">
        <f>_xll.VAData($AZ248,BK$2,$BA248,$BB248)</f>
        <v>25.186530237038269</v>
      </c>
      <c r="BL248" s="79">
        <f>_xll.VAData($AZ248,BL$2,$BA248,$BB248)</f>
        <v>22.3</v>
      </c>
      <c r="BM248" s="79">
        <f>_xll.VAData($AZ248,BM$2,$BA248,$BB248)</f>
        <v>22.41</v>
      </c>
      <c r="BN248" s="79">
        <f>_xll.VAData($AZ248,BN$2,$BA248,$BB248)</f>
        <v>31.6</v>
      </c>
      <c r="BO248" s="79">
        <f>_xll.VAData($AZ248,BO$2,$BA248,$BB248)</f>
        <v>33.6</v>
      </c>
      <c r="BP248" s="79">
        <f>_xll.VAData($AZ248,BP$2,$BA248,$BB248)</f>
        <v>33.1</v>
      </c>
      <c r="BQ248" s="79">
        <f>_xll.VAData($AZ248,BQ$2,$BA248,$BB248)</f>
        <v>30.6</v>
      </c>
      <c r="BR248" s="79">
        <f>_xll.VAData($AZ248,BR$2,$BA248,$BB248)</f>
        <v>35.5</v>
      </c>
      <c r="BS248" s="79">
        <f>_xll.VAData($AZ248,BS$2,$BA248,$BB248)</f>
        <v>30.9</v>
      </c>
      <c r="BT248" s="79">
        <f>_xll.VAData($AZ248,BT$2,$BA248,$BB248)</f>
        <v>36.4</v>
      </c>
      <c r="BU248" s="79">
        <f>_xll.VAData($AZ248,BU$2,$BA248,$BB248)</f>
        <v>32.242778471670263</v>
      </c>
      <c r="BV248" s="79">
        <f>_xll.VAData($AZ248,BV$2,$BA248,$BB248)</f>
        <v>38.964269937896979</v>
      </c>
      <c r="BW248" s="79">
        <f>_xll.VAData($AZ248,BW$2,$BA248,$BB248)</f>
        <v>38.463279771059739</v>
      </c>
      <c r="BX248" s="79">
        <f>_xll.VAData($AZ248,BX$2,$BA248,$BB248)</f>
        <v>37.673657902909412</v>
      </c>
      <c r="BY248" s="79">
        <f>_xll.VAData($AZ248,BY$2,$BA248,$BB248)</f>
        <v>38.895174936281421</v>
      </c>
    </row>
    <row r="249" spans="2:77">
      <c r="B249" s="74"/>
      <c r="C249" s="72" t="s">
        <v>90</v>
      </c>
      <c r="D249" s="225" t="s">
        <v>1343</v>
      </c>
      <c r="E249" s="226">
        <f>HY!E214</f>
        <v>11.3</v>
      </c>
      <c r="F249" s="226">
        <f>HY!F214</f>
        <v>10.399999999999999</v>
      </c>
      <c r="G249" s="226">
        <f>HY!G214</f>
        <v>10.6</v>
      </c>
      <c r="H249" s="226">
        <f>HY!H214</f>
        <v>9.2000000000000011</v>
      </c>
      <c r="I249" s="226">
        <f>HY!I214</f>
        <v>11.4</v>
      </c>
      <c r="J249" s="226">
        <f>HY!J214</f>
        <v>14.4</v>
      </c>
      <c r="K249" s="226">
        <f>HY!K214</f>
        <v>25.4</v>
      </c>
      <c r="L249" s="226">
        <f>HY!L214</f>
        <v>23.9</v>
      </c>
      <c r="M249" s="226">
        <f>HY!M214</f>
        <v>23.412073490813651</v>
      </c>
      <c r="N249" s="226">
        <f>HY!N214</f>
        <v>23.720019060729602</v>
      </c>
      <c r="O249" s="226">
        <f>HY!O214</f>
        <v>34.799999999999997</v>
      </c>
      <c r="P249" s="226">
        <f>HY!P214</f>
        <v>36.5</v>
      </c>
      <c r="Q249" s="226">
        <f>HY!Q214</f>
        <v>35.799264546831068</v>
      </c>
      <c r="R249" s="226">
        <f>HY!R214</f>
        <v>33.200735453168932</v>
      </c>
      <c r="S249" s="226">
        <f>HY!S214</f>
        <v>38.9</v>
      </c>
      <c r="T249" s="226">
        <f>HY!T214</f>
        <v>33.800000000000004</v>
      </c>
      <c r="U249" s="226">
        <f>HY!U214</f>
        <v>41.1</v>
      </c>
      <c r="V249" s="226">
        <f>HY!V214</f>
        <v>39.300000000000004</v>
      </c>
      <c r="W249" s="226">
        <f>HY!W214</f>
        <v>42.3</v>
      </c>
      <c r="X249" s="226">
        <f>HY!X214</f>
        <v>40.299999999999997</v>
      </c>
      <c r="Y249" s="226">
        <f>HY!Y214</f>
        <v>42.3</v>
      </c>
      <c r="Z249" s="226">
        <f>HY!Z214</f>
        <v>40.299999999999997</v>
      </c>
      <c r="AA249" s="72"/>
      <c r="AB249" s="76"/>
      <c r="AC249" s="221"/>
      <c r="AD249" s="221"/>
      <c r="AE249" s="221"/>
      <c r="AF249" s="221"/>
      <c r="AG249" s="221"/>
      <c r="AH249" s="221"/>
      <c r="AI249" s="221"/>
      <c r="AJ249" s="221"/>
      <c r="AK249" s="221"/>
      <c r="AL249" s="221"/>
      <c r="AM249" s="221"/>
      <c r="AN249" s="221"/>
      <c r="AO249" s="221"/>
      <c r="AP249" s="221"/>
      <c r="AQ249" s="221"/>
      <c r="AR249" s="221"/>
      <c r="AS249" s="221"/>
      <c r="AT249" s="221"/>
      <c r="AU249" s="221"/>
      <c r="AV249" s="221"/>
      <c r="AW249" s="221"/>
      <c r="AX249" s="221"/>
      <c r="AY249" s="76"/>
      <c r="AZ249" s="77"/>
      <c r="BA249" s="77"/>
      <c r="BB249" s="78"/>
      <c r="BC249" s="76"/>
      <c r="BD249" s="221"/>
      <c r="BE249" s="221"/>
      <c r="BF249" s="221"/>
      <c r="BG249" s="221"/>
      <c r="BH249" s="221"/>
      <c r="BI249" s="221"/>
      <c r="BJ249" s="221"/>
      <c r="BK249" s="221"/>
      <c r="BL249" s="221"/>
      <c r="BM249" s="221"/>
      <c r="BN249" s="221"/>
      <c r="BO249" s="221"/>
      <c r="BP249" s="221"/>
      <c r="BQ249" s="221"/>
      <c r="BR249" s="221"/>
      <c r="BS249" s="221"/>
      <c r="BT249" s="221"/>
      <c r="BU249" s="221"/>
      <c r="BV249" s="221"/>
      <c r="BW249" s="221"/>
      <c r="BX249" s="221"/>
      <c r="BY249" s="221"/>
    </row>
    <row r="250" spans="2:77">
      <c r="B250" s="74"/>
      <c r="C250" s="81" t="s">
        <v>88</v>
      </c>
      <c r="D250" s="72" t="s">
        <v>1344</v>
      </c>
      <c r="E250" s="227">
        <f t="shared" ref="E250:Z250" si="104">IFERROR(ROUND(E248/E249-1,3),"")</f>
        <v>0</v>
      </c>
      <c r="F250" s="227">
        <f t="shared" si="104"/>
        <v>0</v>
      </c>
      <c r="G250" s="227">
        <f t="shared" si="104"/>
        <v>0</v>
      </c>
      <c r="H250" s="227">
        <f t="shared" si="104"/>
        <v>0</v>
      </c>
      <c r="I250" s="227">
        <f t="shared" si="104"/>
        <v>0</v>
      </c>
      <c r="J250" s="227">
        <f t="shared" si="104"/>
        <v>0</v>
      </c>
      <c r="K250" s="227">
        <f t="shared" si="104"/>
        <v>0</v>
      </c>
      <c r="L250" s="227">
        <f t="shared" si="104"/>
        <v>0</v>
      </c>
      <c r="M250" s="227">
        <f t="shared" si="104"/>
        <v>-4.8000000000000001E-2</v>
      </c>
      <c r="N250" s="227">
        <f t="shared" si="104"/>
        <v>-5.6000000000000001E-2</v>
      </c>
      <c r="O250" s="227">
        <f t="shared" si="104"/>
        <v>-8.8999999999999996E-2</v>
      </c>
      <c r="P250" s="227">
        <f t="shared" si="104"/>
        <v>-7.6999999999999999E-2</v>
      </c>
      <c r="Q250" s="227">
        <f t="shared" si="104"/>
        <v>-6.7000000000000004E-2</v>
      </c>
      <c r="R250" s="227">
        <f t="shared" si="104"/>
        <v>5.0999999999999997E-2</v>
      </c>
      <c r="S250" s="227">
        <f t="shared" si="104"/>
        <v>-0.128</v>
      </c>
      <c r="T250" s="227">
        <f t="shared" si="104"/>
        <v>6.2E-2</v>
      </c>
      <c r="U250" s="227">
        <f t="shared" si="104"/>
        <v>-0.14699999999999999</v>
      </c>
      <c r="V250" s="227">
        <f t="shared" si="104"/>
        <v>-5.7000000000000002E-2</v>
      </c>
      <c r="W250" s="227">
        <f t="shared" si="104"/>
        <v>-0.14899999999999999</v>
      </c>
      <c r="X250" s="227">
        <f t="shared" si="104"/>
        <v>-5.5E-2</v>
      </c>
      <c r="Y250" s="227">
        <f t="shared" si="104"/>
        <v>-0.126</v>
      </c>
      <c r="Z250" s="227">
        <f t="shared" si="104"/>
        <v>-2.8000000000000001E-2</v>
      </c>
      <c r="AA250" s="72"/>
      <c r="AB250" s="76"/>
      <c r="AC250" s="221"/>
      <c r="AD250" s="221"/>
      <c r="AE250" s="221"/>
      <c r="AF250" s="221"/>
      <c r="AG250" s="221"/>
      <c r="AH250" s="221"/>
      <c r="AI250" s="221"/>
      <c r="AJ250" s="221"/>
      <c r="AK250" s="221"/>
      <c r="AL250" s="221"/>
      <c r="AM250" s="221"/>
      <c r="AN250" s="221"/>
      <c r="AO250" s="221"/>
      <c r="AP250" s="221"/>
      <c r="AQ250" s="221"/>
      <c r="AR250" s="221"/>
      <c r="AS250" s="221"/>
      <c r="AT250" s="221"/>
      <c r="AU250" s="221"/>
      <c r="AV250" s="221"/>
      <c r="AW250" s="221"/>
      <c r="AX250" s="221"/>
      <c r="AY250" s="76"/>
      <c r="AZ250" s="77"/>
      <c r="BA250" s="77"/>
      <c r="BB250" s="78"/>
      <c r="BC250" s="76"/>
      <c r="BD250" s="221"/>
      <c r="BE250" s="221"/>
      <c r="BF250" s="221"/>
      <c r="BG250" s="221"/>
      <c r="BH250" s="221"/>
      <c r="BI250" s="221"/>
      <c r="BJ250" s="221"/>
      <c r="BK250" s="221"/>
      <c r="BL250" s="221"/>
      <c r="BM250" s="221"/>
      <c r="BN250" s="221"/>
      <c r="BO250" s="221"/>
      <c r="BP250" s="221"/>
      <c r="BQ250" s="221"/>
      <c r="BR250" s="221"/>
      <c r="BS250" s="221"/>
      <c r="BT250" s="221"/>
      <c r="BU250" s="221"/>
      <c r="BV250" s="221"/>
      <c r="BW250" s="221"/>
      <c r="BX250" s="221"/>
      <c r="BY250" s="221"/>
    </row>
    <row r="251" spans="2:77">
      <c r="B251" s="74"/>
      <c r="C251" s="72"/>
      <c r="D251" s="72"/>
      <c r="E251" s="75"/>
      <c r="F251" s="75"/>
      <c r="G251" s="75"/>
      <c r="H251" s="75"/>
      <c r="I251" s="75"/>
      <c r="J251" s="75"/>
      <c r="K251" s="75"/>
      <c r="L251" s="75"/>
      <c r="M251" s="75"/>
      <c r="N251" s="75"/>
      <c r="O251" s="75"/>
      <c r="P251" s="75"/>
      <c r="Q251" s="75"/>
      <c r="R251" s="75"/>
      <c r="S251" s="75"/>
      <c r="T251" s="75"/>
      <c r="U251" s="75"/>
      <c r="V251" s="75"/>
      <c r="W251" s="75"/>
      <c r="X251" s="75"/>
      <c r="Y251" s="75"/>
      <c r="Z251" s="75"/>
      <c r="AA251" s="72"/>
      <c r="AB251" s="76"/>
      <c r="AC251" s="221"/>
      <c r="AD251" s="221"/>
      <c r="AE251" s="221"/>
      <c r="AF251" s="221"/>
      <c r="AG251" s="221"/>
      <c r="AH251" s="221"/>
      <c r="AI251" s="221"/>
      <c r="AJ251" s="221"/>
      <c r="AK251" s="221"/>
      <c r="AL251" s="221"/>
      <c r="AM251" s="221"/>
      <c r="AN251" s="221"/>
      <c r="AO251" s="221"/>
      <c r="AP251" s="221"/>
      <c r="AQ251" s="221"/>
      <c r="AR251" s="221"/>
      <c r="AS251" s="221"/>
      <c r="AT251" s="221"/>
      <c r="AU251" s="221"/>
      <c r="AV251" s="221"/>
      <c r="AW251" s="221"/>
      <c r="AX251" s="221"/>
      <c r="AY251" s="76"/>
      <c r="AZ251" s="77"/>
      <c r="BA251" s="77"/>
      <c r="BB251" s="78"/>
      <c r="BC251" s="76"/>
      <c r="BD251" s="221"/>
      <c r="BE251" s="221"/>
      <c r="BF251" s="221"/>
      <c r="BG251" s="221"/>
      <c r="BH251" s="221"/>
      <c r="BI251" s="221"/>
      <c r="BJ251" s="221"/>
      <c r="BK251" s="221"/>
      <c r="BL251" s="221"/>
      <c r="BM251" s="221"/>
      <c r="BN251" s="221"/>
      <c r="BO251" s="221"/>
      <c r="BP251" s="221"/>
      <c r="BQ251" s="221"/>
      <c r="BR251" s="221"/>
      <c r="BS251" s="221"/>
      <c r="BT251" s="221"/>
      <c r="BU251" s="221"/>
      <c r="BV251" s="221"/>
      <c r="BW251" s="221"/>
      <c r="BX251" s="221"/>
      <c r="BY251" s="221"/>
    </row>
    <row r="252" spans="2:77">
      <c r="B252" s="237" t="s">
        <v>1362</v>
      </c>
      <c r="C252" s="72"/>
      <c r="D252" s="72"/>
      <c r="E252" s="75"/>
      <c r="F252" s="75"/>
      <c r="G252" s="75"/>
      <c r="H252" s="75"/>
      <c r="I252" s="75"/>
      <c r="J252" s="75"/>
      <c r="K252" s="75"/>
      <c r="L252" s="75"/>
      <c r="M252" s="75"/>
      <c r="N252" s="75"/>
      <c r="O252" s="75"/>
      <c r="P252" s="75"/>
      <c r="Q252" s="75"/>
      <c r="R252" s="75"/>
      <c r="S252" s="75"/>
      <c r="T252" s="75"/>
      <c r="U252" s="75"/>
      <c r="V252" s="75"/>
      <c r="W252" s="75"/>
      <c r="X252" s="75"/>
      <c r="Y252" s="75"/>
      <c r="Z252" s="75"/>
      <c r="AA252" s="72"/>
      <c r="AB252" s="76"/>
      <c r="AC252" s="221"/>
      <c r="AD252" s="221"/>
      <c r="AE252" s="221"/>
      <c r="AF252" s="221"/>
      <c r="AG252" s="221"/>
      <c r="AH252" s="221"/>
      <c r="AI252" s="221"/>
      <c r="AJ252" s="221"/>
      <c r="AK252" s="221"/>
      <c r="AL252" s="221"/>
      <c r="AM252" s="221"/>
      <c r="AN252" s="221"/>
      <c r="AO252" s="221"/>
      <c r="AP252" s="221"/>
      <c r="AQ252" s="221"/>
      <c r="AR252" s="221"/>
      <c r="AS252" s="221"/>
      <c r="AT252" s="221"/>
      <c r="AU252" s="221"/>
      <c r="AV252" s="221"/>
      <c r="AW252" s="221"/>
      <c r="AX252" s="221"/>
      <c r="AY252" s="76"/>
      <c r="AZ252" s="77"/>
      <c r="BA252" s="77"/>
      <c r="BB252" s="78"/>
      <c r="BC252" s="76"/>
      <c r="BD252" s="221"/>
      <c r="BE252" s="221"/>
      <c r="BF252" s="221"/>
      <c r="BG252" s="221"/>
      <c r="BH252" s="221"/>
      <c r="BI252" s="221"/>
      <c r="BJ252" s="221"/>
      <c r="BK252" s="221"/>
      <c r="BL252" s="221"/>
      <c r="BM252" s="221"/>
      <c r="BN252" s="221"/>
      <c r="BO252" s="221"/>
      <c r="BP252" s="221"/>
      <c r="BQ252" s="221"/>
      <c r="BR252" s="221"/>
      <c r="BS252" s="221"/>
      <c r="BT252" s="221"/>
      <c r="BU252" s="221"/>
      <c r="BV252" s="221"/>
      <c r="BW252" s="221"/>
      <c r="BX252" s="221"/>
      <c r="BY252" s="221"/>
    </row>
    <row r="253" spans="2:77">
      <c r="B253" s="74"/>
      <c r="C253" s="72"/>
      <c r="D253" s="72"/>
      <c r="E253" s="75"/>
      <c r="F253" s="75"/>
      <c r="G253" s="75"/>
      <c r="H253" s="75"/>
      <c r="I253" s="75"/>
      <c r="J253" s="75"/>
      <c r="K253" s="75"/>
      <c r="L253" s="75"/>
      <c r="M253" s="75"/>
      <c r="N253" s="75"/>
      <c r="O253" s="75"/>
      <c r="P253" s="75"/>
      <c r="Q253" s="75"/>
      <c r="R253" s="75"/>
      <c r="S253" s="75"/>
      <c r="T253" s="75"/>
      <c r="U253" s="75"/>
      <c r="V253" s="75"/>
      <c r="W253" s="75"/>
      <c r="X253" s="75"/>
      <c r="Y253" s="75"/>
      <c r="Z253" s="75"/>
      <c r="AA253" s="72"/>
      <c r="AB253" s="76"/>
      <c r="AC253" s="221"/>
      <c r="AD253" s="221"/>
      <c r="AE253" s="221"/>
      <c r="AF253" s="221"/>
      <c r="AG253" s="221"/>
      <c r="AH253" s="221"/>
      <c r="AI253" s="221"/>
      <c r="AJ253" s="221"/>
      <c r="AK253" s="221"/>
      <c r="AL253" s="221"/>
      <c r="AM253" s="221"/>
      <c r="AN253" s="221"/>
      <c r="AO253" s="221"/>
      <c r="AP253" s="221"/>
      <c r="AQ253" s="221"/>
      <c r="AR253" s="221"/>
      <c r="AS253" s="221"/>
      <c r="AT253" s="221"/>
      <c r="AU253" s="221"/>
      <c r="AV253" s="221"/>
      <c r="AW253" s="221"/>
      <c r="AX253" s="221"/>
      <c r="AY253" s="76"/>
      <c r="AZ253" s="77"/>
      <c r="BA253" s="77"/>
      <c r="BB253" s="78"/>
      <c r="BC253" s="76"/>
      <c r="BD253" s="221"/>
      <c r="BE253" s="221"/>
      <c r="BF253" s="221"/>
      <c r="BG253" s="221"/>
      <c r="BH253" s="221"/>
      <c r="BI253" s="221"/>
      <c r="BJ253" s="221"/>
      <c r="BK253" s="221"/>
      <c r="BL253" s="221"/>
      <c r="BM253" s="221"/>
      <c r="BN253" s="221"/>
      <c r="BO253" s="221"/>
      <c r="BP253" s="221"/>
      <c r="BQ253" s="221"/>
      <c r="BR253" s="221"/>
      <c r="BS253" s="221"/>
      <c r="BT253" s="221"/>
      <c r="BU253" s="221"/>
      <c r="BV253" s="221"/>
      <c r="BW253" s="221"/>
      <c r="BX253" s="221"/>
      <c r="BY253" s="221"/>
    </row>
    <row r="254" spans="2:77">
      <c r="B254" s="74" t="str">
        <f>BA254</f>
        <v>Total revenue - Domestic - Adelaide</v>
      </c>
      <c r="C254" s="72" t="s">
        <v>90</v>
      </c>
      <c r="D254" s="224" t="s">
        <v>1342</v>
      </c>
      <c r="E254" s="223">
        <f t="shared" ref="E254:Z254" si="105">AC254</f>
        <v>84.932001239601519</v>
      </c>
      <c r="F254" s="223">
        <f t="shared" si="105"/>
        <v>76.203619613635013</v>
      </c>
      <c r="G254" s="223">
        <f t="shared" si="105"/>
        <v>83.844580777095757</v>
      </c>
      <c r="H254" s="223">
        <f t="shared" si="105"/>
        <v>89.415799695429939</v>
      </c>
      <c r="I254" s="223">
        <f t="shared" si="105"/>
        <v>81.913429992591489</v>
      </c>
      <c r="J254" s="223">
        <f t="shared" si="105"/>
        <v>46.405899830904609</v>
      </c>
      <c r="K254" s="223">
        <f t="shared" si="105"/>
        <v>96.492942037542207</v>
      </c>
      <c r="L254" s="223">
        <f t="shared" si="105"/>
        <v>115.195938566862</v>
      </c>
      <c r="M254" s="223">
        <f t="shared" si="105"/>
        <v>98.571501131783805</v>
      </c>
      <c r="N254" s="223">
        <f t="shared" si="105"/>
        <v>101.2773754942676</v>
      </c>
      <c r="O254" s="223">
        <f t="shared" si="105"/>
        <v>135.7466063348416</v>
      </c>
      <c r="P254" s="223">
        <f t="shared" si="105"/>
        <v>122.879454175967</v>
      </c>
      <c r="Q254" s="223">
        <f t="shared" si="105"/>
        <v>125.4863883052921</v>
      </c>
      <c r="R254" s="223">
        <f t="shared" si="105"/>
        <v>126.0074318801236</v>
      </c>
      <c r="S254" s="223">
        <f t="shared" si="105"/>
        <v>131.4722520928897</v>
      </c>
      <c r="T254" s="223">
        <f t="shared" si="105"/>
        <v>130.8094708539148</v>
      </c>
      <c r="U254" s="223">
        <f t="shared" si="105"/>
        <v>133.93481570548749</v>
      </c>
      <c r="V254" s="223">
        <f t="shared" si="105"/>
        <v>133.5909774680768</v>
      </c>
      <c r="W254" s="223">
        <f t="shared" si="105"/>
        <v>137.6889842624237</v>
      </c>
      <c r="X254" s="223">
        <f t="shared" si="105"/>
        <v>137.14503461342869</v>
      </c>
      <c r="Y254" s="223">
        <f t="shared" si="105"/>
        <v>141.4362315810186</v>
      </c>
      <c r="Z254" s="223">
        <f t="shared" si="105"/>
        <v>140.99934150440379</v>
      </c>
      <c r="AA254" s="72"/>
      <c r="AB254" s="76"/>
      <c r="AC254" s="222">
        <v>84.932001239601519</v>
      </c>
      <c r="AD254" s="222">
        <v>76.203619613635013</v>
      </c>
      <c r="AE254" s="222">
        <v>83.844580777095757</v>
      </c>
      <c r="AF254" s="222">
        <v>89.415799695429939</v>
      </c>
      <c r="AG254" s="222">
        <v>81.913429992591489</v>
      </c>
      <c r="AH254" s="222">
        <v>46.405899830904609</v>
      </c>
      <c r="AI254" s="222">
        <v>96.492942037542207</v>
      </c>
      <c r="AJ254" s="222">
        <v>115.195938566862</v>
      </c>
      <c r="AK254" s="222">
        <v>98.571501131783805</v>
      </c>
      <c r="AL254" s="222">
        <v>101.2773754942676</v>
      </c>
      <c r="AM254" s="222">
        <v>135.7466063348416</v>
      </c>
      <c r="AN254" s="222">
        <v>122.879454175967</v>
      </c>
      <c r="AO254" s="222">
        <v>125.4863883052921</v>
      </c>
      <c r="AP254" s="222">
        <v>126.0074318801236</v>
      </c>
      <c r="AQ254" s="222">
        <v>131.4722520928897</v>
      </c>
      <c r="AR254" s="222">
        <v>130.8094708539148</v>
      </c>
      <c r="AS254" s="222">
        <v>133.93481570548749</v>
      </c>
      <c r="AT254" s="222">
        <v>133.5909774680768</v>
      </c>
      <c r="AU254" s="222">
        <v>137.6889842624237</v>
      </c>
      <c r="AV254" s="222">
        <v>137.14503461342869</v>
      </c>
      <c r="AW254" s="222">
        <v>141.4362315810186</v>
      </c>
      <c r="AX254" s="222">
        <v>140.99934150440379</v>
      </c>
      <c r="AY254" s="76"/>
      <c r="AZ254" s="77" t="s">
        <v>1259</v>
      </c>
      <c r="BA254" s="77" t="s">
        <v>1278</v>
      </c>
      <c r="BB254" s="78" t="s">
        <v>1261</v>
      </c>
      <c r="BC254" s="76"/>
      <c r="BD254" s="79">
        <f>_xll.VAData($AZ254,BD$2,$BA254,$BB254)</f>
        <v>83.039730334870242</v>
      </c>
      <c r="BE254" s="79">
        <f>_xll.VAData($AZ254,BE$2,$BA254,$BB254)</f>
        <v>74.433762308041807</v>
      </c>
      <c r="BF254" s="79">
        <f>_xll.VAData($AZ254,BF$2,$BA254,$BB254)</f>
        <v>83.844580777095757</v>
      </c>
      <c r="BG254" s="79">
        <f>_xll.VAData($AZ254,BG$2,$BA254,$BB254)</f>
        <v>71.057281227782838</v>
      </c>
      <c r="BH254" s="79">
        <f>_xll.VAData($AZ254,BH$2,$BA254,$BB254)</f>
        <v>81.913429992591489</v>
      </c>
      <c r="BI254" s="79">
        <f>_xll.VAData($AZ254,BI$2,$BA254,$BB254)</f>
        <v>43.836086390225823</v>
      </c>
      <c r="BJ254" s="79">
        <f>_xll.VAData($AZ254,BJ$2,$BA254,$BB254)</f>
        <v>93.20175361769968</v>
      </c>
      <c r="BK254" s="79">
        <f>_xll.VAData($AZ254,BK$2,$BA254,$BB254)</f>
        <v>110.72789705879627</v>
      </c>
      <c r="BL254" s="79">
        <f>_xll.VAData($AZ254,BL$2,$BA254,$BB254)</f>
        <v>98.571501131783805</v>
      </c>
      <c r="BM254" s="79">
        <f>_xll.VAData($AZ254,BM$2,$BA254,$BB254)</f>
        <v>101.2773754942676</v>
      </c>
      <c r="BN254" s="79">
        <f>_xll.VAData($AZ254,BN$2,$BA254,$BB254)</f>
        <v>129.9</v>
      </c>
      <c r="BO254" s="79">
        <f>_xll.VAData($AZ254,BO$2,$BA254,$BB254)</f>
        <v>122.87945417596696</v>
      </c>
      <c r="BP254" s="79">
        <f>_xll.VAData($AZ254,BP$2,$BA254,$BB254)</f>
        <v>116.8</v>
      </c>
      <c r="BQ254" s="79">
        <f>_xll.VAData($AZ254,BQ$2,$BA254,$BB254)</f>
        <v>120.1</v>
      </c>
      <c r="BR254" s="79">
        <f>_xll.VAData($AZ254,BR$2,$BA254,$BB254)</f>
        <v>123.2</v>
      </c>
      <c r="BS254" s="79">
        <f>_xll.VAData($AZ254,BS$2,$BA254,$BB254)</f>
        <v>108.8</v>
      </c>
      <c r="BT254" s="79">
        <f>_xll.VAData($AZ254,BT$2,$BA254,$BB254)</f>
        <v>124.5</v>
      </c>
      <c r="BU254" s="79">
        <f>_xll.VAData($AZ254,BU$2,$BA254,$BB254)</f>
        <v>122.1</v>
      </c>
      <c r="BV254" s="79">
        <f>_xll.VAData($AZ254,BV$2,$BA254,$BB254)</f>
        <v>128.55414132675119</v>
      </c>
      <c r="BW254" s="79">
        <f>_xll.VAData($AZ254,BW$2,$BA254,$BB254)</f>
        <v>124.50122611846808</v>
      </c>
      <c r="BX254" s="79">
        <f>_xll.VAData($AZ254,BX$2,$BA254,$BB254)</f>
        <v>117.93096876266979</v>
      </c>
      <c r="BY254" s="79">
        <f>_xll.VAData($AZ254,BY$2,$BA254,$BB254)</f>
        <v>123.38564700455971</v>
      </c>
    </row>
    <row r="255" spans="2:77">
      <c r="B255" s="74"/>
      <c r="C255" s="72" t="s">
        <v>90</v>
      </c>
      <c r="D255" s="225" t="s">
        <v>1343</v>
      </c>
      <c r="E255" s="226" t="e">
        <f>HY!#REF!</f>
        <v>#REF!</v>
      </c>
      <c r="F255" s="226" t="e">
        <f>HY!#REF!</f>
        <v>#REF!</v>
      </c>
      <c r="G255" s="226" t="e">
        <f>HY!#REF!</f>
        <v>#REF!</v>
      </c>
      <c r="H255" s="226" t="e">
        <f>HY!#REF!</f>
        <v>#REF!</v>
      </c>
      <c r="I255" s="226" t="e">
        <f>HY!#REF!</f>
        <v>#REF!</v>
      </c>
      <c r="J255" s="226" t="e">
        <f>HY!#REF!</f>
        <v>#REF!</v>
      </c>
      <c r="K255" s="226" t="e">
        <f>HY!#REF!</f>
        <v>#REF!</v>
      </c>
      <c r="L255" s="226" t="e">
        <f>HY!#REF!</f>
        <v>#REF!</v>
      </c>
      <c r="M255" s="226" t="e">
        <f>HY!#REF!</f>
        <v>#REF!</v>
      </c>
      <c r="N255" s="226" t="e">
        <f>HY!#REF!</f>
        <v>#REF!</v>
      </c>
      <c r="O255" s="226" t="e">
        <f>HY!#REF!</f>
        <v>#REF!</v>
      </c>
      <c r="P255" s="226" t="e">
        <f>HY!#REF!</f>
        <v>#REF!</v>
      </c>
      <c r="Q255" s="226" t="e">
        <f>HY!#REF!</f>
        <v>#REF!</v>
      </c>
      <c r="R255" s="226" t="e">
        <f>HY!#REF!</f>
        <v>#REF!</v>
      </c>
      <c r="S255" s="226" t="e">
        <f>HY!#REF!</f>
        <v>#REF!</v>
      </c>
      <c r="T255" s="226" t="e">
        <f>HY!#REF!</f>
        <v>#REF!</v>
      </c>
      <c r="U255" s="226" t="e">
        <f>HY!#REF!</f>
        <v>#REF!</v>
      </c>
      <c r="V255" s="226" t="e">
        <f>HY!#REF!</f>
        <v>#REF!</v>
      </c>
      <c r="W255" s="226" t="e">
        <f>HY!#REF!</f>
        <v>#REF!</v>
      </c>
      <c r="X255" s="226" t="e">
        <f>HY!#REF!</f>
        <v>#REF!</v>
      </c>
      <c r="Y255" s="226" t="e">
        <f>HY!#REF!</f>
        <v>#REF!</v>
      </c>
      <c r="Z255" s="226" t="e">
        <f>HY!#REF!</f>
        <v>#REF!</v>
      </c>
      <c r="AA255" s="72"/>
      <c r="AB255" s="76"/>
      <c r="AC255" s="221"/>
      <c r="AD255" s="221"/>
      <c r="AE255" s="221"/>
      <c r="AF255" s="221"/>
      <c r="AG255" s="221"/>
      <c r="AH255" s="221"/>
      <c r="AI255" s="221"/>
      <c r="AJ255" s="221"/>
      <c r="AK255" s="221"/>
      <c r="AL255" s="221"/>
      <c r="AM255" s="221"/>
      <c r="AN255" s="221"/>
      <c r="AO255" s="221"/>
      <c r="AP255" s="221"/>
      <c r="AQ255" s="221"/>
      <c r="AR255" s="221"/>
      <c r="AS255" s="221"/>
      <c r="AT255" s="221"/>
      <c r="AU255" s="221"/>
      <c r="AV255" s="221"/>
      <c r="AW255" s="221"/>
      <c r="AX255" s="221"/>
      <c r="AY255" s="76"/>
      <c r="AZ255" s="77"/>
      <c r="BA255" s="77"/>
      <c r="BB255" s="78"/>
      <c r="BC255" s="76"/>
      <c r="BD255" s="221"/>
      <c r="BE255" s="221"/>
      <c r="BF255" s="221"/>
      <c r="BG255" s="221"/>
      <c r="BH255" s="221"/>
      <c r="BI255" s="221"/>
      <c r="BJ255" s="221"/>
      <c r="BK255" s="221"/>
      <c r="BL255" s="221"/>
      <c r="BM255" s="221"/>
      <c r="BN255" s="221"/>
      <c r="BO255" s="221"/>
      <c r="BP255" s="221"/>
      <c r="BQ255" s="221"/>
      <c r="BR255" s="221"/>
      <c r="BS255" s="221"/>
      <c r="BT255" s="221"/>
      <c r="BU255" s="221"/>
      <c r="BV255" s="221"/>
      <c r="BW255" s="221"/>
      <c r="BX255" s="221"/>
      <c r="BY255" s="221"/>
    </row>
    <row r="256" spans="2:77">
      <c r="B256" s="74"/>
      <c r="C256" s="81" t="s">
        <v>88</v>
      </c>
      <c r="D256" s="72" t="s">
        <v>1344</v>
      </c>
      <c r="E256" s="227" t="str">
        <f t="shared" ref="E256:Z256" si="106">IFERROR(ROUND(E254/E255-1,3),"")</f>
        <v/>
      </c>
      <c r="F256" s="227" t="str">
        <f t="shared" si="106"/>
        <v/>
      </c>
      <c r="G256" s="227" t="str">
        <f t="shared" si="106"/>
        <v/>
      </c>
      <c r="H256" s="227" t="str">
        <f t="shared" si="106"/>
        <v/>
      </c>
      <c r="I256" s="227" t="str">
        <f t="shared" si="106"/>
        <v/>
      </c>
      <c r="J256" s="227" t="str">
        <f t="shared" si="106"/>
        <v/>
      </c>
      <c r="K256" s="227" t="str">
        <f t="shared" si="106"/>
        <v/>
      </c>
      <c r="L256" s="227" t="str">
        <f t="shared" si="106"/>
        <v/>
      </c>
      <c r="M256" s="227" t="str">
        <f t="shared" si="106"/>
        <v/>
      </c>
      <c r="N256" s="227" t="str">
        <f t="shared" si="106"/>
        <v/>
      </c>
      <c r="O256" s="227" t="str">
        <f t="shared" si="106"/>
        <v/>
      </c>
      <c r="P256" s="227" t="str">
        <f t="shared" si="106"/>
        <v/>
      </c>
      <c r="Q256" s="227" t="str">
        <f t="shared" si="106"/>
        <v/>
      </c>
      <c r="R256" s="227" t="str">
        <f t="shared" si="106"/>
        <v/>
      </c>
      <c r="S256" s="227" t="str">
        <f t="shared" si="106"/>
        <v/>
      </c>
      <c r="T256" s="227" t="str">
        <f t="shared" si="106"/>
        <v/>
      </c>
      <c r="U256" s="227" t="str">
        <f t="shared" si="106"/>
        <v/>
      </c>
      <c r="V256" s="227" t="str">
        <f t="shared" si="106"/>
        <v/>
      </c>
      <c r="W256" s="227" t="str">
        <f t="shared" si="106"/>
        <v/>
      </c>
      <c r="X256" s="227" t="str">
        <f t="shared" si="106"/>
        <v/>
      </c>
      <c r="Y256" s="227" t="str">
        <f t="shared" si="106"/>
        <v/>
      </c>
      <c r="Z256" s="227" t="str">
        <f t="shared" si="106"/>
        <v/>
      </c>
      <c r="AA256" s="72"/>
      <c r="AB256" s="76"/>
      <c r="AC256" s="221"/>
      <c r="AD256" s="221"/>
      <c r="AE256" s="221"/>
      <c r="AF256" s="221"/>
      <c r="AG256" s="221"/>
      <c r="AH256" s="221"/>
      <c r="AI256" s="221"/>
      <c r="AJ256" s="221"/>
      <c r="AK256" s="221"/>
      <c r="AL256" s="221"/>
      <c r="AM256" s="221"/>
      <c r="AN256" s="221"/>
      <c r="AO256" s="221"/>
      <c r="AP256" s="221"/>
      <c r="AQ256" s="221"/>
      <c r="AR256" s="221"/>
      <c r="AS256" s="221"/>
      <c r="AT256" s="221"/>
      <c r="AU256" s="221"/>
      <c r="AV256" s="221"/>
      <c r="AW256" s="221"/>
      <c r="AX256" s="221"/>
      <c r="AY256" s="76"/>
      <c r="AZ256" s="77"/>
      <c r="BA256" s="77"/>
      <c r="BB256" s="78"/>
      <c r="BC256" s="76"/>
      <c r="BD256" s="221"/>
      <c r="BE256" s="221"/>
      <c r="BF256" s="221"/>
      <c r="BG256" s="221"/>
      <c r="BH256" s="221"/>
      <c r="BI256" s="221"/>
      <c r="BJ256" s="221"/>
      <c r="BK256" s="221"/>
      <c r="BL256" s="221"/>
      <c r="BM256" s="221"/>
      <c r="BN256" s="221"/>
      <c r="BO256" s="221"/>
      <c r="BP256" s="221"/>
      <c r="BQ256" s="221"/>
      <c r="BR256" s="221"/>
      <c r="BS256" s="221"/>
      <c r="BT256" s="221"/>
      <c r="BU256" s="221"/>
      <c r="BV256" s="221"/>
      <c r="BW256" s="221"/>
      <c r="BX256" s="221"/>
      <c r="BY256" s="221"/>
    </row>
    <row r="257" spans="1:77">
      <c r="B257" s="74"/>
      <c r="C257" s="72"/>
      <c r="D257" s="72"/>
      <c r="E257" s="75"/>
      <c r="F257" s="75"/>
      <c r="G257" s="75"/>
      <c r="H257" s="75"/>
      <c r="I257" s="75"/>
      <c r="J257" s="75"/>
      <c r="K257" s="75"/>
      <c r="L257" s="75"/>
      <c r="M257" s="75"/>
      <c r="N257" s="75"/>
      <c r="O257" s="75"/>
      <c r="P257" s="75"/>
      <c r="Q257" s="75"/>
      <c r="R257" s="75"/>
      <c r="S257" s="75"/>
      <c r="T257" s="75"/>
      <c r="U257" s="75"/>
      <c r="V257" s="75"/>
      <c r="W257" s="75"/>
      <c r="X257" s="75"/>
      <c r="Y257" s="75"/>
      <c r="Z257" s="75"/>
      <c r="AA257" s="72"/>
      <c r="AB257" s="76"/>
      <c r="AC257" s="221"/>
      <c r="AD257" s="221"/>
      <c r="AE257" s="221"/>
      <c r="AF257" s="221"/>
      <c r="AG257" s="221"/>
      <c r="AH257" s="221"/>
      <c r="AI257" s="221"/>
      <c r="AJ257" s="221"/>
      <c r="AK257" s="221"/>
      <c r="AL257" s="221"/>
      <c r="AM257" s="221"/>
      <c r="AN257" s="221"/>
      <c r="AO257" s="221"/>
      <c r="AP257" s="221"/>
      <c r="AQ257" s="221"/>
      <c r="AR257" s="221"/>
      <c r="AS257" s="221"/>
      <c r="AT257" s="221"/>
      <c r="AU257" s="221"/>
      <c r="AV257" s="221"/>
      <c r="AW257" s="221"/>
      <c r="AX257" s="221"/>
      <c r="AY257" s="76"/>
      <c r="AZ257" s="77"/>
      <c r="BA257" s="77"/>
      <c r="BB257" s="78"/>
      <c r="BC257" s="76"/>
      <c r="BD257" s="221"/>
      <c r="BE257" s="221"/>
      <c r="BF257" s="221"/>
      <c r="BG257" s="221"/>
      <c r="BH257" s="221"/>
      <c r="BI257" s="221"/>
      <c r="BJ257" s="221"/>
      <c r="BK257" s="221"/>
      <c r="BL257" s="221"/>
      <c r="BM257" s="221"/>
      <c r="BN257" s="221"/>
      <c r="BO257" s="221"/>
      <c r="BP257" s="221"/>
      <c r="BQ257" s="221"/>
      <c r="BR257" s="221"/>
      <c r="BS257" s="221"/>
      <c r="BT257" s="221"/>
      <c r="BU257" s="221"/>
      <c r="BV257" s="221"/>
      <c r="BW257" s="221"/>
      <c r="BX257" s="221"/>
      <c r="BY257" s="221"/>
    </row>
    <row r="258" spans="1:77">
      <c r="B258" s="74" t="str">
        <f>BA258</f>
        <v>EBITDA - Domestic - Adelaide</v>
      </c>
      <c r="C258" s="72" t="s">
        <v>90</v>
      </c>
      <c r="D258" s="224" t="s">
        <v>1342</v>
      </c>
      <c r="E258" s="223">
        <f t="shared" ref="E258:Z258" si="107">AC258</f>
        <v>14.22163877037527</v>
      </c>
      <c r="F258" s="223">
        <f t="shared" si="107"/>
        <v>10.21110561010884</v>
      </c>
      <c r="G258" s="223">
        <f t="shared" si="107"/>
        <v>13.0054742634906</v>
      </c>
      <c r="H258" s="223">
        <f t="shared" si="107"/>
        <v>8.9654293524762458</v>
      </c>
      <c r="I258" s="223">
        <f t="shared" si="107"/>
        <v>13.52168132511399</v>
      </c>
      <c r="J258" s="223">
        <f t="shared" si="107"/>
        <v>-1.7723441324312661</v>
      </c>
      <c r="K258" s="223">
        <f t="shared" si="107"/>
        <v>26.390187004024689</v>
      </c>
      <c r="L258" s="223">
        <f t="shared" si="107"/>
        <v>19.33863554837296</v>
      </c>
      <c r="M258" s="223">
        <f t="shared" si="107"/>
        <v>11.47168332137139</v>
      </c>
      <c r="N258" s="223">
        <f t="shared" si="107"/>
        <v>11.191630701469849</v>
      </c>
      <c r="O258" s="223">
        <f t="shared" si="107"/>
        <v>22.079667369853691</v>
      </c>
      <c r="P258" s="223">
        <f t="shared" si="107"/>
        <v>15.41420714928207</v>
      </c>
      <c r="Q258" s="223">
        <f t="shared" si="107"/>
        <v>16.683529742515201</v>
      </c>
      <c r="R258" s="223">
        <f t="shared" si="107"/>
        <v>16.272017259433269</v>
      </c>
      <c r="S258" s="223">
        <f t="shared" si="107"/>
        <v>18.201852119729729</v>
      </c>
      <c r="T258" s="223">
        <f t="shared" si="107"/>
        <v>18.04362031650043</v>
      </c>
      <c r="U258" s="223">
        <f t="shared" si="107"/>
        <v>18.440718962769989</v>
      </c>
      <c r="V258" s="223">
        <f t="shared" si="107"/>
        <v>19.17358706567618</v>
      </c>
      <c r="W258" s="223">
        <f t="shared" si="107"/>
        <v>19.548947594605501</v>
      </c>
      <c r="X258" s="223">
        <f t="shared" si="107"/>
        <v>20.197188837288142</v>
      </c>
      <c r="Y258" s="223">
        <f t="shared" si="107"/>
        <v>20.303779122922968</v>
      </c>
      <c r="Z258" s="223">
        <f t="shared" si="107"/>
        <v>21.371387351118312</v>
      </c>
      <c r="AA258" s="72"/>
      <c r="AB258" s="76"/>
      <c r="AC258" s="222">
        <v>14.22163877037527</v>
      </c>
      <c r="AD258" s="222">
        <v>10.21110561010884</v>
      </c>
      <c r="AE258" s="222">
        <v>13.0054742634906</v>
      </c>
      <c r="AF258" s="222">
        <v>8.9654293524762458</v>
      </c>
      <c r="AG258" s="222">
        <v>13.52168132511399</v>
      </c>
      <c r="AH258" s="222">
        <v>-1.7723441324312661</v>
      </c>
      <c r="AI258" s="222">
        <v>26.390187004024689</v>
      </c>
      <c r="AJ258" s="222">
        <v>19.33863554837296</v>
      </c>
      <c r="AK258" s="222">
        <v>11.47168332137139</v>
      </c>
      <c r="AL258" s="222">
        <v>11.191630701469849</v>
      </c>
      <c r="AM258" s="222">
        <v>22.079667369853691</v>
      </c>
      <c r="AN258" s="222">
        <v>15.41420714928207</v>
      </c>
      <c r="AO258" s="222">
        <v>16.683529742515201</v>
      </c>
      <c r="AP258" s="222">
        <v>16.272017259433269</v>
      </c>
      <c r="AQ258" s="222">
        <v>18.201852119729729</v>
      </c>
      <c r="AR258" s="222">
        <v>18.04362031650043</v>
      </c>
      <c r="AS258" s="222">
        <v>18.440718962769989</v>
      </c>
      <c r="AT258" s="222">
        <v>19.17358706567618</v>
      </c>
      <c r="AU258" s="222">
        <v>19.548947594605501</v>
      </c>
      <c r="AV258" s="222">
        <v>20.197188837288142</v>
      </c>
      <c r="AW258" s="222">
        <v>20.303779122922968</v>
      </c>
      <c r="AX258" s="222">
        <v>21.371387351118312</v>
      </c>
      <c r="AY258" s="76"/>
      <c r="AZ258" s="77" t="s">
        <v>1259</v>
      </c>
      <c r="BA258" s="77" t="s">
        <v>1286</v>
      </c>
      <c r="BB258" s="78" t="s">
        <v>1261</v>
      </c>
      <c r="BC258" s="76"/>
      <c r="BD258" s="79">
        <f>_xll.VAData($AZ258,BD$2,$BA258,$BB258)</f>
        <v>14.535945937588114</v>
      </c>
      <c r="BE258" s="79">
        <f>_xll.VAData($AZ258,BE$2,$BA258,$BB258)</f>
        <v>10.888384952198994</v>
      </c>
      <c r="BF258" s="79">
        <f>_xll.VAData($AZ258,BF$2,$BA258,$BB258)</f>
        <v>13.442425617230242</v>
      </c>
      <c r="BG258" s="79">
        <f>_xll.VAData($AZ258,BG$2,$BA258,$BB258)</f>
        <v>9.1616282332122179</v>
      </c>
      <c r="BH258" s="79">
        <f>_xll.VAData($AZ258,BH$2,$BA258,$BB258)</f>
        <v>13.630261491030959</v>
      </c>
      <c r="BI258" s="79">
        <f>_xll.VAData($AZ258,BI$2,$BA258,$BB258)</f>
        <v>-1.9358377683438341</v>
      </c>
      <c r="BJ258" s="79">
        <f>_xll.VAData($AZ258,BJ$2,$BA258,$BB258)</f>
        <v>25.994818322173977</v>
      </c>
      <c r="BK258" s="79">
        <f>_xll.VAData($AZ258,BK$2,$BA258,$BB258)</f>
        <v>18.481468242886333</v>
      </c>
      <c r="BL258" s="79">
        <f>_xll.VAData($AZ258,BL$2,$BA258,$BB258)</f>
        <v>11.338582677165361</v>
      </c>
      <c r="BM258" s="79">
        <f>_xll.VAData($AZ258,BM$2,$BA258,$BB258)</f>
        <v>11.191630701469848</v>
      </c>
      <c r="BN258" s="79">
        <f>_xll.VAData($AZ258,BN$2,$BA258,$BB258)</f>
        <v>20.7</v>
      </c>
      <c r="BO258" s="79">
        <f>_xll.VAData($AZ258,BO$2,$BA258,$BB258)</f>
        <v>15.282071737991103</v>
      </c>
      <c r="BP258" s="79">
        <f>_xll.VAData($AZ258,BP$2,$BA258,$BB258)</f>
        <v>18.2</v>
      </c>
      <c r="BQ258" s="79">
        <f>_xll.VAData($AZ258,BQ$2,$BA258,$BB258)</f>
        <v>21.4</v>
      </c>
      <c r="BR258" s="79">
        <f>_xll.VAData($AZ258,BR$2,$BA258,$BB258)</f>
        <v>21.6</v>
      </c>
      <c r="BS258" s="79">
        <f>_xll.VAData($AZ258,BS$2,$BA258,$BB258)</f>
        <v>9.5</v>
      </c>
      <c r="BT258" s="79">
        <f>_xll.VAData($AZ258,BT$2,$BA258,$BB258)</f>
        <v>9.6999999999999993</v>
      </c>
      <c r="BU258" s="79">
        <f>_xll.VAData($AZ258,BU$2,$BA258,$BB258)</f>
        <v>13.1</v>
      </c>
      <c r="BV258" s="79">
        <f>_xll.VAData($AZ258,BV$2,$BA258,$BB258)</f>
        <v>13.174635344332028</v>
      </c>
      <c r="BW258" s="79">
        <f>_xll.VAData($AZ258,BW$2,$BA258,$BB258)</f>
        <v>8.1437418504498247</v>
      </c>
      <c r="BX258" s="79">
        <f>_xll.VAData($AZ258,BX$2,$BA258,$BB258)</f>
        <v>9.4081524437557409</v>
      </c>
      <c r="BY258" s="79">
        <f>_xll.VAData($AZ258,BY$2,$BA258,$BB258)</f>
        <v>8.9327698059672898</v>
      </c>
    </row>
    <row r="259" spans="1:77">
      <c r="B259" s="74"/>
      <c r="C259" s="72" t="s">
        <v>90</v>
      </c>
      <c r="D259" s="225" t="s">
        <v>1343</v>
      </c>
      <c r="E259" s="226" t="e">
        <f>HY!#REF!</f>
        <v>#REF!</v>
      </c>
      <c r="F259" s="226" t="e">
        <f>HY!#REF!</f>
        <v>#REF!</v>
      </c>
      <c r="G259" s="226" t="e">
        <f>HY!#REF!</f>
        <v>#REF!</v>
      </c>
      <c r="H259" s="226" t="e">
        <f>HY!#REF!</f>
        <v>#REF!</v>
      </c>
      <c r="I259" s="226" t="e">
        <f>HY!#REF!</f>
        <v>#REF!</v>
      </c>
      <c r="J259" s="226" t="e">
        <f>HY!#REF!</f>
        <v>#REF!</v>
      </c>
      <c r="K259" s="226" t="e">
        <f>HY!#REF!</f>
        <v>#REF!</v>
      </c>
      <c r="L259" s="226" t="e">
        <f>HY!#REF!</f>
        <v>#REF!</v>
      </c>
      <c r="M259" s="226" t="e">
        <f>HY!#REF!</f>
        <v>#REF!</v>
      </c>
      <c r="N259" s="226" t="e">
        <f>HY!#REF!</f>
        <v>#REF!</v>
      </c>
      <c r="O259" s="226" t="e">
        <f>HY!#REF!</f>
        <v>#REF!</v>
      </c>
      <c r="P259" s="226" t="e">
        <f>HY!#REF!</f>
        <v>#REF!</v>
      </c>
      <c r="Q259" s="226" t="e">
        <f>HY!#REF!</f>
        <v>#REF!</v>
      </c>
      <c r="R259" s="226" t="e">
        <f>HY!#REF!</f>
        <v>#REF!</v>
      </c>
      <c r="S259" s="226" t="e">
        <f>HY!#REF!</f>
        <v>#REF!</v>
      </c>
      <c r="T259" s="226" t="e">
        <f>HY!#REF!</f>
        <v>#REF!</v>
      </c>
      <c r="U259" s="226" t="e">
        <f>HY!#REF!</f>
        <v>#REF!</v>
      </c>
      <c r="V259" s="226" t="e">
        <f>HY!#REF!</f>
        <v>#REF!</v>
      </c>
      <c r="W259" s="226" t="e">
        <f>HY!#REF!</f>
        <v>#REF!</v>
      </c>
      <c r="X259" s="226" t="e">
        <f>HY!#REF!</f>
        <v>#REF!</v>
      </c>
      <c r="Y259" s="226" t="e">
        <f>HY!#REF!</f>
        <v>#REF!</v>
      </c>
      <c r="Z259" s="226" t="e">
        <f>HY!#REF!</f>
        <v>#REF!</v>
      </c>
      <c r="AA259" s="72"/>
      <c r="AB259" s="76"/>
      <c r="AC259" s="221"/>
      <c r="AD259" s="221"/>
      <c r="AE259" s="221"/>
      <c r="AF259" s="221"/>
      <c r="AG259" s="221"/>
      <c r="AH259" s="221"/>
      <c r="AI259" s="221"/>
      <c r="AJ259" s="221"/>
      <c r="AK259" s="221"/>
      <c r="AL259" s="221"/>
      <c r="AM259" s="221"/>
      <c r="AN259" s="221"/>
      <c r="AO259" s="221"/>
      <c r="AP259" s="221"/>
      <c r="AQ259" s="221"/>
      <c r="AR259" s="221"/>
      <c r="AS259" s="221"/>
      <c r="AT259" s="221"/>
      <c r="AU259" s="221"/>
      <c r="AV259" s="221"/>
      <c r="AW259" s="221"/>
      <c r="AX259" s="221"/>
      <c r="AY259" s="76"/>
      <c r="AZ259" s="77"/>
      <c r="BA259" s="77"/>
      <c r="BB259" s="78"/>
      <c r="BC259" s="76"/>
      <c r="BD259" s="221"/>
      <c r="BE259" s="221"/>
      <c r="BF259" s="221"/>
      <c r="BG259" s="221"/>
      <c r="BH259" s="221"/>
      <c r="BI259" s="221"/>
      <c r="BJ259" s="221"/>
      <c r="BK259" s="221"/>
      <c r="BL259" s="221"/>
      <c r="BM259" s="221"/>
      <c r="BN259" s="221"/>
      <c r="BO259" s="221"/>
      <c r="BP259" s="221"/>
      <c r="BQ259" s="221"/>
      <c r="BR259" s="221"/>
      <c r="BS259" s="221"/>
      <c r="BT259" s="221"/>
      <c r="BU259" s="221"/>
      <c r="BV259" s="221"/>
      <c r="BW259" s="221"/>
      <c r="BX259" s="221"/>
      <c r="BY259" s="221"/>
    </row>
    <row r="260" spans="1:77">
      <c r="B260" s="74"/>
      <c r="C260" s="81" t="s">
        <v>88</v>
      </c>
      <c r="D260" s="72" t="s">
        <v>1344</v>
      </c>
      <c r="E260" s="227" t="str">
        <f t="shared" ref="E260:Z260" si="108">IFERROR(ROUND(E258/E259-1,3),"")</f>
        <v/>
      </c>
      <c r="F260" s="227" t="str">
        <f t="shared" si="108"/>
        <v/>
      </c>
      <c r="G260" s="227" t="str">
        <f t="shared" si="108"/>
        <v/>
      </c>
      <c r="H260" s="227" t="str">
        <f t="shared" si="108"/>
        <v/>
      </c>
      <c r="I260" s="227" t="str">
        <f t="shared" si="108"/>
        <v/>
      </c>
      <c r="J260" s="227" t="str">
        <f t="shared" si="108"/>
        <v/>
      </c>
      <c r="K260" s="227" t="str">
        <f t="shared" si="108"/>
        <v/>
      </c>
      <c r="L260" s="227" t="str">
        <f t="shared" si="108"/>
        <v/>
      </c>
      <c r="M260" s="227" t="str">
        <f t="shared" si="108"/>
        <v/>
      </c>
      <c r="N260" s="227" t="str">
        <f t="shared" si="108"/>
        <v/>
      </c>
      <c r="O260" s="227" t="str">
        <f t="shared" si="108"/>
        <v/>
      </c>
      <c r="P260" s="227" t="str">
        <f t="shared" si="108"/>
        <v/>
      </c>
      <c r="Q260" s="227" t="str">
        <f t="shared" si="108"/>
        <v/>
      </c>
      <c r="R260" s="227" t="str">
        <f t="shared" si="108"/>
        <v/>
      </c>
      <c r="S260" s="227" t="str">
        <f t="shared" si="108"/>
        <v/>
      </c>
      <c r="T260" s="227" t="str">
        <f t="shared" si="108"/>
        <v/>
      </c>
      <c r="U260" s="227" t="str">
        <f t="shared" si="108"/>
        <v/>
      </c>
      <c r="V260" s="227" t="str">
        <f t="shared" si="108"/>
        <v/>
      </c>
      <c r="W260" s="227" t="str">
        <f t="shared" si="108"/>
        <v/>
      </c>
      <c r="X260" s="227" t="str">
        <f t="shared" si="108"/>
        <v/>
      </c>
      <c r="Y260" s="227" t="str">
        <f t="shared" si="108"/>
        <v/>
      </c>
      <c r="Z260" s="227" t="str">
        <f t="shared" si="108"/>
        <v/>
      </c>
      <c r="AA260" s="72"/>
      <c r="AB260" s="76"/>
      <c r="AC260" s="221"/>
      <c r="AD260" s="221"/>
      <c r="AE260" s="221"/>
      <c r="AF260" s="221"/>
      <c r="AG260" s="221"/>
      <c r="AH260" s="221"/>
      <c r="AI260" s="221"/>
      <c r="AJ260" s="221"/>
      <c r="AK260" s="221"/>
      <c r="AL260" s="221"/>
      <c r="AM260" s="221"/>
      <c r="AN260" s="221"/>
      <c r="AO260" s="221"/>
      <c r="AP260" s="221"/>
      <c r="AQ260" s="221"/>
      <c r="AR260" s="221"/>
      <c r="AS260" s="221"/>
      <c r="AT260" s="221"/>
      <c r="AU260" s="221"/>
      <c r="AV260" s="221"/>
      <c r="AW260" s="221"/>
      <c r="AX260" s="221"/>
      <c r="AY260" s="76"/>
      <c r="AZ260" s="77"/>
      <c r="BA260" s="77"/>
      <c r="BB260" s="78"/>
      <c r="BC260" s="76"/>
      <c r="BD260" s="221"/>
      <c r="BE260" s="221"/>
      <c r="BF260" s="221"/>
      <c r="BG260" s="221"/>
      <c r="BH260" s="221"/>
      <c r="BI260" s="221"/>
      <c r="BJ260" s="221"/>
      <c r="BK260" s="221"/>
      <c r="BL260" s="221"/>
      <c r="BM260" s="221"/>
      <c r="BN260" s="221"/>
      <c r="BO260" s="221"/>
      <c r="BP260" s="221"/>
      <c r="BQ260" s="221"/>
      <c r="BR260" s="221"/>
      <c r="BS260" s="221"/>
      <c r="BT260" s="221"/>
      <c r="BU260" s="221"/>
      <c r="BV260" s="221"/>
      <c r="BW260" s="221"/>
      <c r="BX260" s="221"/>
      <c r="BY260" s="221"/>
    </row>
    <row r="262" spans="1:77">
      <c r="A262" s="229"/>
      <c r="B262" s="229" t="s">
        <v>1387</v>
      </c>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c r="AA262" s="72"/>
      <c r="AB262" s="72"/>
      <c r="AC262" s="67"/>
      <c r="AD262" s="67"/>
      <c r="AE262" s="67"/>
      <c r="AF262" s="72"/>
      <c r="AG262" s="67"/>
      <c r="AH262" s="67"/>
      <c r="AI262" s="67"/>
      <c r="AJ262" s="72"/>
      <c r="AK262" s="67"/>
      <c r="AL262" s="67"/>
      <c r="AM262" s="67"/>
      <c r="AN262" s="67"/>
      <c r="AO262" s="67"/>
      <c r="AP262" s="67"/>
      <c r="AQ262" s="67"/>
      <c r="AR262" s="67"/>
      <c r="AS262" s="67"/>
      <c r="AT262" s="67"/>
      <c r="AU262" s="67"/>
      <c r="AV262" s="67"/>
      <c r="AW262" s="67"/>
      <c r="AX262" s="67"/>
      <c r="AY262" s="72"/>
      <c r="AZ262" s="67"/>
      <c r="BA262" s="67"/>
      <c r="BB262" s="67"/>
      <c r="BC262" s="72"/>
      <c r="BD262" s="67"/>
      <c r="BE262" s="67"/>
      <c r="BF262" s="67"/>
      <c r="BG262" s="72"/>
      <c r="BH262" s="67"/>
      <c r="BI262" s="67"/>
      <c r="BJ262" s="67"/>
      <c r="BK262" s="72"/>
      <c r="BL262" s="67"/>
      <c r="BM262" s="67"/>
      <c r="BN262" s="67"/>
      <c r="BO262" s="67"/>
      <c r="BP262" s="67"/>
      <c r="BQ262" s="67"/>
      <c r="BR262" s="67"/>
      <c r="BS262" s="67"/>
      <c r="BT262" s="67"/>
      <c r="BU262" s="67"/>
      <c r="BV262" s="67"/>
      <c r="BW262" s="67"/>
      <c r="BX262" s="67"/>
      <c r="BY262" s="67"/>
    </row>
    <row r="263" spans="1:77">
      <c r="B263" s="73"/>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67"/>
      <c r="AD263" s="67"/>
      <c r="AE263" s="67"/>
      <c r="AF263" s="72"/>
      <c r="AG263" s="67"/>
      <c r="AH263" s="67"/>
      <c r="AI263" s="67"/>
      <c r="AJ263" s="72"/>
      <c r="AK263" s="67"/>
      <c r="AL263" s="67"/>
      <c r="AM263" s="67"/>
      <c r="AN263" s="67"/>
      <c r="AO263" s="67"/>
      <c r="AP263" s="67"/>
      <c r="AQ263" s="67"/>
      <c r="AR263" s="67"/>
      <c r="AS263" s="67"/>
      <c r="AT263" s="67"/>
      <c r="AU263" s="67"/>
      <c r="AV263" s="67"/>
      <c r="AW263" s="67"/>
      <c r="AX263" s="67"/>
      <c r="AY263" s="72"/>
      <c r="AZ263" s="67"/>
      <c r="BA263" s="67"/>
      <c r="BB263" s="67"/>
      <c r="BC263" s="72"/>
      <c r="BD263" s="67"/>
      <c r="BE263" s="67"/>
      <c r="BF263" s="67"/>
      <c r="BG263" s="72"/>
      <c r="BH263" s="67"/>
      <c r="BI263" s="67"/>
      <c r="BJ263" s="67"/>
      <c r="BK263" s="72"/>
      <c r="BL263" s="67"/>
      <c r="BM263" s="67"/>
      <c r="BN263" s="67"/>
      <c r="BO263" s="67"/>
      <c r="BP263" s="67"/>
      <c r="BQ263" s="67"/>
      <c r="BR263" s="67"/>
      <c r="BS263" s="67"/>
      <c r="BT263" s="67"/>
      <c r="BU263" s="67"/>
      <c r="BV263" s="67"/>
      <c r="BW263" s="67"/>
      <c r="BX263" s="67"/>
      <c r="BY263" s="67"/>
    </row>
    <row r="264" spans="1:77">
      <c r="B264" s="237" t="s">
        <v>1388</v>
      </c>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67"/>
      <c r="AD264" s="67"/>
      <c r="AE264" s="67"/>
      <c r="AF264" s="72"/>
      <c r="AG264" s="67"/>
      <c r="AH264" s="67"/>
      <c r="AI264" s="67"/>
      <c r="AJ264" s="72"/>
      <c r="AK264" s="67"/>
      <c r="AL264" s="67"/>
      <c r="AM264" s="67"/>
      <c r="AN264" s="67"/>
      <c r="AO264" s="67"/>
      <c r="AP264" s="67"/>
      <c r="AQ264" s="67"/>
      <c r="AR264" s="67"/>
      <c r="AS264" s="67"/>
      <c r="AT264" s="67"/>
      <c r="AU264" s="67"/>
      <c r="AV264" s="67"/>
      <c r="AW264" s="67"/>
      <c r="AX264" s="67"/>
      <c r="AY264" s="72"/>
      <c r="AZ264" s="67"/>
      <c r="BA264" s="67"/>
      <c r="BB264" s="67"/>
      <c r="BC264" s="72"/>
      <c r="BD264" s="67"/>
      <c r="BE264" s="67"/>
      <c r="BF264" s="67"/>
      <c r="BG264" s="72"/>
      <c r="BH264" s="67"/>
      <c r="BI264" s="67"/>
      <c r="BJ264" s="67"/>
      <c r="BK264" s="72"/>
      <c r="BL264" s="67"/>
      <c r="BM264" s="67"/>
      <c r="BN264" s="67"/>
      <c r="BO264" s="67"/>
      <c r="BP264" s="67"/>
      <c r="BQ264" s="67"/>
      <c r="BR264" s="67"/>
      <c r="BS264" s="67"/>
      <c r="BT264" s="67"/>
      <c r="BU264" s="67"/>
      <c r="BV264" s="67"/>
      <c r="BW264" s="67"/>
      <c r="BX264" s="67"/>
      <c r="BY264" s="67"/>
    </row>
    <row r="265" spans="1:77">
      <c r="B265" s="73"/>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67"/>
      <c r="AD265" s="67"/>
      <c r="AE265" s="67"/>
      <c r="AF265" s="72"/>
      <c r="AG265" s="67"/>
      <c r="AH265" s="67"/>
      <c r="AI265" s="67"/>
      <c r="AJ265" s="72"/>
      <c r="AK265" s="67"/>
      <c r="AL265" s="67"/>
      <c r="AM265" s="67"/>
      <c r="AN265" s="67"/>
      <c r="AO265" s="67"/>
      <c r="AP265" s="67"/>
      <c r="AQ265" s="67"/>
      <c r="AR265" s="67"/>
      <c r="AS265" s="67"/>
      <c r="AT265" s="67"/>
      <c r="AU265" s="67"/>
      <c r="AV265" s="67"/>
      <c r="AW265" s="67"/>
      <c r="AX265" s="67"/>
      <c r="AY265" s="72"/>
      <c r="AZ265" s="67"/>
      <c r="BA265" s="67"/>
      <c r="BB265" s="67"/>
      <c r="BC265" s="72"/>
      <c r="BD265" s="67"/>
      <c r="BE265" s="67"/>
      <c r="BF265" s="67"/>
      <c r="BG265" s="72"/>
      <c r="BH265" s="67"/>
      <c r="BI265" s="67"/>
      <c r="BJ265" s="67"/>
      <c r="BK265" s="72"/>
      <c r="BL265" s="67"/>
      <c r="BM265" s="67"/>
      <c r="BN265" s="67"/>
      <c r="BO265" s="67"/>
      <c r="BP265" s="67"/>
      <c r="BQ265" s="67"/>
      <c r="BR265" s="67"/>
      <c r="BS265" s="67"/>
      <c r="BT265" s="67"/>
      <c r="BU265" s="67"/>
      <c r="BV265" s="67"/>
      <c r="BW265" s="67"/>
      <c r="BX265" s="67"/>
      <c r="BY265" s="67"/>
    </row>
    <row r="266" spans="1:77">
      <c r="B266" s="74" t="str">
        <f>BA266</f>
        <v>Total revenue - Operating</v>
      </c>
      <c r="C266" s="72" t="s">
        <v>72</v>
      </c>
      <c r="D266" s="224" t="s">
        <v>1342</v>
      </c>
      <c r="E266" s="223">
        <f t="shared" ref="E266:Z266" si="109">AC266</f>
        <v>540.59033586981184</v>
      </c>
      <c r="F266" s="223">
        <f t="shared" si="109"/>
        <v>558.36020995928584</v>
      </c>
      <c r="G266" s="223">
        <f t="shared" si="109"/>
        <v>598</v>
      </c>
      <c r="H266" s="223">
        <f t="shared" si="109"/>
        <v>520.9</v>
      </c>
      <c r="I266" s="223">
        <f t="shared" si="109"/>
        <v>490.9</v>
      </c>
      <c r="J266" s="223">
        <f t="shared" si="109"/>
        <v>288.60000000000002</v>
      </c>
      <c r="K266" s="223">
        <f t="shared" si="109"/>
        <v>386.9</v>
      </c>
      <c r="L266" s="223">
        <f t="shared" si="109"/>
        <v>435.6</v>
      </c>
      <c r="M266" s="223">
        <f t="shared" si="109"/>
        <v>260.8</v>
      </c>
      <c r="N266" s="223">
        <f t="shared" si="109"/>
        <v>370.7</v>
      </c>
      <c r="O266" s="223">
        <f t="shared" si="109"/>
        <v>487.4</v>
      </c>
      <c r="P266" s="223">
        <f t="shared" si="109"/>
        <v>479.3</v>
      </c>
      <c r="Q266" s="223">
        <f t="shared" si="109"/>
        <v>494.19265658173379</v>
      </c>
      <c r="R266" s="223">
        <f t="shared" si="109"/>
        <v>506.62768097892962</v>
      </c>
      <c r="S266" s="223">
        <f t="shared" si="109"/>
        <v>532.80755257010503</v>
      </c>
      <c r="T266" s="223">
        <f t="shared" si="109"/>
        <v>539.00142894922453</v>
      </c>
      <c r="U266" s="223">
        <f t="shared" si="109"/>
        <v>550.81801547414329</v>
      </c>
      <c r="V266" s="223">
        <f t="shared" si="109"/>
        <v>547.58286119830598</v>
      </c>
      <c r="W266" s="223">
        <f t="shared" si="109"/>
        <v>569.69358868451604</v>
      </c>
      <c r="X266" s="223">
        <f t="shared" si="109"/>
        <v>564.90391618101171</v>
      </c>
      <c r="Y266" s="223">
        <f t="shared" si="109"/>
        <v>587.45822069621067</v>
      </c>
      <c r="Z266" s="223">
        <f t="shared" si="109"/>
        <v>583.31476421255866</v>
      </c>
      <c r="AA266" s="72"/>
      <c r="AB266" s="76"/>
      <c r="AC266" s="222">
        <v>540.59033586981184</v>
      </c>
      <c r="AD266" s="222">
        <v>558.36020995928584</v>
      </c>
      <c r="AE266" s="222">
        <v>598</v>
      </c>
      <c r="AF266" s="222">
        <v>520.9</v>
      </c>
      <c r="AG266" s="222">
        <v>490.9</v>
      </c>
      <c r="AH266" s="222">
        <v>288.60000000000002</v>
      </c>
      <c r="AI266" s="222">
        <v>386.9</v>
      </c>
      <c r="AJ266" s="222">
        <v>435.6</v>
      </c>
      <c r="AK266" s="222">
        <v>260.8</v>
      </c>
      <c r="AL266" s="222">
        <v>370.7</v>
      </c>
      <c r="AM266" s="222">
        <v>487.4</v>
      </c>
      <c r="AN266" s="222">
        <v>479.3</v>
      </c>
      <c r="AO266" s="222">
        <v>494.19265658173379</v>
      </c>
      <c r="AP266" s="222">
        <v>506.62768097892962</v>
      </c>
      <c r="AQ266" s="222">
        <v>532.80755257010503</v>
      </c>
      <c r="AR266" s="222">
        <v>539.00142894922453</v>
      </c>
      <c r="AS266" s="222">
        <v>550.81801547414329</v>
      </c>
      <c r="AT266" s="222">
        <v>547.58286119830598</v>
      </c>
      <c r="AU266" s="222">
        <v>569.69358868451604</v>
      </c>
      <c r="AV266" s="222">
        <v>564.90391618101171</v>
      </c>
      <c r="AW266" s="222">
        <v>587.45822069621067</v>
      </c>
      <c r="AX266" s="222">
        <v>583.31476421255866</v>
      </c>
      <c r="AY266" s="76"/>
      <c r="AZ266" s="77" t="s">
        <v>1259</v>
      </c>
      <c r="BA266" s="77" t="s">
        <v>1260</v>
      </c>
      <c r="BB266" s="78" t="s">
        <v>1261</v>
      </c>
      <c r="BC266" s="76"/>
      <c r="BD266" s="79">
        <f>_xll.VAData($AZ266,BD$2,$BA266,$BB266)</f>
        <v>503.96291983726474</v>
      </c>
      <c r="BE266" s="79">
        <f>_xll.VAData($AZ266,BE$2,$BA266,$BB266)</f>
        <v>526.19955536615203</v>
      </c>
      <c r="BF266" s="79">
        <f>_xll.VAData($AZ266,BF$2,$BA266,$BB266)</f>
        <v>532.9</v>
      </c>
      <c r="BG266" s="79">
        <f>_xll.VAData($AZ266,BG$2,$BA266,$BB266)</f>
        <v>496.9</v>
      </c>
      <c r="BH266" s="79">
        <f>_xll.VAData($AZ266,BH$2,$BA266,$BB266)</f>
        <v>490.9</v>
      </c>
      <c r="BI266" s="79">
        <f>_xll.VAData($AZ266,BI$2,$BA266,$BB266)</f>
        <v>288.60000000000002</v>
      </c>
      <c r="BJ266" s="79">
        <f>_xll.VAData($AZ266,BJ$2,$BA266,$BB266)</f>
        <v>386.9</v>
      </c>
      <c r="BK266" s="79">
        <f>_xll.VAData($AZ266,BK$2,$BA266,$BB266)</f>
        <v>435.6</v>
      </c>
      <c r="BL266" s="79">
        <f>_xll.VAData($AZ266,BL$2,$BA266,$BB266)</f>
        <v>260.8</v>
      </c>
      <c r="BM266" s="79">
        <f>_xll.VAData($AZ266,BM$2,$BA266,$BB266)</f>
        <v>370.7</v>
      </c>
      <c r="BN266" s="79">
        <f>_xll.VAData($AZ266,BN$2,$BA266,$BB266)</f>
        <v>438.9</v>
      </c>
      <c r="BO266" s="79">
        <f>_xll.VAData($AZ266,BO$2,$BA266,$BB266)</f>
        <v>423.7</v>
      </c>
      <c r="BP266" s="79">
        <f>_xll.VAData($AZ266,BP$2,$BA266,$BB266)</f>
        <v>442.8</v>
      </c>
      <c r="BQ266" s="79">
        <f>_xll.VAData($AZ266,BQ$2,$BA266,$BB266)</f>
        <v>427.70200352855397</v>
      </c>
      <c r="BR266" s="79">
        <f>_xll.VAData($AZ266,BR$2,$BA266,$BB266)</f>
        <v>422</v>
      </c>
      <c r="BS266" s="79">
        <f>_xll.VAData($AZ266,BS$2,$BA266,$BB266)</f>
        <v>403.2</v>
      </c>
      <c r="BT266" s="79">
        <f>_xll.VAData($AZ266,BT$2,$BA266,$BB266)</f>
        <v>411.7</v>
      </c>
      <c r="BU266" s="79">
        <f>_xll.VAData($AZ266,BU$2,$BA266,$BB266)</f>
        <v>411</v>
      </c>
      <c r="BV266" s="79">
        <f>_xll.VAData($AZ266,BV$2,$BA266,$BB266)</f>
        <v>408.04924807163724</v>
      </c>
      <c r="BW266" s="79">
        <f>_xll.VAData($AZ266,BW$2,$BA266,$BB266)</f>
        <v>403.744546609841</v>
      </c>
      <c r="BX266" s="79">
        <f>_xll.VAData($AZ266,BX$2,$BA266,$BB266)</f>
        <v>415.39171630547997</v>
      </c>
      <c r="BY266" s="79">
        <f>_xll.VAData($AZ266,BY$2,$BA266,$BB266)</f>
        <v>429.07012435831098</v>
      </c>
    </row>
    <row r="267" spans="1:77">
      <c r="B267" s="74"/>
      <c r="C267" s="72" t="s">
        <v>72</v>
      </c>
      <c r="D267" s="225" t="s">
        <v>1343</v>
      </c>
      <c r="E267" s="226" t="e">
        <f>HY!#REF!</f>
        <v>#REF!</v>
      </c>
      <c r="F267" s="226" t="e">
        <f>HY!#REF!</f>
        <v>#REF!</v>
      </c>
      <c r="G267" s="226" t="e">
        <f>HY!#REF!</f>
        <v>#REF!</v>
      </c>
      <c r="H267" s="226" t="e">
        <f>HY!#REF!</f>
        <v>#REF!</v>
      </c>
      <c r="I267" s="226" t="e">
        <f>HY!#REF!</f>
        <v>#REF!</v>
      </c>
      <c r="J267" s="226" t="e">
        <f>HY!#REF!</f>
        <v>#REF!</v>
      </c>
      <c r="K267" s="226" t="e">
        <f>HY!#REF!</f>
        <v>#REF!</v>
      </c>
      <c r="L267" s="226" t="e">
        <f>HY!#REF!</f>
        <v>#REF!</v>
      </c>
      <c r="M267" s="226" t="e">
        <f>HY!#REF!</f>
        <v>#REF!</v>
      </c>
      <c r="N267" s="226" t="e">
        <f>HY!#REF!</f>
        <v>#REF!</v>
      </c>
      <c r="O267" s="226" t="e">
        <f>HY!#REF!</f>
        <v>#REF!</v>
      </c>
      <c r="P267" s="226" t="e">
        <f>HY!#REF!</f>
        <v>#REF!</v>
      </c>
      <c r="Q267" s="226" t="e">
        <f>HY!#REF!</f>
        <v>#REF!</v>
      </c>
      <c r="R267" s="226" t="e">
        <f>HY!#REF!</f>
        <v>#REF!</v>
      </c>
      <c r="S267" s="226" t="e">
        <f>HY!#REF!</f>
        <v>#REF!</v>
      </c>
      <c r="T267" s="226" t="e">
        <f>HY!#REF!</f>
        <v>#REF!</v>
      </c>
      <c r="U267" s="226" t="e">
        <f>HY!#REF!</f>
        <v>#REF!</v>
      </c>
      <c r="V267" s="226" t="e">
        <f>HY!#REF!</f>
        <v>#REF!</v>
      </c>
      <c r="W267" s="226" t="e">
        <f>HY!#REF!</f>
        <v>#REF!</v>
      </c>
      <c r="X267" s="226" t="e">
        <f>HY!#REF!</f>
        <v>#REF!</v>
      </c>
      <c r="Y267" s="226" t="e">
        <f>HY!#REF!</f>
        <v>#REF!</v>
      </c>
      <c r="Z267" s="226" t="e">
        <f>HY!#REF!</f>
        <v>#REF!</v>
      </c>
      <c r="AA267" s="72"/>
      <c r="AB267" s="76"/>
      <c r="AC267" s="221"/>
      <c r="AD267" s="221"/>
      <c r="AE267" s="221"/>
      <c r="AF267" s="221"/>
      <c r="AG267" s="221"/>
      <c r="AH267" s="221"/>
      <c r="AI267" s="221"/>
      <c r="AJ267" s="221"/>
      <c r="AK267" s="221"/>
      <c r="AL267" s="221"/>
      <c r="AM267" s="221"/>
      <c r="AN267" s="221"/>
      <c r="AO267" s="221"/>
      <c r="AP267" s="221"/>
      <c r="AQ267" s="221"/>
      <c r="AR267" s="221"/>
      <c r="AS267" s="221"/>
      <c r="AT267" s="221"/>
      <c r="AU267" s="221"/>
      <c r="AV267" s="221"/>
      <c r="AW267" s="221"/>
      <c r="AX267" s="221"/>
      <c r="AY267" s="76"/>
      <c r="AZ267" s="77"/>
      <c r="BA267" s="77"/>
      <c r="BB267" s="78"/>
      <c r="BC267" s="76"/>
      <c r="BD267" s="221"/>
      <c r="BE267" s="221"/>
      <c r="BF267" s="221"/>
      <c r="BG267" s="221"/>
      <c r="BH267" s="221"/>
      <c r="BI267" s="221"/>
      <c r="BJ267" s="221"/>
      <c r="BK267" s="221"/>
      <c r="BL267" s="221"/>
      <c r="BM267" s="221"/>
      <c r="BN267" s="221"/>
      <c r="BO267" s="221"/>
      <c r="BP267" s="221"/>
      <c r="BQ267" s="221"/>
      <c r="BR267" s="221"/>
      <c r="BS267" s="221"/>
      <c r="BT267" s="221"/>
      <c r="BU267" s="221"/>
      <c r="BV267" s="221"/>
      <c r="BW267" s="221"/>
      <c r="BX267" s="221"/>
      <c r="BY267" s="221"/>
    </row>
    <row r="268" spans="1:77">
      <c r="B268" s="74"/>
      <c r="C268" s="81" t="s">
        <v>88</v>
      </c>
      <c r="D268" s="72" t="s">
        <v>1344</v>
      </c>
      <c r="E268" s="227" t="str">
        <f t="shared" ref="E268:Z268" si="110">IFERROR(ROUND(E266/E267-1,3),"")</f>
        <v/>
      </c>
      <c r="F268" s="227" t="str">
        <f t="shared" si="110"/>
        <v/>
      </c>
      <c r="G268" s="227" t="str">
        <f t="shared" si="110"/>
        <v/>
      </c>
      <c r="H268" s="227" t="str">
        <f t="shared" si="110"/>
        <v/>
      </c>
      <c r="I268" s="227" t="str">
        <f t="shared" si="110"/>
        <v/>
      </c>
      <c r="J268" s="227" t="str">
        <f t="shared" si="110"/>
        <v/>
      </c>
      <c r="K268" s="227" t="str">
        <f t="shared" si="110"/>
        <v/>
      </c>
      <c r="L268" s="227" t="str">
        <f t="shared" si="110"/>
        <v/>
      </c>
      <c r="M268" s="227" t="str">
        <f t="shared" si="110"/>
        <v/>
      </c>
      <c r="N268" s="227" t="str">
        <f t="shared" si="110"/>
        <v/>
      </c>
      <c r="O268" s="227" t="str">
        <f t="shared" si="110"/>
        <v/>
      </c>
      <c r="P268" s="227" t="str">
        <f t="shared" si="110"/>
        <v/>
      </c>
      <c r="Q268" s="227" t="str">
        <f t="shared" si="110"/>
        <v/>
      </c>
      <c r="R268" s="227" t="str">
        <f t="shared" si="110"/>
        <v/>
      </c>
      <c r="S268" s="227" t="str">
        <f t="shared" si="110"/>
        <v/>
      </c>
      <c r="T268" s="227" t="str">
        <f t="shared" si="110"/>
        <v/>
      </c>
      <c r="U268" s="227" t="str">
        <f t="shared" si="110"/>
        <v/>
      </c>
      <c r="V268" s="227" t="str">
        <f t="shared" si="110"/>
        <v/>
      </c>
      <c r="W268" s="227" t="str">
        <f t="shared" si="110"/>
        <v/>
      </c>
      <c r="X268" s="227" t="str">
        <f t="shared" si="110"/>
        <v/>
      </c>
      <c r="Y268" s="227" t="str">
        <f t="shared" si="110"/>
        <v/>
      </c>
      <c r="Z268" s="227" t="str">
        <f t="shared" si="110"/>
        <v/>
      </c>
      <c r="AA268" s="72"/>
      <c r="AB268" s="76"/>
      <c r="AC268" s="221"/>
      <c r="AD268" s="221"/>
      <c r="AE268" s="221"/>
      <c r="AF268" s="221"/>
      <c r="AG268" s="221"/>
      <c r="AH268" s="221"/>
      <c r="AI268" s="221"/>
      <c r="AJ268" s="221"/>
      <c r="AK268" s="221"/>
      <c r="AL268" s="221"/>
      <c r="AM268" s="221"/>
      <c r="AN268" s="221"/>
      <c r="AO268" s="221"/>
      <c r="AP268" s="221"/>
      <c r="AQ268" s="221"/>
      <c r="AR268" s="221"/>
      <c r="AS268" s="221"/>
      <c r="AT268" s="221"/>
      <c r="AU268" s="221"/>
      <c r="AV268" s="221"/>
      <c r="AW268" s="221"/>
      <c r="AX268" s="221"/>
      <c r="AY268" s="76"/>
      <c r="AZ268" s="77"/>
      <c r="BA268" s="77"/>
      <c r="BB268" s="78"/>
      <c r="BC268" s="76"/>
      <c r="BD268" s="221"/>
      <c r="BE268" s="221"/>
      <c r="BF268" s="221"/>
      <c r="BG268" s="221"/>
      <c r="BH268" s="221"/>
      <c r="BI268" s="221"/>
      <c r="BJ268" s="221"/>
      <c r="BK268" s="221"/>
      <c r="BL268" s="221"/>
      <c r="BM268" s="221"/>
      <c r="BN268" s="221"/>
      <c r="BO268" s="221"/>
      <c r="BP268" s="221"/>
      <c r="BQ268" s="221"/>
      <c r="BR268" s="221"/>
      <c r="BS268" s="221"/>
      <c r="BT268" s="221"/>
      <c r="BU268" s="221"/>
      <c r="BV268" s="221"/>
      <c r="BW268" s="221"/>
      <c r="BX268" s="221"/>
      <c r="BY268" s="221"/>
    </row>
    <row r="270" spans="1:77">
      <c r="B270" s="74" t="str">
        <f>BA270</f>
        <v>Operating expenses excl. depreciation - Operating</v>
      </c>
      <c r="C270" s="72" t="s">
        <v>72</v>
      </c>
      <c r="D270" s="224" t="s">
        <v>1342</v>
      </c>
      <c r="E270" s="223">
        <f t="shared" ref="E270:Z270" si="111">AC270</f>
        <v>-368.39456945523631</v>
      </c>
      <c r="F270" s="223">
        <f t="shared" si="111"/>
        <v>-391.38672270069168</v>
      </c>
      <c r="G270" s="223">
        <f t="shared" si="111"/>
        <v>-361.2</v>
      </c>
      <c r="H270" s="223">
        <f t="shared" si="111"/>
        <v>-346.3</v>
      </c>
      <c r="I270" s="223">
        <f t="shared" si="111"/>
        <v>-337.6</v>
      </c>
      <c r="J270" s="223">
        <f t="shared" si="111"/>
        <v>-241.1</v>
      </c>
      <c r="K270" s="223">
        <f t="shared" si="111"/>
        <v>-269.10000000000002</v>
      </c>
      <c r="L270" s="223">
        <f t="shared" si="111"/>
        <v>-304.8</v>
      </c>
      <c r="M270" s="223">
        <f t="shared" si="111"/>
        <v>-224.6</v>
      </c>
      <c r="N270" s="223">
        <f t="shared" si="111"/>
        <v>-269</v>
      </c>
      <c r="O270" s="223">
        <f t="shared" si="111"/>
        <v>-325</v>
      </c>
      <c r="P270" s="223">
        <f t="shared" si="111"/>
        <v>-331.4</v>
      </c>
      <c r="Q270" s="223">
        <f t="shared" si="111"/>
        <v>-343.90265325565269</v>
      </c>
      <c r="R270" s="223">
        <f t="shared" si="111"/>
        <v>-353.79087583885041</v>
      </c>
      <c r="S270" s="223">
        <f t="shared" si="111"/>
        <v>-365.17578900684822</v>
      </c>
      <c r="T270" s="223">
        <f t="shared" si="111"/>
        <v>-369.20303820235893</v>
      </c>
      <c r="U270" s="223">
        <f t="shared" si="111"/>
        <v>-376.13883345487352</v>
      </c>
      <c r="V270" s="223">
        <f t="shared" si="111"/>
        <v>-374.6483845430036</v>
      </c>
      <c r="W270" s="223">
        <f t="shared" si="111"/>
        <v>-387.68470993075289</v>
      </c>
      <c r="X270" s="223">
        <f t="shared" si="111"/>
        <v>-385.68898475355741</v>
      </c>
      <c r="Y270" s="223">
        <f t="shared" si="111"/>
        <v>-399.26160683613699</v>
      </c>
      <c r="Z270" s="223">
        <f t="shared" si="111"/>
        <v>-397.17335345547087</v>
      </c>
      <c r="AA270" s="72"/>
      <c r="AB270" s="76"/>
      <c r="AC270" s="222">
        <v>-368.39456945523631</v>
      </c>
      <c r="AD270" s="222">
        <v>-391.38672270069168</v>
      </c>
      <c r="AE270" s="222">
        <v>-361.2</v>
      </c>
      <c r="AF270" s="222">
        <v>-346.3</v>
      </c>
      <c r="AG270" s="222">
        <v>-337.6</v>
      </c>
      <c r="AH270" s="222">
        <v>-241.1</v>
      </c>
      <c r="AI270" s="222">
        <v>-269.10000000000002</v>
      </c>
      <c r="AJ270" s="222">
        <v>-304.8</v>
      </c>
      <c r="AK270" s="222">
        <v>-224.6</v>
      </c>
      <c r="AL270" s="222">
        <v>-269</v>
      </c>
      <c r="AM270" s="222">
        <v>-325</v>
      </c>
      <c r="AN270" s="222">
        <v>-331.4</v>
      </c>
      <c r="AO270" s="222">
        <v>-343.90265325565269</v>
      </c>
      <c r="AP270" s="222">
        <v>-353.79087583885041</v>
      </c>
      <c r="AQ270" s="222">
        <v>-365.17578900684822</v>
      </c>
      <c r="AR270" s="222">
        <v>-369.20303820235893</v>
      </c>
      <c r="AS270" s="222">
        <v>-376.13883345487352</v>
      </c>
      <c r="AT270" s="222">
        <v>-374.6483845430036</v>
      </c>
      <c r="AU270" s="222">
        <v>-387.68470993075289</v>
      </c>
      <c r="AV270" s="222">
        <v>-385.68898475355741</v>
      </c>
      <c r="AW270" s="222">
        <v>-399.26160683613699</v>
      </c>
      <c r="AX270" s="222">
        <v>-397.17335345547087</v>
      </c>
      <c r="AY270" s="76"/>
      <c r="AZ270" s="77" t="s">
        <v>1259</v>
      </c>
      <c r="BA270" s="77" t="s">
        <v>1389</v>
      </c>
      <c r="BB270" s="78" t="s">
        <v>1261</v>
      </c>
      <c r="BC270" s="76"/>
      <c r="BD270" s="79">
        <f>-_xll.VAData($AZ270,BD$2,$BA270,$BB270)</f>
        <v>-338.48499655028735</v>
      </c>
      <c r="BE270" s="79">
        <f>-_xll.VAData($AZ270,BE$2,$BA270,$BB270)</f>
        <v>-359.23269629290951</v>
      </c>
      <c r="BF270" s="79">
        <f>-_xll.VAData($AZ270,BF$2,$BA270,$BB270)</f>
        <v>-361.2</v>
      </c>
      <c r="BG270" s="79">
        <f>-_xll.VAData($AZ270,BG$2,$BA270,$BB270)</f>
        <v>-346.3</v>
      </c>
      <c r="BH270" s="79">
        <f>-_xll.VAData($AZ270,BH$2,$BA270,$BB270)</f>
        <v>-337.6</v>
      </c>
      <c r="BI270" s="79">
        <f>-_xll.VAData($AZ270,BI$2,$BA270,$BB270)</f>
        <v>-241.1</v>
      </c>
      <c r="BJ270" s="79">
        <f>-_xll.VAData($AZ270,BJ$2,$BA270,$BB270)</f>
        <v>-269.2</v>
      </c>
      <c r="BK270" s="79">
        <f>-_xll.VAData($AZ270,BK$2,$BA270,$BB270)</f>
        <v>-304.8</v>
      </c>
      <c r="BL270" s="79">
        <f>-_xll.VAData($AZ270,BL$2,$BA270,$BB270)</f>
        <v>-230.6</v>
      </c>
      <c r="BM270" s="79">
        <f>-_xll.VAData($AZ270,BM$2,$BA270,$BB270)</f>
        <v>-269</v>
      </c>
      <c r="BN270" s="79">
        <f>-_xll.VAData($AZ270,BN$2,$BA270,$BB270)</f>
        <v>-289.29755</v>
      </c>
      <c r="BO270" s="79">
        <f>-_xll.VAData($AZ270,BO$2,$BA270,$BB270)</f>
        <v>-289.76387289690297</v>
      </c>
      <c r="BP270" s="79">
        <f>-_xll.VAData($AZ270,BP$2,$BA270,$BB270)</f>
        <v>-306.37592197439915</v>
      </c>
      <c r="BQ270" s="79">
        <f>-_xll.VAData($AZ270,BQ$2,$BA270,$BB270)</f>
        <v>-301.41453246905428</v>
      </c>
      <c r="BR270" s="79">
        <f>-_xll.VAData($AZ270,BR$2,$BA270,$BB270)</f>
        <v>-302.5</v>
      </c>
      <c r="BS270" s="79">
        <f>-_xll.VAData($AZ270,BS$2,$BA270,$BB270)</f>
        <v>-289</v>
      </c>
      <c r="BT270" s="79">
        <f>-_xll.VAData($AZ270,BT$2,$BA270,$BB270)</f>
        <v>-326.2</v>
      </c>
      <c r="BU270" s="79">
        <f>-_xll.VAData($AZ270,BU$2,$BA270,$BB270)</f>
        <v>-314.89999999999998</v>
      </c>
      <c r="BV270" s="79">
        <f>-_xll.VAData($AZ270,BV$2,$BA270,$BB270)</f>
        <v>-319.05763151308918</v>
      </c>
      <c r="BW270" s="79">
        <f>-_xll.VAData($AZ270,BW$2,$BA270,$BB270)</f>
        <v>-310.58040141485043</v>
      </c>
      <c r="BX270" s="79">
        <f>-_xll.VAData($AZ270,BX$2,$BA270,$BB270)</f>
        <v>-313.64216654324906</v>
      </c>
      <c r="BY270" s="79">
        <f>-_xll.VAData($AZ270,BY$2,$BA270,$BB270)</f>
        <v>-321.40938686407861</v>
      </c>
    </row>
    <row r="271" spans="1:77">
      <c r="B271" s="74"/>
      <c r="C271" s="72" t="s">
        <v>72</v>
      </c>
      <c r="D271" s="225" t="s">
        <v>1343</v>
      </c>
      <c r="E271" s="226">
        <f>HY!E313</f>
        <v>-274.42643988622689</v>
      </c>
      <c r="F271" s="226">
        <f>HY!F313</f>
        <v>-304.04769086030575</v>
      </c>
      <c r="G271" s="226">
        <f>HY!G313</f>
        <v>-315.4245406307179</v>
      </c>
      <c r="H271" s="226">
        <f>HY!H313</f>
        <v>-300.16217843296693</v>
      </c>
      <c r="I271" s="226">
        <f>HY!I313</f>
        <v>-291.34136511800182</v>
      </c>
      <c r="J271" s="226">
        <f>HY!J313</f>
        <v>-213.19257063955877</v>
      </c>
      <c r="K271" s="226">
        <f>HY!K313</f>
        <v>-227.39929140775661</v>
      </c>
      <c r="L271" s="226">
        <f>HY!L313</f>
        <v>-255.6371894403901</v>
      </c>
      <c r="M271" s="226">
        <f>HY!M313</f>
        <v>-203.10042519685038</v>
      </c>
      <c r="N271" s="226">
        <f>HY!N313</f>
        <v>-234.41961910308675</v>
      </c>
      <c r="O271" s="226">
        <f>HY!O313</f>
        <v>-277.09999999999997</v>
      </c>
      <c r="P271" s="226">
        <f>HY!P313</f>
        <v>-283.70000000000005</v>
      </c>
      <c r="Q271" s="226">
        <f>HY!Q313</f>
        <v>-298.5</v>
      </c>
      <c r="R271" s="226">
        <f>HY!R313</f>
        <v>-294.2</v>
      </c>
      <c r="S271" s="226">
        <f>HY!S313</f>
        <v>-302.5</v>
      </c>
      <c r="T271" s="226">
        <f>HY!T313</f>
        <v>-289.00000000000006</v>
      </c>
      <c r="U271" s="226">
        <f>HY!U313</f>
        <v>-326.2</v>
      </c>
      <c r="V271" s="226">
        <f>HY!V313</f>
        <v>-314.90000000000009</v>
      </c>
      <c r="W271" s="226">
        <f>HY!W313</f>
        <v>-330.42936800000001</v>
      </c>
      <c r="X271" s="226">
        <f>HY!X313</f>
        <v>-327.31849680000005</v>
      </c>
      <c r="Y271" s="226">
        <f>HY!Y313</f>
        <v>-329.30683108799997</v>
      </c>
      <c r="Z271" s="226">
        <f>HY!Z313</f>
        <v>-325.47325256799996</v>
      </c>
      <c r="AA271" s="72"/>
      <c r="AB271" s="76"/>
      <c r="AC271" s="221"/>
      <c r="AD271" s="221"/>
      <c r="AE271" s="221"/>
      <c r="AF271" s="221"/>
      <c r="AG271" s="221"/>
      <c r="AH271" s="221"/>
      <c r="AI271" s="221"/>
      <c r="AJ271" s="221"/>
      <c r="AK271" s="221"/>
      <c r="AL271" s="221"/>
      <c r="AM271" s="221"/>
      <c r="AN271" s="221"/>
      <c r="AO271" s="221"/>
      <c r="AP271" s="221"/>
      <c r="AQ271" s="221"/>
      <c r="AR271" s="221"/>
      <c r="AS271" s="221"/>
      <c r="AT271" s="221"/>
      <c r="AU271" s="221"/>
      <c r="AV271" s="221"/>
      <c r="AW271" s="221"/>
      <c r="AX271" s="221"/>
      <c r="AY271" s="76"/>
      <c r="AZ271" s="77"/>
      <c r="BA271" s="77"/>
      <c r="BB271" s="78"/>
      <c r="BC271" s="76"/>
      <c r="BD271" s="221"/>
      <c r="BE271" s="221"/>
      <c r="BF271" s="221"/>
      <c r="BG271" s="221"/>
      <c r="BH271" s="221"/>
      <c r="BI271" s="221"/>
      <c r="BJ271" s="221"/>
      <c r="BK271" s="221"/>
      <c r="BL271" s="221"/>
      <c r="BM271" s="221"/>
      <c r="BN271" s="221"/>
      <c r="BO271" s="221"/>
      <c r="BP271" s="221"/>
      <c r="BQ271" s="221"/>
      <c r="BR271" s="221"/>
      <c r="BS271" s="221"/>
      <c r="BT271" s="221"/>
      <c r="BU271" s="221"/>
      <c r="BV271" s="221"/>
      <c r="BW271" s="221"/>
      <c r="BX271" s="221"/>
      <c r="BY271" s="221"/>
    </row>
    <row r="272" spans="1:77">
      <c r="B272" s="74"/>
      <c r="C272" s="81" t="s">
        <v>88</v>
      </c>
      <c r="D272" s="72" t="s">
        <v>1344</v>
      </c>
      <c r="E272" s="227">
        <f t="shared" ref="E272:Z272" si="112">IFERROR(ROUND(E270/E271-1,3),"")</f>
        <v>0.34200000000000003</v>
      </c>
      <c r="F272" s="227">
        <f t="shared" si="112"/>
        <v>0.28699999999999998</v>
      </c>
      <c r="G272" s="227">
        <f t="shared" si="112"/>
        <v>0.14499999999999999</v>
      </c>
      <c r="H272" s="227">
        <f t="shared" si="112"/>
        <v>0.154</v>
      </c>
      <c r="I272" s="227">
        <f t="shared" si="112"/>
        <v>0.159</v>
      </c>
      <c r="J272" s="227">
        <f t="shared" si="112"/>
        <v>0.13100000000000001</v>
      </c>
      <c r="K272" s="227">
        <f t="shared" si="112"/>
        <v>0.183</v>
      </c>
      <c r="L272" s="227">
        <f t="shared" si="112"/>
        <v>0.192</v>
      </c>
      <c r="M272" s="227">
        <f t="shared" si="112"/>
        <v>0.106</v>
      </c>
      <c r="N272" s="227">
        <f t="shared" si="112"/>
        <v>0.14799999999999999</v>
      </c>
      <c r="O272" s="227">
        <f t="shared" si="112"/>
        <v>0.17299999999999999</v>
      </c>
      <c r="P272" s="227">
        <f t="shared" si="112"/>
        <v>0.16800000000000001</v>
      </c>
      <c r="Q272" s="227">
        <f t="shared" si="112"/>
        <v>0.152</v>
      </c>
      <c r="R272" s="227">
        <f t="shared" si="112"/>
        <v>0.20300000000000001</v>
      </c>
      <c r="S272" s="227">
        <f t="shared" si="112"/>
        <v>0.20699999999999999</v>
      </c>
      <c r="T272" s="227">
        <f t="shared" si="112"/>
        <v>0.27800000000000002</v>
      </c>
      <c r="U272" s="227">
        <f t="shared" si="112"/>
        <v>0.153</v>
      </c>
      <c r="V272" s="227">
        <f t="shared" si="112"/>
        <v>0.19</v>
      </c>
      <c r="W272" s="227">
        <f t="shared" si="112"/>
        <v>0.17299999999999999</v>
      </c>
      <c r="X272" s="227">
        <f t="shared" si="112"/>
        <v>0.17799999999999999</v>
      </c>
      <c r="Y272" s="227">
        <f t="shared" si="112"/>
        <v>0.21199999999999999</v>
      </c>
      <c r="Z272" s="227">
        <f t="shared" si="112"/>
        <v>0.22</v>
      </c>
      <c r="AA272" s="72"/>
      <c r="AB272" s="76"/>
      <c r="AC272" s="221"/>
      <c r="AD272" s="221"/>
      <c r="AE272" s="221"/>
      <c r="AF272" s="221"/>
      <c r="AG272" s="221"/>
      <c r="AH272" s="221"/>
      <c r="AI272" s="221"/>
      <c r="AJ272" s="221"/>
      <c r="AK272" s="221"/>
      <c r="AL272" s="221"/>
      <c r="AM272" s="221"/>
      <c r="AN272" s="221"/>
      <c r="AO272" s="221"/>
      <c r="AP272" s="221"/>
      <c r="AQ272" s="221"/>
      <c r="AR272" s="221"/>
      <c r="AS272" s="221"/>
      <c r="AT272" s="221"/>
      <c r="AU272" s="221"/>
      <c r="AV272" s="221"/>
      <c r="AW272" s="221"/>
      <c r="AX272" s="221"/>
      <c r="AY272" s="76"/>
      <c r="AZ272" s="77"/>
      <c r="BA272" s="77"/>
      <c r="BB272" s="78"/>
      <c r="BC272" s="76"/>
      <c r="BD272" s="221"/>
      <c r="BE272" s="221"/>
      <c r="BF272" s="221"/>
      <c r="BG272" s="221"/>
      <c r="BH272" s="221"/>
      <c r="BI272" s="221"/>
      <c r="BJ272" s="221"/>
      <c r="BK272" s="221"/>
      <c r="BL272" s="221"/>
      <c r="BM272" s="221"/>
      <c r="BN272" s="221"/>
      <c r="BO272" s="221"/>
      <c r="BP272" s="221"/>
      <c r="BQ272" s="221"/>
      <c r="BR272" s="221"/>
      <c r="BS272" s="221"/>
      <c r="BT272" s="221"/>
      <c r="BU272" s="221"/>
      <c r="BV272" s="221"/>
      <c r="BW272" s="221"/>
      <c r="BX272" s="221"/>
      <c r="BY272" s="221"/>
    </row>
    <row r="274" spans="2:77">
      <c r="B274" s="74" t="str">
        <f>BA274</f>
        <v>EBITDA - Operating</v>
      </c>
      <c r="C274" s="72" t="s">
        <v>72</v>
      </c>
      <c r="D274" s="224" t="s">
        <v>1342</v>
      </c>
      <c r="E274" s="223">
        <f t="shared" ref="E274:Z274" si="113">AC274</f>
        <v>172.19171274140601</v>
      </c>
      <c r="F274" s="223">
        <f t="shared" si="113"/>
        <v>166.97348725859399</v>
      </c>
      <c r="G274" s="223">
        <f t="shared" si="113"/>
        <v>171.7</v>
      </c>
      <c r="H274" s="223">
        <f t="shared" si="113"/>
        <v>150.5</v>
      </c>
      <c r="I274" s="223">
        <f t="shared" si="113"/>
        <v>153.30000000000001</v>
      </c>
      <c r="J274" s="223">
        <f t="shared" si="113"/>
        <v>47.399000000000001</v>
      </c>
      <c r="K274" s="223">
        <f t="shared" si="113"/>
        <v>117.8</v>
      </c>
      <c r="L274" s="223">
        <f t="shared" si="113"/>
        <v>130.80000000000001</v>
      </c>
      <c r="M274" s="223">
        <f t="shared" si="113"/>
        <v>36.200000000000003</v>
      </c>
      <c r="N274" s="223">
        <f t="shared" si="113"/>
        <v>101.7</v>
      </c>
      <c r="O274" s="223">
        <f t="shared" si="113"/>
        <v>162.4</v>
      </c>
      <c r="P274" s="223">
        <f t="shared" si="113"/>
        <v>147.9</v>
      </c>
      <c r="Q274" s="223">
        <f t="shared" si="113"/>
        <v>150.2900033260814</v>
      </c>
      <c r="R274" s="223">
        <f t="shared" si="113"/>
        <v>152.83680514007941</v>
      </c>
      <c r="S274" s="223">
        <f t="shared" si="113"/>
        <v>167.63176356325721</v>
      </c>
      <c r="T274" s="223">
        <f t="shared" si="113"/>
        <v>169.79839074686569</v>
      </c>
      <c r="U274" s="223">
        <f t="shared" si="113"/>
        <v>174.67918201926969</v>
      </c>
      <c r="V274" s="223">
        <f t="shared" si="113"/>
        <v>172.93447665530229</v>
      </c>
      <c r="W274" s="223">
        <f t="shared" si="113"/>
        <v>182.00887875376301</v>
      </c>
      <c r="X274" s="223">
        <f t="shared" si="113"/>
        <v>179.2149314274543</v>
      </c>
      <c r="Y274" s="223">
        <f t="shared" si="113"/>
        <v>188.19661386007371</v>
      </c>
      <c r="Z274" s="223">
        <f t="shared" si="113"/>
        <v>186.1414107570877</v>
      </c>
      <c r="AA274" s="72"/>
      <c r="AB274" s="76"/>
      <c r="AC274" s="222">
        <v>172.19171274140601</v>
      </c>
      <c r="AD274" s="222">
        <v>166.97348725859399</v>
      </c>
      <c r="AE274" s="222">
        <v>171.7</v>
      </c>
      <c r="AF274" s="222">
        <v>150.5</v>
      </c>
      <c r="AG274" s="222">
        <v>153.30000000000001</v>
      </c>
      <c r="AH274" s="222">
        <v>47.399000000000001</v>
      </c>
      <c r="AI274" s="222">
        <v>117.8</v>
      </c>
      <c r="AJ274" s="222">
        <v>130.80000000000001</v>
      </c>
      <c r="AK274" s="222">
        <v>36.200000000000003</v>
      </c>
      <c r="AL274" s="222">
        <v>101.7</v>
      </c>
      <c r="AM274" s="222">
        <v>162.4</v>
      </c>
      <c r="AN274" s="222">
        <v>147.9</v>
      </c>
      <c r="AO274" s="222">
        <v>150.2900033260814</v>
      </c>
      <c r="AP274" s="222">
        <v>152.83680514007941</v>
      </c>
      <c r="AQ274" s="222">
        <v>167.63176356325721</v>
      </c>
      <c r="AR274" s="222">
        <v>169.79839074686569</v>
      </c>
      <c r="AS274" s="222">
        <v>174.67918201926969</v>
      </c>
      <c r="AT274" s="222">
        <v>172.93447665530229</v>
      </c>
      <c r="AU274" s="222">
        <v>182.00887875376301</v>
      </c>
      <c r="AV274" s="222">
        <v>179.2149314274543</v>
      </c>
      <c r="AW274" s="222">
        <v>188.19661386007371</v>
      </c>
      <c r="AX274" s="222">
        <v>186.1414107570877</v>
      </c>
      <c r="AY274" s="76"/>
      <c r="AZ274" s="77" t="s">
        <v>1259</v>
      </c>
      <c r="BA274" s="77" t="s">
        <v>1262</v>
      </c>
      <c r="BB274" s="78" t="s">
        <v>1261</v>
      </c>
      <c r="BC274" s="76"/>
      <c r="BD274" s="79">
        <f>_xll.VAData($AZ274,BD$2,$BA274,$BB274)</f>
        <v>172.43964092675751</v>
      </c>
      <c r="BE274" s="79">
        <f>_xll.VAData($AZ274,BE$2,$BA274,$BB274)</f>
        <v>166.96685907324249</v>
      </c>
      <c r="BF274" s="79">
        <f>_xll.VAData($AZ274,BF$2,$BA274,$BB274)</f>
        <v>171.7</v>
      </c>
      <c r="BG274" s="79">
        <f>_xll.VAData($AZ274,BG$2,$BA274,$BB274)</f>
        <v>150.5</v>
      </c>
      <c r="BH274" s="79">
        <f>_xll.VAData($AZ274,BH$2,$BA274,$BB274)</f>
        <v>153.30000000000001</v>
      </c>
      <c r="BI274" s="79">
        <f>_xll.VAData($AZ274,BI$2,$BA274,$BB274)</f>
        <v>47.4</v>
      </c>
      <c r="BJ274" s="79">
        <f>_xll.VAData($AZ274,BJ$2,$BA274,$BB274)</f>
        <v>117.8</v>
      </c>
      <c r="BK274" s="79">
        <f>_xll.VAData($AZ274,BK$2,$BA274,$BB274)</f>
        <v>130.80000000000001</v>
      </c>
      <c r="BL274" s="79">
        <f>_xll.VAData($AZ274,BL$2,$BA274,$BB274)</f>
        <v>36.200000000000003</v>
      </c>
      <c r="BM274" s="79">
        <f>_xll.VAData($AZ274,BM$2,$BA274,$BB274)</f>
        <v>101.7</v>
      </c>
      <c r="BN274" s="79">
        <f>_xll.VAData($AZ274,BN$2,$BA274,$BB274)</f>
        <v>161.80000000000001</v>
      </c>
      <c r="BO274" s="79">
        <f>_xll.VAData($AZ274,BO$2,$BA274,$BB274)</f>
        <v>140</v>
      </c>
      <c r="BP274" s="79">
        <f>_xll.VAData($AZ274,BP$2,$BA274,$BB274)</f>
        <v>144.25346462505101</v>
      </c>
      <c r="BQ274" s="79">
        <f>_xll.VAData($AZ274,BQ$2,$BA274,$BB274)</f>
        <v>133.5</v>
      </c>
      <c r="BR274" s="79">
        <f>_xll.VAData($AZ274,BR$2,$BA274,$BB274)</f>
        <v>119.529</v>
      </c>
      <c r="BS274" s="79">
        <f>_xll.VAData($AZ274,BS$2,$BA274,$BB274)</f>
        <v>114.2</v>
      </c>
      <c r="BT274" s="79">
        <f>_xll.VAData($AZ274,BT$2,$BA274,$BB274)</f>
        <v>85.5</v>
      </c>
      <c r="BU274" s="79">
        <f>_xll.VAData($AZ274,BU$2,$BA274,$BB274)</f>
        <v>96.1</v>
      </c>
      <c r="BV274" s="79">
        <f>_xll.VAData($AZ274,BV$2,$BA274,$BB274)</f>
        <v>88.991616558548074</v>
      </c>
      <c r="BW274" s="79">
        <f>_xll.VAData($AZ274,BW$2,$BA274,$BB274)</f>
        <v>93.164145194990581</v>
      </c>
      <c r="BX274" s="79">
        <f>_xll.VAData($AZ274,BX$2,$BA274,$BB274)</f>
        <v>101.74954976223093</v>
      </c>
      <c r="BY274" s="79">
        <f>_xll.VAData($AZ274,BY$2,$BA274,$BB274)</f>
        <v>107.66073749423234</v>
      </c>
    </row>
    <row r="275" spans="2:77">
      <c r="B275" s="74"/>
      <c r="C275" s="72" t="s">
        <v>72</v>
      </c>
      <c r="D275" s="225" t="s">
        <v>1343</v>
      </c>
      <c r="E275" s="226" t="e">
        <f>HY!#REF!</f>
        <v>#REF!</v>
      </c>
      <c r="F275" s="226" t="e">
        <f>HY!#REF!</f>
        <v>#REF!</v>
      </c>
      <c r="G275" s="226" t="e">
        <f>HY!#REF!</f>
        <v>#REF!</v>
      </c>
      <c r="H275" s="226" t="e">
        <f>HY!#REF!</f>
        <v>#REF!</v>
      </c>
      <c r="I275" s="226" t="e">
        <f>HY!#REF!</f>
        <v>#REF!</v>
      </c>
      <c r="J275" s="226" t="e">
        <f>HY!#REF!</f>
        <v>#REF!</v>
      </c>
      <c r="K275" s="226" t="e">
        <f>HY!#REF!</f>
        <v>#REF!</v>
      </c>
      <c r="L275" s="226" t="e">
        <f>HY!#REF!</f>
        <v>#REF!</v>
      </c>
      <c r="M275" s="226" t="e">
        <f>HY!#REF!</f>
        <v>#REF!</v>
      </c>
      <c r="N275" s="226" t="e">
        <f>HY!#REF!</f>
        <v>#REF!</v>
      </c>
      <c r="O275" s="226" t="e">
        <f>HY!#REF!</f>
        <v>#REF!</v>
      </c>
      <c r="P275" s="226" t="e">
        <f>HY!#REF!</f>
        <v>#REF!</v>
      </c>
      <c r="Q275" s="226" t="e">
        <f>HY!#REF!</f>
        <v>#REF!</v>
      </c>
      <c r="R275" s="226" t="e">
        <f>HY!#REF!</f>
        <v>#REF!</v>
      </c>
      <c r="S275" s="226" t="e">
        <f>HY!#REF!</f>
        <v>#REF!</v>
      </c>
      <c r="T275" s="226" t="e">
        <f>HY!#REF!</f>
        <v>#REF!</v>
      </c>
      <c r="U275" s="226" t="e">
        <f>HY!#REF!</f>
        <v>#REF!</v>
      </c>
      <c r="V275" s="226" t="e">
        <f>HY!#REF!</f>
        <v>#REF!</v>
      </c>
      <c r="W275" s="226" t="e">
        <f>HY!#REF!</f>
        <v>#REF!</v>
      </c>
      <c r="X275" s="226" t="e">
        <f>HY!#REF!</f>
        <v>#REF!</v>
      </c>
      <c r="Y275" s="226" t="e">
        <f>HY!#REF!</f>
        <v>#REF!</v>
      </c>
      <c r="Z275" s="226" t="e">
        <f>HY!#REF!</f>
        <v>#REF!</v>
      </c>
      <c r="AA275" s="72"/>
      <c r="AB275" s="76"/>
      <c r="AC275" s="221"/>
      <c r="AD275" s="221"/>
      <c r="AE275" s="221"/>
      <c r="AF275" s="221"/>
      <c r="AG275" s="221"/>
      <c r="AH275" s="221"/>
      <c r="AI275" s="221"/>
      <c r="AJ275" s="221"/>
      <c r="AK275" s="221"/>
      <c r="AL275" s="221"/>
      <c r="AM275" s="221"/>
      <c r="AN275" s="221"/>
      <c r="AO275" s="221"/>
      <c r="AP275" s="221"/>
      <c r="AQ275" s="221"/>
      <c r="AR275" s="221"/>
      <c r="AS275" s="221"/>
      <c r="AT275" s="221"/>
      <c r="AU275" s="221"/>
      <c r="AV275" s="221"/>
      <c r="AW275" s="221"/>
      <c r="AX275" s="221"/>
      <c r="AY275" s="76"/>
      <c r="AZ275" s="77"/>
      <c r="BA275" s="77"/>
      <c r="BB275" s="78"/>
      <c r="BC275" s="76"/>
      <c r="BD275" s="221"/>
      <c r="BE275" s="221"/>
      <c r="BF275" s="221"/>
      <c r="BG275" s="221"/>
      <c r="BH275" s="221"/>
      <c r="BI275" s="221"/>
      <c r="BJ275" s="221"/>
      <c r="BK275" s="221"/>
      <c r="BL275" s="221"/>
      <c r="BM275" s="221"/>
      <c r="BN275" s="221"/>
      <c r="BO275" s="221"/>
      <c r="BP275" s="221"/>
      <c r="BQ275" s="221"/>
      <c r="BR275" s="221"/>
      <c r="BS275" s="221"/>
      <c r="BT275" s="221"/>
      <c r="BU275" s="221"/>
      <c r="BV275" s="221"/>
      <c r="BW275" s="221"/>
      <c r="BX275" s="221"/>
      <c r="BY275" s="221"/>
    </row>
    <row r="276" spans="2:77">
      <c r="B276" s="74"/>
      <c r="C276" s="81" t="s">
        <v>88</v>
      </c>
      <c r="D276" s="72" t="s">
        <v>1344</v>
      </c>
      <c r="E276" s="227" t="str">
        <f t="shared" ref="E276:Z276" si="114">IFERROR(ROUND(E274/E275-1,3),"")</f>
        <v/>
      </c>
      <c r="F276" s="227" t="str">
        <f t="shared" si="114"/>
        <v/>
      </c>
      <c r="G276" s="227" t="str">
        <f t="shared" si="114"/>
        <v/>
      </c>
      <c r="H276" s="227" t="str">
        <f t="shared" si="114"/>
        <v/>
      </c>
      <c r="I276" s="227" t="str">
        <f t="shared" si="114"/>
        <v/>
      </c>
      <c r="J276" s="227" t="str">
        <f t="shared" si="114"/>
        <v/>
      </c>
      <c r="K276" s="227" t="str">
        <f t="shared" si="114"/>
        <v/>
      </c>
      <c r="L276" s="227" t="str">
        <f t="shared" si="114"/>
        <v/>
      </c>
      <c r="M276" s="227" t="str">
        <f t="shared" si="114"/>
        <v/>
      </c>
      <c r="N276" s="227" t="str">
        <f t="shared" si="114"/>
        <v/>
      </c>
      <c r="O276" s="227" t="str">
        <f t="shared" si="114"/>
        <v/>
      </c>
      <c r="P276" s="227" t="str">
        <f t="shared" si="114"/>
        <v/>
      </c>
      <c r="Q276" s="227" t="str">
        <f t="shared" si="114"/>
        <v/>
      </c>
      <c r="R276" s="227" t="str">
        <f t="shared" si="114"/>
        <v/>
      </c>
      <c r="S276" s="227" t="str">
        <f t="shared" si="114"/>
        <v/>
      </c>
      <c r="T276" s="227" t="str">
        <f t="shared" si="114"/>
        <v/>
      </c>
      <c r="U276" s="227" t="str">
        <f t="shared" si="114"/>
        <v/>
      </c>
      <c r="V276" s="227" t="str">
        <f t="shared" si="114"/>
        <v/>
      </c>
      <c r="W276" s="227" t="str">
        <f t="shared" si="114"/>
        <v/>
      </c>
      <c r="X276" s="227" t="str">
        <f t="shared" si="114"/>
        <v/>
      </c>
      <c r="Y276" s="227" t="str">
        <f t="shared" si="114"/>
        <v/>
      </c>
      <c r="Z276" s="227" t="str">
        <f t="shared" si="114"/>
        <v/>
      </c>
      <c r="AA276" s="72"/>
      <c r="AB276" s="76"/>
      <c r="AC276" s="221"/>
      <c r="AD276" s="221"/>
      <c r="AE276" s="221"/>
      <c r="AF276" s="221"/>
      <c r="AG276" s="221"/>
      <c r="AH276" s="221"/>
      <c r="AI276" s="221"/>
      <c r="AJ276" s="221"/>
      <c r="AK276" s="221"/>
      <c r="AL276" s="221"/>
      <c r="AM276" s="221"/>
      <c r="AN276" s="221"/>
      <c r="AO276" s="221"/>
      <c r="AP276" s="221"/>
      <c r="AQ276" s="221"/>
      <c r="AR276" s="221"/>
      <c r="AS276" s="221"/>
      <c r="AT276" s="221"/>
      <c r="AU276" s="221"/>
      <c r="AV276" s="221"/>
      <c r="AW276" s="221"/>
      <c r="AX276" s="221"/>
      <c r="AY276" s="76"/>
      <c r="AZ276" s="77"/>
      <c r="BA276" s="77"/>
      <c r="BB276" s="78"/>
      <c r="BC276" s="76"/>
      <c r="BD276" s="221"/>
      <c r="BE276" s="221"/>
      <c r="BF276" s="221"/>
      <c r="BG276" s="221"/>
      <c r="BH276" s="221"/>
      <c r="BI276" s="221"/>
      <c r="BJ276" s="221"/>
      <c r="BK276" s="221"/>
      <c r="BL276" s="221"/>
      <c r="BM276" s="221"/>
      <c r="BN276" s="221"/>
      <c r="BO276" s="221"/>
      <c r="BP276" s="221"/>
      <c r="BQ276" s="221"/>
      <c r="BR276" s="221"/>
      <c r="BS276" s="221"/>
      <c r="BT276" s="221"/>
      <c r="BU276" s="221"/>
      <c r="BV276" s="221"/>
      <c r="BW276" s="221"/>
      <c r="BX276" s="221"/>
      <c r="BY276" s="221"/>
    </row>
    <row r="278" spans="2:77">
      <c r="B278" s="74" t="str">
        <f>BA278</f>
        <v>Depreciation &amp; amortisation - Operating</v>
      </c>
      <c r="C278" s="72" t="s">
        <v>72</v>
      </c>
      <c r="D278" s="224" t="s">
        <v>1342</v>
      </c>
      <c r="E278" s="223">
        <f t="shared" ref="E278:Z278" si="115">AC278</f>
        <v>-47.110817091461932</v>
      </c>
      <c r="F278" s="223">
        <f t="shared" si="115"/>
        <v>-47.264182908538068</v>
      </c>
      <c r="G278" s="223">
        <f t="shared" si="115"/>
        <v>-40.700000000000003</v>
      </c>
      <c r="H278" s="223">
        <f t="shared" si="115"/>
        <v>-39.200000000000003</v>
      </c>
      <c r="I278" s="223">
        <f t="shared" si="115"/>
        <v>-41.5</v>
      </c>
      <c r="J278" s="223">
        <f t="shared" si="115"/>
        <v>-45.098999999999997</v>
      </c>
      <c r="K278" s="223">
        <f t="shared" si="115"/>
        <v>-41</v>
      </c>
      <c r="L278" s="223">
        <f t="shared" si="115"/>
        <v>-47.4</v>
      </c>
      <c r="M278" s="223">
        <f t="shared" si="115"/>
        <v>-47.8</v>
      </c>
      <c r="N278" s="223">
        <f t="shared" si="115"/>
        <v>-46.9</v>
      </c>
      <c r="O278" s="223">
        <f t="shared" si="115"/>
        <v>-45.4</v>
      </c>
      <c r="P278" s="223">
        <f t="shared" si="115"/>
        <v>-45.303400000000018</v>
      </c>
      <c r="Q278" s="223">
        <f t="shared" si="115"/>
        <v>-45.698873695330761</v>
      </c>
      <c r="R278" s="223">
        <f t="shared" si="115"/>
        <v>-48.297853853601659</v>
      </c>
      <c r="S278" s="223">
        <f t="shared" si="115"/>
        <v>-50.129937613933301</v>
      </c>
      <c r="T278" s="223">
        <f t="shared" si="115"/>
        <v>-52.626790508552403</v>
      </c>
      <c r="U278" s="223">
        <f t="shared" si="115"/>
        <v>-51.346417279349502</v>
      </c>
      <c r="V278" s="223">
        <f t="shared" si="115"/>
        <v>-53.706266350070067</v>
      </c>
      <c r="W278" s="223">
        <f t="shared" si="115"/>
        <v>-52.133439627347769</v>
      </c>
      <c r="X278" s="223">
        <f t="shared" si="115"/>
        <v>-54.538422113829228</v>
      </c>
      <c r="Y278" s="223">
        <f t="shared" si="115"/>
        <v>-53.011238000427333</v>
      </c>
      <c r="Z278" s="223">
        <f t="shared" si="115"/>
        <v>-55.409140431915731</v>
      </c>
      <c r="AA278" s="72"/>
      <c r="AB278" s="76"/>
      <c r="AC278" s="222">
        <v>-47.110817091461932</v>
      </c>
      <c r="AD278" s="222">
        <v>-47.264182908538068</v>
      </c>
      <c r="AE278" s="222">
        <v>-40.700000000000003</v>
      </c>
      <c r="AF278" s="222">
        <v>-39.200000000000003</v>
      </c>
      <c r="AG278" s="222">
        <v>-41.5</v>
      </c>
      <c r="AH278" s="222">
        <v>-45.098999999999997</v>
      </c>
      <c r="AI278" s="222">
        <v>-41</v>
      </c>
      <c r="AJ278" s="222">
        <v>-47.4</v>
      </c>
      <c r="AK278" s="222">
        <v>-47.8</v>
      </c>
      <c r="AL278" s="222">
        <v>-46.9</v>
      </c>
      <c r="AM278" s="222">
        <v>-45.4</v>
      </c>
      <c r="AN278" s="222">
        <v>-45.303400000000018</v>
      </c>
      <c r="AO278" s="222">
        <v>-45.698873695330761</v>
      </c>
      <c r="AP278" s="222">
        <v>-48.297853853601659</v>
      </c>
      <c r="AQ278" s="222">
        <v>-50.129937613933301</v>
      </c>
      <c r="AR278" s="222">
        <v>-52.626790508552403</v>
      </c>
      <c r="AS278" s="222">
        <v>-51.346417279349502</v>
      </c>
      <c r="AT278" s="222">
        <v>-53.706266350070067</v>
      </c>
      <c r="AU278" s="222">
        <v>-52.133439627347769</v>
      </c>
      <c r="AV278" s="222">
        <v>-54.538422113829228</v>
      </c>
      <c r="AW278" s="222">
        <v>-53.011238000427333</v>
      </c>
      <c r="AX278" s="222">
        <v>-55.409140431915731</v>
      </c>
      <c r="AY278" s="76"/>
      <c r="AZ278" s="77" t="s">
        <v>1259</v>
      </c>
      <c r="BA278" s="77" t="s">
        <v>1390</v>
      </c>
      <c r="BB278" s="78" t="s">
        <v>1261</v>
      </c>
      <c r="BC278" s="76"/>
      <c r="BD278" s="79">
        <f>-_xll.VAData($AZ278,BD$2,$BA278,$BB278)</f>
        <v>-40.144032360219903</v>
      </c>
      <c r="BE278" s="79">
        <f>-_xll.VAData($AZ278,BE$2,$BA278,$BB278)</f>
        <v>-54.230967639780097</v>
      </c>
      <c r="BF278" s="79">
        <f>-_xll.VAData($AZ278,BF$2,$BA278,$BB278)</f>
        <v>-40.700000000000003</v>
      </c>
      <c r="BG278" s="79">
        <f>-_xll.VAData($AZ278,BG$2,$BA278,$BB278)</f>
        <v>-39.200000000000003</v>
      </c>
      <c r="BH278" s="79">
        <f>-_xll.VAData($AZ278,BH$2,$BA278,$BB278)</f>
        <v>-41.5</v>
      </c>
      <c r="BI278" s="79">
        <f>-_xll.VAData($AZ278,BI$2,$BA278,$BB278)</f>
        <v>-45.1</v>
      </c>
      <c r="BJ278" s="79">
        <f>-_xll.VAData($AZ278,BJ$2,$BA278,$BB278)</f>
        <v>-41</v>
      </c>
      <c r="BK278" s="79">
        <f>-_xll.VAData($AZ278,BK$2,$BA278,$BB278)</f>
        <v>-47.4</v>
      </c>
      <c r="BL278" s="79">
        <f>-_xll.VAData($AZ278,BL$2,$BA278,$BB278)</f>
        <v>-47.8</v>
      </c>
      <c r="BM278" s="79">
        <f>-_xll.VAData($AZ278,BM$2,$BA278,$BB278)</f>
        <v>-46.9</v>
      </c>
      <c r="BN278" s="79">
        <f>-_xll.VAData($AZ278,BN$2,$BA278,$BB278)</f>
        <v>-45.432833333333335</v>
      </c>
      <c r="BO278" s="79">
        <f>-_xll.VAData($AZ278,BO$2,$BA278,$BB278)</f>
        <v>-45.255499999999998</v>
      </c>
      <c r="BP278" s="79">
        <f>-_xll.VAData($AZ278,BP$2,$BA278,$BB278)</f>
        <v>-44.263500000000001</v>
      </c>
      <c r="BQ278" s="79">
        <f>-_xll.VAData($AZ278,BQ$2,$BA278,$BB278)</f>
        <v>-47.747666666666667</v>
      </c>
      <c r="BR278" s="79">
        <f>-_xll.VAData($AZ278,BR$2,$BA278,$BB278)</f>
        <v>-45.331879999999998</v>
      </c>
      <c r="BS278" s="79">
        <f>-_xll.VAData($AZ278,BS$2,$BA278,$BB278)</f>
        <v>-48.9</v>
      </c>
      <c r="BT278" s="79">
        <f>-_xll.VAData($AZ278,BT$2,$BA278,$BB278)</f>
        <v>-49.88</v>
      </c>
      <c r="BU278" s="79">
        <f>-_xll.VAData($AZ278,BU$2,$BA278,$BB278)</f>
        <v>-55.2</v>
      </c>
      <c r="BV278" s="79">
        <f>-_xll.VAData($AZ278,BV$2,$BA278,$BB278)</f>
        <v>-59.858861941504856</v>
      </c>
      <c r="BW278" s="79">
        <f>-_xll.VAData($AZ278,BW$2,$BA278,$BB278)</f>
        <v>-58.824141391811089</v>
      </c>
      <c r="BX278" s="79">
        <f>-_xll.VAData($AZ278,BX$2,$BA278,$BB278)</f>
        <v>-56.491424830258445</v>
      </c>
      <c r="BY278" s="79">
        <f>-_xll.VAData($AZ278,BY$2,$BA278,$BB278)</f>
        <v>-55.762484400308658</v>
      </c>
    </row>
    <row r="279" spans="2:77">
      <c r="B279" s="74"/>
      <c r="C279" s="72" t="s">
        <v>72</v>
      </c>
      <c r="D279" s="225" t="s">
        <v>1343</v>
      </c>
      <c r="E279" s="226" t="e">
        <f>HY!#REF!+HY!#REF!</f>
        <v>#REF!</v>
      </c>
      <c r="F279" s="226" t="e">
        <f>HY!#REF!+HY!#REF!</f>
        <v>#REF!</v>
      </c>
      <c r="G279" s="226" t="e">
        <f>HY!#REF!+HY!#REF!</f>
        <v>#REF!</v>
      </c>
      <c r="H279" s="226" t="e">
        <f>HY!#REF!+HY!#REF!</f>
        <v>#REF!</v>
      </c>
      <c r="I279" s="226" t="e">
        <f>HY!#REF!+HY!#REF!</f>
        <v>#REF!</v>
      </c>
      <c r="J279" s="226" t="e">
        <f>HY!#REF!+HY!#REF!</f>
        <v>#REF!</v>
      </c>
      <c r="K279" s="226" t="e">
        <f>HY!#REF!+HY!#REF!</f>
        <v>#REF!</v>
      </c>
      <c r="L279" s="226" t="e">
        <f>HY!#REF!+HY!#REF!</f>
        <v>#REF!</v>
      </c>
      <c r="M279" s="226" t="e">
        <f>HY!#REF!+HY!#REF!</f>
        <v>#REF!</v>
      </c>
      <c r="N279" s="226" t="e">
        <f>HY!#REF!+HY!#REF!</f>
        <v>#REF!</v>
      </c>
      <c r="O279" s="226" t="e">
        <f>HY!#REF!+HY!#REF!</f>
        <v>#REF!</v>
      </c>
      <c r="P279" s="226" t="e">
        <f>HY!#REF!+HY!#REF!</f>
        <v>#REF!</v>
      </c>
      <c r="Q279" s="226" t="e">
        <f>HY!#REF!+HY!#REF!</f>
        <v>#REF!</v>
      </c>
      <c r="R279" s="226" t="e">
        <f>HY!#REF!+HY!#REF!</f>
        <v>#REF!</v>
      </c>
      <c r="S279" s="226" t="e">
        <f>HY!#REF!+HY!#REF!</f>
        <v>#REF!</v>
      </c>
      <c r="T279" s="226" t="e">
        <f>HY!#REF!+HY!#REF!</f>
        <v>#REF!</v>
      </c>
      <c r="U279" s="226" t="e">
        <f>HY!#REF!+HY!#REF!</f>
        <v>#REF!</v>
      </c>
      <c r="V279" s="226" t="e">
        <f>HY!#REF!+HY!#REF!</f>
        <v>#REF!</v>
      </c>
      <c r="W279" s="226" t="e">
        <f>HY!#REF!+HY!#REF!</f>
        <v>#REF!</v>
      </c>
      <c r="X279" s="226" t="e">
        <f>HY!#REF!+HY!#REF!</f>
        <v>#REF!</v>
      </c>
      <c r="Y279" s="226" t="e">
        <f>HY!#REF!+HY!#REF!</f>
        <v>#REF!</v>
      </c>
      <c r="Z279" s="226" t="e">
        <f>HY!#REF!+HY!#REF!</f>
        <v>#REF!</v>
      </c>
      <c r="AA279" s="72"/>
      <c r="AB279" s="76"/>
      <c r="AC279" s="221"/>
      <c r="AD279" s="221"/>
      <c r="AE279" s="221"/>
      <c r="AF279" s="221"/>
      <c r="AG279" s="221"/>
      <c r="AH279" s="221"/>
      <c r="AI279" s="221"/>
      <c r="AJ279" s="221"/>
      <c r="AK279" s="221"/>
      <c r="AL279" s="221"/>
      <c r="AM279" s="221"/>
      <c r="AN279" s="221"/>
      <c r="AO279" s="221"/>
      <c r="AP279" s="221"/>
      <c r="AQ279" s="221"/>
      <c r="AR279" s="221"/>
      <c r="AS279" s="221"/>
      <c r="AT279" s="221"/>
      <c r="AU279" s="221"/>
      <c r="AV279" s="221"/>
      <c r="AW279" s="221"/>
      <c r="AX279" s="221"/>
      <c r="AY279" s="76"/>
      <c r="AZ279" s="77"/>
      <c r="BA279" s="77"/>
      <c r="BB279" s="78"/>
      <c r="BC279" s="76"/>
      <c r="BD279" s="221"/>
      <c r="BE279" s="221"/>
      <c r="BF279" s="221"/>
      <c r="BG279" s="221"/>
      <c r="BH279" s="221"/>
      <c r="BI279" s="221"/>
      <c r="BJ279" s="221"/>
      <c r="BK279" s="221"/>
      <c r="BL279" s="221"/>
      <c r="BM279" s="221"/>
      <c r="BN279" s="221"/>
      <c r="BO279" s="221"/>
      <c r="BP279" s="221"/>
      <c r="BQ279" s="221"/>
      <c r="BR279" s="221"/>
      <c r="BS279" s="221"/>
      <c r="BT279" s="221"/>
      <c r="BU279" s="221"/>
      <c r="BV279" s="221"/>
      <c r="BW279" s="221"/>
      <c r="BX279" s="221"/>
      <c r="BY279" s="221"/>
    </row>
    <row r="280" spans="2:77">
      <c r="B280" s="74"/>
      <c r="C280" s="81" t="s">
        <v>88</v>
      </c>
      <c r="D280" s="72" t="s">
        <v>1344</v>
      </c>
      <c r="E280" s="227" t="str">
        <f t="shared" ref="E280:Z280" si="116">IFERROR(ROUND(E278/E279-1,3),"")</f>
        <v/>
      </c>
      <c r="F280" s="227" t="str">
        <f t="shared" si="116"/>
        <v/>
      </c>
      <c r="G280" s="227" t="str">
        <f t="shared" si="116"/>
        <v/>
      </c>
      <c r="H280" s="227" t="str">
        <f t="shared" si="116"/>
        <v/>
      </c>
      <c r="I280" s="227" t="str">
        <f t="shared" si="116"/>
        <v/>
      </c>
      <c r="J280" s="227" t="str">
        <f t="shared" si="116"/>
        <v/>
      </c>
      <c r="K280" s="227" t="str">
        <f t="shared" si="116"/>
        <v/>
      </c>
      <c r="L280" s="227" t="str">
        <f t="shared" si="116"/>
        <v/>
      </c>
      <c r="M280" s="227" t="str">
        <f t="shared" si="116"/>
        <v/>
      </c>
      <c r="N280" s="227" t="str">
        <f t="shared" si="116"/>
        <v/>
      </c>
      <c r="O280" s="227" t="str">
        <f t="shared" si="116"/>
        <v/>
      </c>
      <c r="P280" s="227" t="str">
        <f t="shared" si="116"/>
        <v/>
      </c>
      <c r="Q280" s="227" t="str">
        <f t="shared" si="116"/>
        <v/>
      </c>
      <c r="R280" s="227" t="str">
        <f t="shared" si="116"/>
        <v/>
      </c>
      <c r="S280" s="227" t="str">
        <f t="shared" si="116"/>
        <v/>
      </c>
      <c r="T280" s="227" t="str">
        <f t="shared" si="116"/>
        <v/>
      </c>
      <c r="U280" s="227" t="str">
        <f t="shared" si="116"/>
        <v/>
      </c>
      <c r="V280" s="227" t="str">
        <f t="shared" si="116"/>
        <v/>
      </c>
      <c r="W280" s="227" t="str">
        <f t="shared" si="116"/>
        <v/>
      </c>
      <c r="X280" s="227" t="str">
        <f t="shared" si="116"/>
        <v/>
      </c>
      <c r="Y280" s="227" t="str">
        <f t="shared" si="116"/>
        <v/>
      </c>
      <c r="Z280" s="227" t="str">
        <f t="shared" si="116"/>
        <v/>
      </c>
      <c r="AA280" s="72"/>
      <c r="AB280" s="76"/>
      <c r="AC280" s="221"/>
      <c r="AD280" s="221"/>
      <c r="AE280" s="221"/>
      <c r="AF280" s="221"/>
      <c r="AG280" s="221"/>
      <c r="AH280" s="221"/>
      <c r="AI280" s="221"/>
      <c r="AJ280" s="221"/>
      <c r="AK280" s="221"/>
      <c r="AL280" s="221"/>
      <c r="AM280" s="221"/>
      <c r="AN280" s="221"/>
      <c r="AO280" s="221"/>
      <c r="AP280" s="221"/>
      <c r="AQ280" s="221"/>
      <c r="AR280" s="221"/>
      <c r="AS280" s="221"/>
      <c r="AT280" s="221"/>
      <c r="AU280" s="221"/>
      <c r="AV280" s="221"/>
      <c r="AW280" s="221"/>
      <c r="AX280" s="221"/>
      <c r="AY280" s="76"/>
      <c r="AZ280" s="77"/>
      <c r="BA280" s="77"/>
      <c r="BB280" s="78"/>
      <c r="BC280" s="76"/>
      <c r="BD280" s="221"/>
      <c r="BE280" s="221"/>
      <c r="BF280" s="221"/>
      <c r="BG280" s="221"/>
      <c r="BH280" s="221"/>
      <c r="BI280" s="221"/>
      <c r="BJ280" s="221"/>
      <c r="BK280" s="221"/>
      <c r="BL280" s="221"/>
      <c r="BM280" s="221"/>
      <c r="BN280" s="221"/>
      <c r="BO280" s="221"/>
      <c r="BP280" s="221"/>
      <c r="BQ280" s="221"/>
      <c r="BR280" s="221"/>
      <c r="BS280" s="221"/>
      <c r="BT280" s="221"/>
      <c r="BU280" s="221"/>
      <c r="BV280" s="221"/>
      <c r="BW280" s="221"/>
      <c r="BX280" s="221"/>
      <c r="BY280" s="221"/>
    </row>
    <row r="282" spans="2:77">
      <c r="B282" s="74" t="str">
        <f>BA282</f>
        <v>Operating income/(loss) - Operating</v>
      </c>
      <c r="C282" s="72" t="s">
        <v>72</v>
      </c>
      <c r="D282" s="224" t="s">
        <v>1342</v>
      </c>
      <c r="E282" s="223">
        <f t="shared" ref="E282:Z282" si="117">AC282</f>
        <v>127.507112741406</v>
      </c>
      <c r="F282" s="223">
        <f t="shared" si="117"/>
        <v>119.7026761647045</v>
      </c>
      <c r="G282" s="223">
        <f t="shared" si="117"/>
        <v>131</v>
      </c>
      <c r="H282" s="223">
        <f t="shared" si="117"/>
        <v>111.4</v>
      </c>
      <c r="I282" s="223">
        <f t="shared" si="117"/>
        <v>111.8</v>
      </c>
      <c r="J282" s="223">
        <f t="shared" si="117"/>
        <v>2.4</v>
      </c>
      <c r="K282" s="223">
        <f t="shared" si="117"/>
        <v>76.7</v>
      </c>
      <c r="L282" s="223">
        <f t="shared" si="117"/>
        <v>83.4</v>
      </c>
      <c r="M282" s="223">
        <f t="shared" si="117"/>
        <v>-11.6</v>
      </c>
      <c r="N282" s="223">
        <f t="shared" si="117"/>
        <v>54.8</v>
      </c>
      <c r="O282" s="223">
        <f t="shared" si="117"/>
        <v>117</v>
      </c>
      <c r="P282" s="223">
        <f t="shared" si="117"/>
        <v>102.6</v>
      </c>
      <c r="Q282" s="223">
        <f t="shared" si="117"/>
        <v>104.5911296307503</v>
      </c>
      <c r="R282" s="223">
        <f t="shared" si="117"/>
        <v>104.5389512864775</v>
      </c>
      <c r="S282" s="223">
        <f t="shared" si="117"/>
        <v>117.5018259493235</v>
      </c>
      <c r="T282" s="223">
        <f t="shared" si="117"/>
        <v>117.1716002383132</v>
      </c>
      <c r="U282" s="223">
        <f t="shared" si="117"/>
        <v>123.33276473992029</v>
      </c>
      <c r="V282" s="223">
        <f t="shared" si="117"/>
        <v>119.2282103052323</v>
      </c>
      <c r="W282" s="223">
        <f t="shared" si="117"/>
        <v>129.8754391264153</v>
      </c>
      <c r="X282" s="223">
        <f t="shared" si="117"/>
        <v>124.676509313625</v>
      </c>
      <c r="Y282" s="223">
        <f t="shared" si="117"/>
        <v>135.18537585964631</v>
      </c>
      <c r="Z282" s="223">
        <f t="shared" si="117"/>
        <v>130.73227032517201</v>
      </c>
      <c r="AA282" s="72"/>
      <c r="AB282" s="76"/>
      <c r="AC282" s="222">
        <v>127.507112741406</v>
      </c>
      <c r="AD282" s="222">
        <v>119.7026761647045</v>
      </c>
      <c r="AE282" s="222">
        <v>131</v>
      </c>
      <c r="AF282" s="222">
        <v>111.4</v>
      </c>
      <c r="AG282" s="222">
        <v>111.8</v>
      </c>
      <c r="AH282" s="222">
        <v>2.4</v>
      </c>
      <c r="AI282" s="222">
        <v>76.7</v>
      </c>
      <c r="AJ282" s="222">
        <v>83.4</v>
      </c>
      <c r="AK282" s="222">
        <v>-11.6</v>
      </c>
      <c r="AL282" s="222">
        <v>54.8</v>
      </c>
      <c r="AM282" s="222">
        <v>117</v>
      </c>
      <c r="AN282" s="222">
        <v>102.6</v>
      </c>
      <c r="AO282" s="222">
        <v>104.5911296307503</v>
      </c>
      <c r="AP282" s="222">
        <v>104.5389512864775</v>
      </c>
      <c r="AQ282" s="222">
        <v>117.5018259493235</v>
      </c>
      <c r="AR282" s="222">
        <v>117.1716002383132</v>
      </c>
      <c r="AS282" s="222">
        <v>123.33276473992029</v>
      </c>
      <c r="AT282" s="222">
        <v>119.2282103052323</v>
      </c>
      <c r="AU282" s="222">
        <v>129.8754391264153</v>
      </c>
      <c r="AV282" s="222">
        <v>124.676509313625</v>
      </c>
      <c r="AW282" s="222">
        <v>135.18537585964631</v>
      </c>
      <c r="AX282" s="222">
        <v>130.73227032517201</v>
      </c>
      <c r="AY282" s="76"/>
      <c r="AZ282" s="77" t="s">
        <v>1259</v>
      </c>
      <c r="BA282" s="77" t="s">
        <v>1263</v>
      </c>
      <c r="BB282" s="78" t="s">
        <v>1261</v>
      </c>
      <c r="BC282" s="76"/>
      <c r="BD282" s="79">
        <f>_xll.VAData($AZ282,BD$2,$BA282,$BB282)</f>
        <v>125.3338909267575</v>
      </c>
      <c r="BE282" s="79">
        <f>_xll.VAData($AZ282,BE$2,$BA282,$BB282)</f>
        <v>112.73589143346237</v>
      </c>
      <c r="BF282" s="79">
        <f>_xll.VAData($AZ282,BF$2,$BA282,$BB282)</f>
        <v>131</v>
      </c>
      <c r="BG282" s="79">
        <f>_xll.VAData($AZ282,BG$2,$BA282,$BB282)</f>
        <v>111.4</v>
      </c>
      <c r="BH282" s="79">
        <f>_xll.VAData($AZ282,BH$2,$BA282,$BB282)</f>
        <v>111.8</v>
      </c>
      <c r="BI282" s="79">
        <f>_xll.VAData($AZ282,BI$2,$BA282,$BB282)</f>
        <v>2.4</v>
      </c>
      <c r="BJ282" s="79">
        <f>_xll.VAData($AZ282,BJ$2,$BA282,$BB282)</f>
        <v>76.7</v>
      </c>
      <c r="BK282" s="79">
        <f>_xll.VAData($AZ282,BK$2,$BA282,$BB282)</f>
        <v>83.4</v>
      </c>
      <c r="BL282" s="79">
        <f>_xll.VAData($AZ282,BL$2,$BA282,$BB282)</f>
        <v>-11.6</v>
      </c>
      <c r="BM282" s="79">
        <f>_xll.VAData($AZ282,BM$2,$BA282,$BB282)</f>
        <v>54.8</v>
      </c>
      <c r="BN282" s="79">
        <f>_xll.VAData($AZ282,BN$2,$BA282,$BB282)</f>
        <v>116.3</v>
      </c>
      <c r="BO282" s="79">
        <f>_xll.VAData($AZ282,BO$2,$BA282,$BB282)</f>
        <v>94.8</v>
      </c>
      <c r="BP282" s="79">
        <f>_xll.VAData($AZ282,BP$2,$BA282,$BB282)</f>
        <v>100</v>
      </c>
      <c r="BQ282" s="79">
        <f>_xll.VAData($AZ282,BQ$2,$BA282,$BB282)</f>
        <v>85.8</v>
      </c>
      <c r="BR282" s="79">
        <f>_xll.VAData($AZ282,BR$2,$BA282,$BB282)</f>
        <v>74.201015400000003</v>
      </c>
      <c r="BS282" s="79">
        <f>_xll.VAData($AZ282,BS$2,$BA282,$BB282)</f>
        <v>65.3</v>
      </c>
      <c r="BT282" s="79">
        <f>_xll.VAData($AZ282,BT$2,$BA282,$BB282)</f>
        <v>35.6</v>
      </c>
      <c r="BU282" s="79">
        <f>_xll.VAData($AZ282,BU$2,$BA282,$BB282)</f>
        <v>40.9</v>
      </c>
      <c r="BV282" s="79">
        <f>_xll.VAData($AZ282,BV$2,$BA282,$BB282)</f>
        <v>29.496227742834435</v>
      </c>
      <c r="BW282" s="79">
        <f>_xll.VAData($AZ282,BW$2,$BA282,$BB282)</f>
        <v>36.268601079891731</v>
      </c>
      <c r="BX282" s="79">
        <f>_xll.VAData($AZ282,BX$2,$BA282,$BB282)</f>
        <v>47.835366646427602</v>
      </c>
      <c r="BY282" s="79">
        <f>_xll.VAData($AZ282,BY$2,$BA282,$BB282)</f>
        <v>54.277878561360751</v>
      </c>
    </row>
    <row r="283" spans="2:77">
      <c r="B283" s="74"/>
      <c r="C283" s="72" t="s">
        <v>72</v>
      </c>
      <c r="D283" s="225" t="s">
        <v>1343</v>
      </c>
      <c r="E283" s="226">
        <f>HY!E338</f>
        <v>0</v>
      </c>
      <c r="F283" s="226">
        <f>HY!F338</f>
        <v>0</v>
      </c>
      <c r="G283" s="226">
        <f>HY!G338</f>
        <v>131.19999999999999</v>
      </c>
      <c r="H283" s="226">
        <f>HY!H338</f>
        <v>110.99999999999999</v>
      </c>
      <c r="I283" s="226">
        <f>HY!I338</f>
        <v>111.9</v>
      </c>
      <c r="J283" s="226">
        <f>HY!J338</f>
        <v>2.1999999999999744</v>
      </c>
      <c r="K283" s="226">
        <f>HY!K338</f>
        <v>76.7</v>
      </c>
      <c r="L283" s="226">
        <f>HY!L338</f>
        <v>83.500000000000043</v>
      </c>
      <c r="M283" s="226">
        <f>HY!M338</f>
        <v>-11.599999999999994</v>
      </c>
      <c r="N283" s="226">
        <f>HY!N338</f>
        <v>54.800000000000004</v>
      </c>
      <c r="O283" s="226">
        <f>HY!O338</f>
        <v>116.336</v>
      </c>
      <c r="P283" s="226">
        <f>HY!P338</f>
        <v>94.792000000000002</v>
      </c>
      <c r="Q283" s="226">
        <f>HY!Q338</f>
        <v>100.05300000000001</v>
      </c>
      <c r="R283" s="226">
        <f>HY!R338</f>
        <v>85.725999999999999</v>
      </c>
      <c r="S283" s="226">
        <f>HY!S338</f>
        <v>74.170999999999992</v>
      </c>
      <c r="T283" s="226">
        <f>HY!T338</f>
        <v>65.315999999999974</v>
      </c>
      <c r="U283" s="226">
        <f>HY!U338</f>
        <v>35.620999999999995</v>
      </c>
      <c r="V283" s="226">
        <f>HY!V338</f>
        <v>42.521999999999998</v>
      </c>
      <c r="W283" s="226">
        <f>HY!W338</f>
        <v>28.900864922515652</v>
      </c>
      <c r="X283" s="226">
        <f>HY!X338</f>
        <v>41.323710342688912</v>
      </c>
      <c r="Y283" s="226">
        <f>HY!Y338</f>
        <v>46.906495887635728</v>
      </c>
      <c r="Z283" s="226">
        <f>HY!Z338</f>
        <v>53.263563888136204</v>
      </c>
      <c r="AA283" s="72"/>
      <c r="AB283" s="76"/>
      <c r="AC283" s="221"/>
      <c r="AD283" s="221"/>
      <c r="AE283" s="221"/>
      <c r="AF283" s="221"/>
      <c r="AG283" s="221"/>
      <c r="AH283" s="221"/>
      <c r="AI283" s="221"/>
      <c r="AJ283" s="221"/>
      <c r="AK283" s="221"/>
      <c r="AL283" s="221"/>
      <c r="AM283" s="221"/>
      <c r="AN283" s="221"/>
      <c r="AO283" s="221"/>
      <c r="AP283" s="221"/>
      <c r="AQ283" s="221"/>
      <c r="AR283" s="221"/>
      <c r="AS283" s="221"/>
      <c r="AT283" s="221"/>
      <c r="AU283" s="221"/>
      <c r="AV283" s="221"/>
      <c r="AW283" s="221"/>
      <c r="AX283" s="221"/>
      <c r="AY283" s="76"/>
      <c r="AZ283" s="77"/>
      <c r="BA283" s="77"/>
      <c r="BB283" s="78"/>
      <c r="BC283" s="76"/>
      <c r="BD283" s="221"/>
      <c r="BE283" s="221"/>
      <c r="BF283" s="221"/>
      <c r="BG283" s="221"/>
      <c r="BH283" s="221"/>
      <c r="BI283" s="221"/>
      <c r="BJ283" s="221"/>
      <c r="BK283" s="221"/>
      <c r="BL283" s="221"/>
      <c r="BM283" s="221"/>
      <c r="BN283" s="221"/>
      <c r="BO283" s="221"/>
      <c r="BP283" s="221"/>
      <c r="BQ283" s="221"/>
      <c r="BR283" s="221"/>
      <c r="BS283" s="221"/>
      <c r="BT283" s="221"/>
      <c r="BU283" s="221"/>
      <c r="BV283" s="221"/>
      <c r="BW283" s="221"/>
      <c r="BX283" s="221"/>
      <c r="BY283" s="221"/>
    </row>
    <row r="284" spans="2:77">
      <c r="B284" s="74"/>
      <c r="C284" s="81" t="s">
        <v>88</v>
      </c>
      <c r="D284" s="72" t="s">
        <v>1344</v>
      </c>
      <c r="E284" s="227" t="str">
        <f t="shared" ref="E284:Z284" si="118">IFERROR(ROUND(E282/E283-1,3),"")</f>
        <v/>
      </c>
      <c r="F284" s="227" t="str">
        <f t="shared" si="118"/>
        <v/>
      </c>
      <c r="G284" s="227">
        <f t="shared" si="118"/>
        <v>-2E-3</v>
      </c>
      <c r="H284" s="227">
        <f t="shared" si="118"/>
        <v>4.0000000000000001E-3</v>
      </c>
      <c r="I284" s="227">
        <f t="shared" si="118"/>
        <v>-1E-3</v>
      </c>
      <c r="J284" s="227">
        <f t="shared" si="118"/>
        <v>9.0999999999999998E-2</v>
      </c>
      <c r="K284" s="227">
        <f t="shared" si="118"/>
        <v>0</v>
      </c>
      <c r="L284" s="227">
        <f t="shared" si="118"/>
        <v>-1E-3</v>
      </c>
      <c r="M284" s="227">
        <f t="shared" si="118"/>
        <v>0</v>
      </c>
      <c r="N284" s="227">
        <f t="shared" si="118"/>
        <v>0</v>
      </c>
      <c r="O284" s="227">
        <f t="shared" si="118"/>
        <v>6.0000000000000001E-3</v>
      </c>
      <c r="P284" s="227">
        <f t="shared" si="118"/>
        <v>8.2000000000000003E-2</v>
      </c>
      <c r="Q284" s="227">
        <f t="shared" si="118"/>
        <v>4.4999999999999998E-2</v>
      </c>
      <c r="R284" s="227">
        <f t="shared" si="118"/>
        <v>0.219</v>
      </c>
      <c r="S284" s="227">
        <f t="shared" si="118"/>
        <v>0.58399999999999996</v>
      </c>
      <c r="T284" s="227">
        <f t="shared" si="118"/>
        <v>0.79400000000000004</v>
      </c>
      <c r="U284" s="227">
        <f t="shared" si="118"/>
        <v>2.4620000000000002</v>
      </c>
      <c r="V284" s="227">
        <f t="shared" si="118"/>
        <v>1.804</v>
      </c>
      <c r="W284" s="227">
        <f t="shared" si="118"/>
        <v>3.4940000000000002</v>
      </c>
      <c r="X284" s="227">
        <f t="shared" si="118"/>
        <v>2.0169999999999999</v>
      </c>
      <c r="Y284" s="227">
        <f t="shared" si="118"/>
        <v>1.8819999999999999</v>
      </c>
      <c r="Z284" s="227">
        <f t="shared" si="118"/>
        <v>1.454</v>
      </c>
      <c r="AA284" s="72"/>
      <c r="AB284" s="76"/>
      <c r="AC284" s="221"/>
      <c r="AD284" s="221"/>
      <c r="AE284" s="221"/>
      <c r="AF284" s="221"/>
      <c r="AG284" s="221"/>
      <c r="AH284" s="221"/>
      <c r="AI284" s="221"/>
      <c r="AJ284" s="221"/>
      <c r="AK284" s="221"/>
      <c r="AL284" s="221"/>
      <c r="AM284" s="221"/>
      <c r="AN284" s="221"/>
      <c r="AO284" s="221"/>
      <c r="AP284" s="221"/>
      <c r="AQ284" s="221"/>
      <c r="AR284" s="221"/>
      <c r="AS284" s="221"/>
      <c r="AT284" s="221"/>
      <c r="AU284" s="221"/>
      <c r="AV284" s="221"/>
      <c r="AW284" s="221"/>
      <c r="AX284" s="221"/>
      <c r="AY284" s="76"/>
      <c r="AZ284" s="77"/>
      <c r="BA284" s="77"/>
      <c r="BB284" s="78"/>
      <c r="BC284" s="76"/>
      <c r="BD284" s="221"/>
      <c r="BE284" s="221"/>
      <c r="BF284" s="221"/>
      <c r="BG284" s="221"/>
      <c r="BH284" s="221"/>
      <c r="BI284" s="221"/>
      <c r="BJ284" s="221"/>
      <c r="BK284" s="221"/>
      <c r="BL284" s="221"/>
      <c r="BM284" s="221"/>
      <c r="BN284" s="221"/>
      <c r="BO284" s="221"/>
      <c r="BP284" s="221"/>
      <c r="BQ284" s="221"/>
      <c r="BR284" s="221"/>
      <c r="BS284" s="221"/>
      <c r="BT284" s="221"/>
      <c r="BU284" s="221"/>
      <c r="BV284" s="221"/>
      <c r="BW284" s="221"/>
      <c r="BX284" s="221"/>
      <c r="BY284" s="221"/>
    </row>
    <row r="286" spans="2:77">
      <c r="B286" s="74" t="str">
        <f>BA286</f>
        <v>Interest income/(expense), net - Operating</v>
      </c>
      <c r="C286" s="72" t="s">
        <v>72</v>
      </c>
      <c r="D286" s="224" t="s">
        <v>1342</v>
      </c>
      <c r="E286" s="223">
        <f t="shared" ref="E286:Z286" si="119">AC286</f>
        <v>-6.23</v>
      </c>
      <c r="F286" s="223">
        <f t="shared" si="119"/>
        <v>-6.2683419999999979</v>
      </c>
      <c r="G286" s="223">
        <f t="shared" si="119"/>
        <v>-6</v>
      </c>
      <c r="H286" s="223">
        <f t="shared" si="119"/>
        <v>-4.5</v>
      </c>
      <c r="I286" s="223">
        <f t="shared" si="119"/>
        <v>-6.4</v>
      </c>
      <c r="J286" s="223">
        <f t="shared" si="119"/>
        <v>-14.7</v>
      </c>
      <c r="K286" s="223">
        <f t="shared" si="119"/>
        <v>-14</v>
      </c>
      <c r="L286" s="223">
        <f t="shared" si="119"/>
        <v>-18.5</v>
      </c>
      <c r="M286" s="223">
        <f t="shared" si="119"/>
        <v>-17.2</v>
      </c>
      <c r="N286" s="223">
        <f t="shared" si="119"/>
        <v>-17.875</v>
      </c>
      <c r="O286" s="223">
        <f t="shared" si="119"/>
        <v>-15.848000000000001</v>
      </c>
      <c r="P286" s="223">
        <f t="shared" si="119"/>
        <v>-7.6440000000000001</v>
      </c>
      <c r="Q286" s="223">
        <f t="shared" si="119"/>
        <v>-12.26104861511444</v>
      </c>
      <c r="R286" s="223">
        <f t="shared" si="119"/>
        <v>-15.983248532113301</v>
      </c>
      <c r="S286" s="223">
        <f t="shared" si="119"/>
        <v>-20.840854276116971</v>
      </c>
      <c r="T286" s="223">
        <f t="shared" si="119"/>
        <v>-21.246955399058621</v>
      </c>
      <c r="U286" s="223">
        <f t="shared" si="119"/>
        <v>-24.603141186999199</v>
      </c>
      <c r="V286" s="223">
        <f t="shared" si="119"/>
        <v>-23.724748886421871</v>
      </c>
      <c r="W286" s="223">
        <f t="shared" si="119"/>
        <v>-23.534030357079029</v>
      </c>
      <c r="X286" s="223">
        <f t="shared" si="119"/>
        <v>-22.57520127212123</v>
      </c>
      <c r="Y286" s="223">
        <f t="shared" si="119"/>
        <v>-22.335035171528101</v>
      </c>
      <c r="Z286" s="223">
        <f t="shared" si="119"/>
        <v>-21.385311422719528</v>
      </c>
      <c r="AA286" s="72"/>
      <c r="AB286" s="76"/>
      <c r="AC286" s="222">
        <v>-6.23</v>
      </c>
      <c r="AD286" s="222">
        <v>-6.2683419999999979</v>
      </c>
      <c r="AE286" s="222">
        <v>-6</v>
      </c>
      <c r="AF286" s="222">
        <v>-4.5</v>
      </c>
      <c r="AG286" s="222">
        <v>-6.4</v>
      </c>
      <c r="AH286" s="222">
        <v>-14.7</v>
      </c>
      <c r="AI286" s="222">
        <v>-14</v>
      </c>
      <c r="AJ286" s="222">
        <v>-18.5</v>
      </c>
      <c r="AK286" s="222">
        <v>-17.2</v>
      </c>
      <c r="AL286" s="222">
        <v>-17.875</v>
      </c>
      <c r="AM286" s="222">
        <v>-15.848000000000001</v>
      </c>
      <c r="AN286" s="222">
        <v>-7.6440000000000001</v>
      </c>
      <c r="AO286" s="222">
        <v>-12.26104861511444</v>
      </c>
      <c r="AP286" s="222">
        <v>-15.983248532113301</v>
      </c>
      <c r="AQ286" s="222">
        <v>-20.840854276116971</v>
      </c>
      <c r="AR286" s="222">
        <v>-21.246955399058621</v>
      </c>
      <c r="AS286" s="222">
        <v>-24.603141186999199</v>
      </c>
      <c r="AT286" s="222">
        <v>-23.724748886421871</v>
      </c>
      <c r="AU286" s="222">
        <v>-23.534030357079029</v>
      </c>
      <c r="AV286" s="222">
        <v>-22.57520127212123</v>
      </c>
      <c r="AW286" s="222">
        <v>-22.335035171528101</v>
      </c>
      <c r="AX286" s="222">
        <v>-21.385311422719528</v>
      </c>
      <c r="AY286" s="76"/>
      <c r="AZ286" s="77" t="s">
        <v>1259</v>
      </c>
      <c r="BA286" s="77" t="s">
        <v>1391</v>
      </c>
      <c r="BB286" s="78" t="s">
        <v>1261</v>
      </c>
      <c r="BC286" s="76"/>
      <c r="BD286" s="79">
        <f>_xll.VAData($AZ286,BD$2,$BA286,$BB286)</f>
        <v>-6.2374999999999998</v>
      </c>
      <c r="BE286" s="79">
        <f>_xll.VAData($AZ286,BE$2,$BA286,$BB286)</f>
        <v>-6.2604274999999969</v>
      </c>
      <c r="BF286" s="79">
        <f>_xll.VAData($AZ286,BF$2,$BA286,$BB286)</f>
        <v>-6</v>
      </c>
      <c r="BG286" s="79">
        <f>_xll.VAData($AZ286,BG$2,$BA286,$BB286)</f>
        <v>-4.5</v>
      </c>
      <c r="BH286" s="79">
        <f>_xll.VAData($AZ286,BH$2,$BA286,$BB286)</f>
        <v>-6.4</v>
      </c>
      <c r="BI286" s="79">
        <f>_xll.VAData($AZ286,BI$2,$BA286,$BB286)</f>
        <v>-14.7</v>
      </c>
      <c r="BJ286" s="79">
        <f>_xll.VAData($AZ286,BJ$2,$BA286,$BB286)</f>
        <v>-14</v>
      </c>
      <c r="BK286" s="79">
        <f>_xll.VAData($AZ286,BK$2,$BA286,$BB286)</f>
        <v>-18.5</v>
      </c>
      <c r="BL286" s="79">
        <f>_xll.VAData($AZ286,BL$2,$BA286,$BB286)</f>
        <v>-17.2</v>
      </c>
      <c r="BM286" s="79">
        <f>_xll.VAData($AZ286,BM$2,$BA286,$BB286)</f>
        <v>-17.875</v>
      </c>
      <c r="BN286" s="79">
        <f>_xll.VAData($AZ286,BN$2,$BA286,$BB286)</f>
        <v>-15.848000000000001</v>
      </c>
      <c r="BO286" s="79">
        <f>_xll.VAData($AZ286,BO$2,$BA286,$BB286)</f>
        <v>-7.6440000000000001</v>
      </c>
      <c r="BP286" s="79">
        <f>_xll.VAData($AZ286,BP$2,$BA286,$BB286)</f>
        <v>-8.7196775956284096</v>
      </c>
      <c r="BQ286" s="79">
        <f>_xll.VAData($AZ286,BQ$2,$BA286,$BB286)</f>
        <v>-7.2803224043715904</v>
      </c>
      <c r="BR286" s="79">
        <f>_xll.VAData($AZ286,BR$2,$BA286,$BB286)</f>
        <v>-12.3</v>
      </c>
      <c r="BS286" s="79">
        <f>_xll.VAData($AZ286,BS$2,$BA286,$BB286)</f>
        <v>-14.1</v>
      </c>
      <c r="BT286" s="79">
        <f>_xll.VAData($AZ286,BT$2,$BA286,$BB286)</f>
        <v>-6.3</v>
      </c>
      <c r="BU286" s="79">
        <f>_xll.VAData($AZ286,BU$2,$BA286,$BB286)</f>
        <v>-20.3</v>
      </c>
      <c r="BV286" s="79">
        <f>_xll.VAData($AZ286,BV$2,$BA286,$BB286)</f>
        <v>-15.939717757605274</v>
      </c>
      <c r="BW286" s="79">
        <f>_xll.VAData($AZ286,BW$2,$BA286,$BB286)</f>
        <v>-12.1497793758586</v>
      </c>
      <c r="BX286" s="79">
        <f>_xll.VAData($AZ286,BX$2,$BA286,$BB286)</f>
        <v>-11.204836239714467</v>
      </c>
      <c r="BY286" s="79">
        <f>_xll.VAData($AZ286,BY$2,$BA286,$BB286)</f>
        <v>-10.62825968018663</v>
      </c>
    </row>
    <row r="287" spans="2:77">
      <c r="B287" s="74"/>
      <c r="C287" s="72" t="s">
        <v>72</v>
      </c>
      <c r="D287" s="225" t="s">
        <v>1343</v>
      </c>
      <c r="E287" s="226">
        <f>HY!E340</f>
        <v>0</v>
      </c>
      <c r="F287" s="226">
        <f>HY!F340</f>
        <v>0</v>
      </c>
      <c r="G287" s="226">
        <f>HY!G340</f>
        <v>-6</v>
      </c>
      <c r="H287" s="226">
        <f>HY!H340</f>
        <v>-4.1999999999999993</v>
      </c>
      <c r="I287" s="226">
        <f>HY!I340</f>
        <v>-6.4</v>
      </c>
      <c r="J287" s="226">
        <f>HY!J340</f>
        <v>-22.200000000000003</v>
      </c>
      <c r="K287" s="226">
        <f>HY!K340</f>
        <v>-14</v>
      </c>
      <c r="L287" s="226">
        <f>HY!L340</f>
        <v>-18.5</v>
      </c>
      <c r="M287" s="226">
        <f>HY!M340</f>
        <v>-17.2</v>
      </c>
      <c r="N287" s="226">
        <f>HY!N340</f>
        <v>-17.8</v>
      </c>
      <c r="O287" s="226">
        <f>HY!O340</f>
        <v>-15.848000000000001</v>
      </c>
      <c r="P287" s="226">
        <f>HY!P340</f>
        <v>-12.278</v>
      </c>
      <c r="Q287" s="226">
        <f>HY!Q340</f>
        <v>-8.7149999999999999</v>
      </c>
      <c r="R287" s="226">
        <f>HY!R340</f>
        <v>-7.2850000000000001</v>
      </c>
      <c r="S287" s="226">
        <f>HY!S340</f>
        <v>-12.3</v>
      </c>
      <c r="T287" s="226">
        <f>HY!T340</f>
        <v>-14.099999999999998</v>
      </c>
      <c r="U287" s="226">
        <f>HY!U340</f>
        <v>-6.3</v>
      </c>
      <c r="V287" s="226">
        <f>HY!V340</f>
        <v>-20.3</v>
      </c>
      <c r="W287" s="226">
        <f>HY!W340</f>
        <v>-15.443709808219181</v>
      </c>
      <c r="X287" s="226">
        <f>HY!X340</f>
        <v>-11.280404239932054</v>
      </c>
      <c r="Y287" s="226">
        <f>HY!Y340</f>
        <v>-11.181148228190075</v>
      </c>
      <c r="Z287" s="226">
        <f>HY!Z340</f>
        <v>-10.75403858181058</v>
      </c>
      <c r="AA287" s="72"/>
      <c r="AB287" s="76"/>
      <c r="AC287" s="221"/>
      <c r="AD287" s="221"/>
      <c r="AE287" s="221"/>
      <c r="AF287" s="221"/>
      <c r="AG287" s="221"/>
      <c r="AH287" s="221"/>
      <c r="AI287" s="221"/>
      <c r="AJ287" s="221"/>
      <c r="AK287" s="221"/>
      <c r="AL287" s="221"/>
      <c r="AM287" s="221"/>
      <c r="AN287" s="221"/>
      <c r="AO287" s="221"/>
      <c r="AP287" s="221"/>
      <c r="AQ287" s="221"/>
      <c r="AR287" s="221"/>
      <c r="AS287" s="221"/>
      <c r="AT287" s="221"/>
      <c r="AU287" s="221"/>
      <c r="AV287" s="221"/>
      <c r="AW287" s="221"/>
      <c r="AX287" s="221"/>
      <c r="AY287" s="76"/>
      <c r="AZ287" s="77"/>
      <c r="BA287" s="77"/>
      <c r="BB287" s="78"/>
      <c r="BC287" s="76"/>
      <c r="BD287" s="221"/>
      <c r="BE287" s="221"/>
      <c r="BF287" s="221"/>
      <c r="BG287" s="221"/>
      <c r="BH287" s="221"/>
      <c r="BI287" s="221"/>
      <c r="BJ287" s="221"/>
      <c r="BK287" s="221"/>
      <c r="BL287" s="221"/>
      <c r="BM287" s="221"/>
      <c r="BN287" s="221"/>
      <c r="BO287" s="221"/>
      <c r="BP287" s="221"/>
      <c r="BQ287" s="221"/>
      <c r="BR287" s="221"/>
      <c r="BS287" s="221"/>
      <c r="BT287" s="221"/>
      <c r="BU287" s="221"/>
      <c r="BV287" s="221"/>
      <c r="BW287" s="221"/>
      <c r="BX287" s="221"/>
      <c r="BY287" s="221"/>
    </row>
    <row r="288" spans="2:77">
      <c r="B288" s="74"/>
      <c r="C288" s="81" t="s">
        <v>88</v>
      </c>
      <c r="D288" s="72" t="s">
        <v>1344</v>
      </c>
      <c r="E288" s="227" t="str">
        <f t="shared" ref="E288:Z288" si="120">IFERROR(ROUND(E286/E287-1,3),"")</f>
        <v/>
      </c>
      <c r="F288" s="227" t="str">
        <f t="shared" si="120"/>
        <v/>
      </c>
      <c r="G288" s="227">
        <f t="shared" si="120"/>
        <v>0</v>
      </c>
      <c r="H288" s="227">
        <f t="shared" si="120"/>
        <v>7.0999999999999994E-2</v>
      </c>
      <c r="I288" s="227">
        <f t="shared" si="120"/>
        <v>0</v>
      </c>
      <c r="J288" s="227">
        <f t="shared" si="120"/>
        <v>-0.33800000000000002</v>
      </c>
      <c r="K288" s="227">
        <f t="shared" si="120"/>
        <v>0</v>
      </c>
      <c r="L288" s="227">
        <f t="shared" si="120"/>
        <v>0</v>
      </c>
      <c r="M288" s="227">
        <f t="shared" si="120"/>
        <v>0</v>
      </c>
      <c r="N288" s="227">
        <f t="shared" si="120"/>
        <v>4.0000000000000001E-3</v>
      </c>
      <c r="O288" s="227">
        <f t="shared" si="120"/>
        <v>0</v>
      </c>
      <c r="P288" s="227">
        <f t="shared" si="120"/>
        <v>-0.377</v>
      </c>
      <c r="Q288" s="227">
        <f t="shared" si="120"/>
        <v>0.40699999999999997</v>
      </c>
      <c r="R288" s="227">
        <f t="shared" si="120"/>
        <v>1.194</v>
      </c>
      <c r="S288" s="227">
        <f t="shared" si="120"/>
        <v>0.69399999999999995</v>
      </c>
      <c r="T288" s="227">
        <f t="shared" si="120"/>
        <v>0.50700000000000001</v>
      </c>
      <c r="U288" s="227">
        <f t="shared" si="120"/>
        <v>2.9049999999999998</v>
      </c>
      <c r="V288" s="227">
        <f t="shared" si="120"/>
        <v>0.16900000000000001</v>
      </c>
      <c r="W288" s="227">
        <f t="shared" si="120"/>
        <v>0.52400000000000002</v>
      </c>
      <c r="X288" s="227">
        <f t="shared" si="120"/>
        <v>1.0009999999999999</v>
      </c>
      <c r="Y288" s="227">
        <f t="shared" si="120"/>
        <v>0.998</v>
      </c>
      <c r="Z288" s="227">
        <f t="shared" si="120"/>
        <v>0.98899999999999999</v>
      </c>
      <c r="AA288" s="72"/>
      <c r="AB288" s="76"/>
      <c r="AC288" s="221"/>
      <c r="AD288" s="221"/>
      <c r="AE288" s="221"/>
      <c r="AF288" s="221"/>
      <c r="AG288" s="221"/>
      <c r="AH288" s="221"/>
      <c r="AI288" s="221"/>
      <c r="AJ288" s="221"/>
      <c r="AK288" s="221"/>
      <c r="AL288" s="221"/>
      <c r="AM288" s="221"/>
      <c r="AN288" s="221"/>
      <c r="AO288" s="221"/>
      <c r="AP288" s="221"/>
      <c r="AQ288" s="221"/>
      <c r="AR288" s="221"/>
      <c r="AS288" s="221"/>
      <c r="AT288" s="221"/>
      <c r="AU288" s="221"/>
      <c r="AV288" s="221"/>
      <c r="AW288" s="221"/>
      <c r="AX288" s="221"/>
      <c r="AY288" s="76"/>
      <c r="AZ288" s="77"/>
      <c r="BA288" s="77"/>
      <c r="BB288" s="78"/>
      <c r="BC288" s="76"/>
      <c r="BD288" s="221"/>
      <c r="BE288" s="221"/>
      <c r="BF288" s="221"/>
      <c r="BG288" s="221"/>
      <c r="BH288" s="221"/>
      <c r="BI288" s="221"/>
      <c r="BJ288" s="221"/>
      <c r="BK288" s="221"/>
      <c r="BL288" s="221"/>
      <c r="BM288" s="221"/>
      <c r="BN288" s="221"/>
      <c r="BO288" s="221"/>
      <c r="BP288" s="221"/>
      <c r="BQ288" s="221"/>
      <c r="BR288" s="221"/>
      <c r="BS288" s="221"/>
      <c r="BT288" s="221"/>
      <c r="BU288" s="221"/>
      <c r="BV288" s="221"/>
      <c r="BW288" s="221"/>
      <c r="BX288" s="221"/>
      <c r="BY288" s="221"/>
    </row>
    <row r="290" spans="2:77">
      <c r="B290" s="74" t="str">
        <f>BA290</f>
        <v>Provision/(benefit) for income taxes - Operating</v>
      </c>
      <c r="C290" s="72" t="s">
        <v>72</v>
      </c>
      <c r="D290" s="224" t="s">
        <v>1342</v>
      </c>
      <c r="E290" s="223">
        <f t="shared" ref="E290:Z290" si="121">AC290</f>
        <v>-31.725000000000001</v>
      </c>
      <c r="F290" s="223">
        <f t="shared" si="121"/>
        <v>-29.763400000000001</v>
      </c>
      <c r="G290" s="223">
        <f t="shared" si="121"/>
        <v>-35.299999999999997</v>
      </c>
      <c r="H290" s="223">
        <f t="shared" si="121"/>
        <v>-31.9</v>
      </c>
      <c r="I290" s="223">
        <f t="shared" si="121"/>
        <v>-30.5</v>
      </c>
      <c r="J290" s="223">
        <f t="shared" si="121"/>
        <v>3.7</v>
      </c>
      <c r="K290" s="223">
        <f t="shared" si="121"/>
        <v>-19.600000000000001</v>
      </c>
      <c r="L290" s="223">
        <f t="shared" si="121"/>
        <v>-18</v>
      </c>
      <c r="M290" s="223">
        <f t="shared" si="121"/>
        <v>9.3000000000000007</v>
      </c>
      <c r="N290" s="223">
        <f t="shared" si="121"/>
        <v>-8.0636394520547956</v>
      </c>
      <c r="O290" s="223">
        <f t="shared" si="121"/>
        <v>-28.052</v>
      </c>
      <c r="P290" s="223">
        <f t="shared" si="121"/>
        <v>-28.843199999999982</v>
      </c>
      <c r="Q290" s="223">
        <f t="shared" si="121"/>
        <v>-26.872581636409919</v>
      </c>
      <c r="R290" s="223">
        <f t="shared" si="121"/>
        <v>-25.53547148858642</v>
      </c>
      <c r="S290" s="223">
        <f t="shared" si="121"/>
        <v>-27.631787688974871</v>
      </c>
      <c r="T290" s="223">
        <f t="shared" si="121"/>
        <v>-27.24446428802618</v>
      </c>
      <c r="U290" s="223">
        <f t="shared" si="121"/>
        <v>-27.7868268650268</v>
      </c>
      <c r="V290" s="223">
        <f t="shared" si="121"/>
        <v>-26.950950984884528</v>
      </c>
      <c r="W290" s="223">
        <f t="shared" si="121"/>
        <v>-29.930993968876798</v>
      </c>
      <c r="X290" s="223">
        <f t="shared" si="121"/>
        <v>-28.809839138050769</v>
      </c>
      <c r="Y290" s="223">
        <f t="shared" si="121"/>
        <v>-31.758198010962101</v>
      </c>
      <c r="Z290" s="223">
        <f t="shared" si="121"/>
        <v>-30.8523688288073</v>
      </c>
      <c r="AA290" s="72"/>
      <c r="AB290" s="76"/>
      <c r="AC290" s="222">
        <v>-31.725000000000001</v>
      </c>
      <c r="AD290" s="222">
        <v>-29.763400000000001</v>
      </c>
      <c r="AE290" s="222">
        <v>-35.299999999999997</v>
      </c>
      <c r="AF290" s="222">
        <v>-31.9</v>
      </c>
      <c r="AG290" s="222">
        <v>-30.5</v>
      </c>
      <c r="AH290" s="222">
        <v>3.7</v>
      </c>
      <c r="AI290" s="222">
        <v>-19.600000000000001</v>
      </c>
      <c r="AJ290" s="222">
        <v>-18</v>
      </c>
      <c r="AK290" s="222">
        <v>9.3000000000000007</v>
      </c>
      <c r="AL290" s="222">
        <v>-8.0636394520547956</v>
      </c>
      <c r="AM290" s="222">
        <v>-28.052</v>
      </c>
      <c r="AN290" s="222">
        <v>-28.843199999999982</v>
      </c>
      <c r="AO290" s="222">
        <v>-26.872581636409919</v>
      </c>
      <c r="AP290" s="222">
        <v>-25.53547148858642</v>
      </c>
      <c r="AQ290" s="222">
        <v>-27.631787688974871</v>
      </c>
      <c r="AR290" s="222">
        <v>-27.24446428802618</v>
      </c>
      <c r="AS290" s="222">
        <v>-27.7868268650268</v>
      </c>
      <c r="AT290" s="222">
        <v>-26.950950984884528</v>
      </c>
      <c r="AU290" s="222">
        <v>-29.930993968876798</v>
      </c>
      <c r="AV290" s="222">
        <v>-28.809839138050769</v>
      </c>
      <c r="AW290" s="222">
        <v>-31.758198010962101</v>
      </c>
      <c r="AX290" s="222">
        <v>-30.8523688288073</v>
      </c>
      <c r="AY290" s="76"/>
      <c r="AZ290" s="77" t="s">
        <v>1259</v>
      </c>
      <c r="BA290" s="77" t="s">
        <v>1392</v>
      </c>
      <c r="BB290" s="78" t="s">
        <v>1261</v>
      </c>
      <c r="BC290" s="76"/>
      <c r="BD290" s="79">
        <f>-_xll.VAData($AZ290,BD$2,$BA290,$BB290)</f>
        <v>-31.931249999999999</v>
      </c>
      <c r="BE290" s="79">
        <f>-_xll.VAData($AZ290,BE$2,$BA290,$BB290)</f>
        <v>-29.55425</v>
      </c>
      <c r="BF290" s="79">
        <f>-_xll.VAData($AZ290,BF$2,$BA290,$BB290)</f>
        <v>-35.299999999999997</v>
      </c>
      <c r="BG290" s="79">
        <f>-_xll.VAData($AZ290,BG$2,$BA290,$BB290)</f>
        <v>-31.9</v>
      </c>
      <c r="BH290" s="79">
        <f>-_xll.VAData($AZ290,BH$2,$BA290,$BB290)</f>
        <v>-30.5</v>
      </c>
      <c r="BI290" s="79">
        <f>-_xll.VAData($AZ290,BI$2,$BA290,$BB290)</f>
        <v>3.7</v>
      </c>
      <c r="BJ290" s="79">
        <f>-_xll.VAData($AZ290,BJ$2,$BA290,$BB290)</f>
        <v>-19.600000000000001</v>
      </c>
      <c r="BK290" s="79">
        <f>-_xll.VAData($AZ290,BK$2,$BA290,$BB290)</f>
        <v>-18</v>
      </c>
      <c r="BL290" s="79">
        <f>-_xll.VAData($AZ290,BL$2,$BA290,$BB290)</f>
        <v>9.3000000000000007</v>
      </c>
      <c r="BM290" s="79">
        <f>-_xll.VAData($AZ290,BM$2,$BA290,$BB290)</f>
        <v>-7.8</v>
      </c>
      <c r="BN290" s="79">
        <f>-_xll.VAData($AZ290,BN$2,$BA290,$BB290)</f>
        <v>-27.652000000000001</v>
      </c>
      <c r="BO290" s="79">
        <f>-_xll.VAData($AZ290,BO$2,$BA290,$BB290)</f>
        <v>-23.776399999999999</v>
      </c>
      <c r="BP290" s="79">
        <f>-_xll.VAData($AZ290,BP$2,$BA290,$BB290)</f>
        <v>-24.780322404371599</v>
      </c>
      <c r="BQ290" s="79">
        <f>-_xll.VAData($AZ290,BQ$2,$BA290,$BB290)</f>
        <v>-21.819677595628399</v>
      </c>
      <c r="BR290" s="79">
        <f>-_xll.VAData($AZ290,BR$2,$BA290,$BB290)</f>
        <v>-17.7</v>
      </c>
      <c r="BS290" s="79">
        <f>-_xll.VAData($AZ290,BS$2,$BA290,$BB290)</f>
        <v>-23.9</v>
      </c>
      <c r="BT290" s="79">
        <f>-_xll.VAData($AZ290,BT$2,$BA290,$BB290)</f>
        <v>-14.9</v>
      </c>
      <c r="BU290" s="79">
        <f>-_xll.VAData($AZ290,BU$2,$BA290,$BB290)</f>
        <v>3</v>
      </c>
      <c r="BV290" s="79">
        <f>-_xll.VAData($AZ290,BV$2,$BA290,$BB290)</f>
        <v>-4.6455879335001935</v>
      </c>
      <c r="BW290" s="79">
        <f>-_xll.VAData($AZ290,BW$2,$BA290,$BB290)</f>
        <v>-8.1441811583516763</v>
      </c>
      <c r="BX290" s="79">
        <f>-_xll.VAData($AZ290,BX$2,$BA290,$BB290)</f>
        <v>-10.669524368838101</v>
      </c>
      <c r="BY290" s="79">
        <f>-_xll.VAData($AZ290,BY$2,$BA290,$BB290)</f>
        <v>-12.734857752815699</v>
      </c>
    </row>
    <row r="291" spans="2:77">
      <c r="B291" s="74"/>
      <c r="C291" s="72" t="s">
        <v>72</v>
      </c>
      <c r="D291" s="225" t="s">
        <v>1343</v>
      </c>
      <c r="E291" s="226">
        <f>HY!E344</f>
        <v>0</v>
      </c>
      <c r="F291" s="226">
        <f>HY!F344</f>
        <v>0</v>
      </c>
      <c r="G291" s="226">
        <f>HY!G344</f>
        <v>-35.499999999999986</v>
      </c>
      <c r="H291" s="226">
        <f>HY!H344</f>
        <v>-31.899999999999991</v>
      </c>
      <c r="I291" s="226">
        <f>HY!I344</f>
        <v>-30.5</v>
      </c>
      <c r="J291" s="226">
        <f>HY!J344</f>
        <v>11.300000000000026</v>
      </c>
      <c r="K291" s="226">
        <f>HY!K344</f>
        <v>-19.5</v>
      </c>
      <c r="L291" s="226">
        <f>HY!L344</f>
        <v>-18.200000000000045</v>
      </c>
      <c r="M291" s="226">
        <f>HY!M344</f>
        <v>9.2999999999999936</v>
      </c>
      <c r="N291" s="226">
        <f>HY!N344</f>
        <v>-7.8000000000000007</v>
      </c>
      <c r="O291" s="226">
        <f>HY!O344</f>
        <v>-27.688000000000002</v>
      </c>
      <c r="P291" s="226">
        <f>HY!P344</f>
        <v>-22.614000000000004</v>
      </c>
      <c r="Q291" s="226">
        <f>HY!Q344</f>
        <v>-26.838000000000008</v>
      </c>
      <c r="R291" s="226">
        <f>HY!R344</f>
        <v>-19.741</v>
      </c>
      <c r="S291" s="226">
        <f>HY!S344</f>
        <v>-17.670999999999992</v>
      </c>
      <c r="T291" s="226">
        <f>HY!T344</f>
        <v>-23.915999999999983</v>
      </c>
      <c r="U291" s="226">
        <f>HY!U344</f>
        <v>-14.920999999999994</v>
      </c>
      <c r="V291" s="226">
        <f>HY!V344</f>
        <v>1.3780000000000037</v>
      </c>
      <c r="W291" s="226">
        <f>HY!W344</f>
        <v>-4.037146534288941</v>
      </c>
      <c r="X291" s="226">
        <f>HY!X344</f>
        <v>-9.0129918308270565</v>
      </c>
      <c r="Y291" s="226">
        <f>HY!Y344</f>
        <v>-10.717604297833695</v>
      </c>
      <c r="Z291" s="226">
        <f>HY!Z344</f>
        <v>-12.752857591897689</v>
      </c>
      <c r="AA291" s="72"/>
      <c r="AB291" s="76"/>
      <c r="AC291" s="221"/>
      <c r="AD291" s="221"/>
      <c r="AE291" s="221"/>
      <c r="AF291" s="221"/>
      <c r="AG291" s="221"/>
      <c r="AH291" s="221"/>
      <c r="AI291" s="221"/>
      <c r="AJ291" s="221"/>
      <c r="AK291" s="221"/>
      <c r="AL291" s="221"/>
      <c r="AM291" s="221"/>
      <c r="AN291" s="221"/>
      <c r="AO291" s="221"/>
      <c r="AP291" s="221"/>
      <c r="AQ291" s="221"/>
      <c r="AR291" s="221"/>
      <c r="AS291" s="221"/>
      <c r="AT291" s="221"/>
      <c r="AU291" s="221"/>
      <c r="AV291" s="221"/>
      <c r="AW291" s="221"/>
      <c r="AX291" s="221"/>
      <c r="AY291" s="76"/>
      <c r="AZ291" s="77"/>
      <c r="BA291" s="77"/>
      <c r="BB291" s="78"/>
      <c r="BC291" s="76"/>
      <c r="BD291" s="221"/>
      <c r="BE291" s="221"/>
      <c r="BF291" s="221"/>
      <c r="BG291" s="221"/>
      <c r="BH291" s="221"/>
      <c r="BI291" s="221"/>
      <c r="BJ291" s="221"/>
      <c r="BK291" s="221"/>
      <c r="BL291" s="221"/>
      <c r="BM291" s="221"/>
      <c r="BN291" s="221"/>
      <c r="BO291" s="221"/>
      <c r="BP291" s="221"/>
      <c r="BQ291" s="221"/>
      <c r="BR291" s="221"/>
      <c r="BS291" s="221"/>
      <c r="BT291" s="221"/>
      <c r="BU291" s="221"/>
      <c r="BV291" s="221"/>
      <c r="BW291" s="221"/>
      <c r="BX291" s="221"/>
      <c r="BY291" s="221"/>
    </row>
    <row r="292" spans="2:77">
      <c r="B292" s="74"/>
      <c r="C292" s="81" t="s">
        <v>88</v>
      </c>
      <c r="D292" s="72" t="s">
        <v>1344</v>
      </c>
      <c r="E292" s="227" t="str">
        <f t="shared" ref="E292:Z292" si="122">IFERROR(ROUND(E290/E291-1,3),"")</f>
        <v/>
      </c>
      <c r="F292" s="227" t="str">
        <f t="shared" si="122"/>
        <v/>
      </c>
      <c r="G292" s="227">
        <f t="shared" si="122"/>
        <v>-6.0000000000000001E-3</v>
      </c>
      <c r="H292" s="227">
        <f t="shared" si="122"/>
        <v>0</v>
      </c>
      <c r="I292" s="227">
        <f t="shared" si="122"/>
        <v>0</v>
      </c>
      <c r="J292" s="227">
        <f t="shared" si="122"/>
        <v>-0.67300000000000004</v>
      </c>
      <c r="K292" s="227">
        <f t="shared" si="122"/>
        <v>5.0000000000000001E-3</v>
      </c>
      <c r="L292" s="227">
        <f t="shared" si="122"/>
        <v>-1.0999999999999999E-2</v>
      </c>
      <c r="M292" s="227">
        <f t="shared" si="122"/>
        <v>0</v>
      </c>
      <c r="N292" s="227">
        <f t="shared" si="122"/>
        <v>3.4000000000000002E-2</v>
      </c>
      <c r="O292" s="227">
        <f t="shared" si="122"/>
        <v>1.2999999999999999E-2</v>
      </c>
      <c r="P292" s="227">
        <f t="shared" si="122"/>
        <v>0.27500000000000002</v>
      </c>
      <c r="Q292" s="227">
        <f t="shared" si="122"/>
        <v>1E-3</v>
      </c>
      <c r="R292" s="227">
        <f t="shared" si="122"/>
        <v>0.29399999999999998</v>
      </c>
      <c r="S292" s="227">
        <f t="shared" si="122"/>
        <v>0.56399999999999995</v>
      </c>
      <c r="T292" s="227">
        <f t="shared" si="122"/>
        <v>0.13900000000000001</v>
      </c>
      <c r="U292" s="227">
        <f t="shared" si="122"/>
        <v>0.86199999999999999</v>
      </c>
      <c r="V292" s="227">
        <f t="shared" si="122"/>
        <v>-20.558</v>
      </c>
      <c r="W292" s="227">
        <f t="shared" si="122"/>
        <v>6.4139999999999997</v>
      </c>
      <c r="X292" s="227">
        <f t="shared" si="122"/>
        <v>2.1960000000000002</v>
      </c>
      <c r="Y292" s="227">
        <f t="shared" si="122"/>
        <v>1.9630000000000001</v>
      </c>
      <c r="Z292" s="227">
        <f t="shared" si="122"/>
        <v>1.419</v>
      </c>
      <c r="AA292" s="72"/>
      <c r="AB292" s="76"/>
      <c r="AC292" s="221"/>
      <c r="AD292" s="221"/>
      <c r="AE292" s="221"/>
      <c r="AF292" s="221"/>
      <c r="AG292" s="221"/>
      <c r="AH292" s="221"/>
      <c r="AI292" s="221"/>
      <c r="AJ292" s="221"/>
      <c r="AK292" s="221"/>
      <c r="AL292" s="221"/>
      <c r="AM292" s="221"/>
      <c r="AN292" s="221"/>
      <c r="AO292" s="221"/>
      <c r="AP292" s="221"/>
      <c r="AQ292" s="221"/>
      <c r="AR292" s="221"/>
      <c r="AS292" s="221"/>
      <c r="AT292" s="221"/>
      <c r="AU292" s="221"/>
      <c r="AV292" s="221"/>
      <c r="AW292" s="221"/>
      <c r="AX292" s="221"/>
      <c r="AY292" s="76"/>
      <c r="AZ292" s="77"/>
      <c r="BA292" s="77"/>
      <c r="BB292" s="78"/>
      <c r="BC292" s="76"/>
      <c r="BD292" s="221"/>
      <c r="BE292" s="221"/>
      <c r="BF292" s="221"/>
      <c r="BG292" s="221"/>
      <c r="BH292" s="221"/>
      <c r="BI292" s="221"/>
      <c r="BJ292" s="221"/>
      <c r="BK292" s="221"/>
      <c r="BL292" s="221"/>
      <c r="BM292" s="221"/>
      <c r="BN292" s="221"/>
      <c r="BO292" s="221"/>
      <c r="BP292" s="221"/>
      <c r="BQ292" s="221"/>
      <c r="BR292" s="221"/>
      <c r="BS292" s="221"/>
      <c r="BT292" s="221"/>
      <c r="BU292" s="221"/>
      <c r="BV292" s="221"/>
      <c r="BW292" s="221"/>
      <c r="BX292" s="221"/>
      <c r="BY292" s="221"/>
    </row>
    <row r="294" spans="2:77">
      <c r="B294" s="74" t="str">
        <f>BA294</f>
        <v>Net income/(loss) - Operating</v>
      </c>
      <c r="C294" s="72" t="s">
        <v>72</v>
      </c>
      <c r="D294" s="224" t="s">
        <v>1342</v>
      </c>
      <c r="E294" s="223">
        <f t="shared" ref="E294:Z294" si="123">AC294</f>
        <v>86.365140926757505</v>
      </c>
      <c r="F294" s="223">
        <f t="shared" si="123"/>
        <v>83.487998664704421</v>
      </c>
      <c r="G294" s="223">
        <f t="shared" si="123"/>
        <v>89.7</v>
      </c>
      <c r="H294" s="223">
        <f t="shared" si="123"/>
        <v>74.900000000000006</v>
      </c>
      <c r="I294" s="223">
        <f t="shared" si="123"/>
        <v>75</v>
      </c>
      <c r="J294" s="223">
        <f t="shared" si="123"/>
        <v>-8.6999999999999993</v>
      </c>
      <c r="K294" s="223">
        <f t="shared" si="123"/>
        <v>43.2</v>
      </c>
      <c r="L294" s="223">
        <f t="shared" si="123"/>
        <v>47.1</v>
      </c>
      <c r="M294" s="223">
        <f t="shared" si="123"/>
        <v>-19.5</v>
      </c>
      <c r="N294" s="223">
        <f t="shared" si="123"/>
        <v>29.2</v>
      </c>
      <c r="O294" s="223">
        <f t="shared" si="123"/>
        <v>73.099999999999994</v>
      </c>
      <c r="P294" s="223">
        <f t="shared" si="123"/>
        <v>65.7</v>
      </c>
      <c r="Q294" s="223">
        <f t="shared" si="123"/>
        <v>65.457499379226036</v>
      </c>
      <c r="R294" s="223">
        <f t="shared" si="123"/>
        <v>63.020231265777902</v>
      </c>
      <c r="S294" s="223">
        <f t="shared" si="123"/>
        <v>69.029183984231807</v>
      </c>
      <c r="T294" s="223">
        <f t="shared" si="123"/>
        <v>68.680180551228602</v>
      </c>
      <c r="U294" s="223">
        <f t="shared" si="123"/>
        <v>70.942796687894273</v>
      </c>
      <c r="V294" s="223">
        <f t="shared" si="123"/>
        <v>68.552510433925903</v>
      </c>
      <c r="W294" s="223">
        <f t="shared" si="123"/>
        <v>76.410414800459606</v>
      </c>
      <c r="X294" s="223">
        <f t="shared" si="123"/>
        <v>73.291468903453165</v>
      </c>
      <c r="Y294" s="223">
        <f t="shared" si="123"/>
        <v>81.092142677156005</v>
      </c>
      <c r="Z294" s="223">
        <f t="shared" si="123"/>
        <v>78.494590073645099</v>
      </c>
      <c r="AA294" s="72"/>
      <c r="AB294" s="76"/>
      <c r="AC294" s="222">
        <v>86.365140926757505</v>
      </c>
      <c r="AD294" s="222">
        <v>83.487998664704421</v>
      </c>
      <c r="AE294" s="222">
        <v>89.7</v>
      </c>
      <c r="AF294" s="222">
        <v>74.900000000000006</v>
      </c>
      <c r="AG294" s="222">
        <v>75</v>
      </c>
      <c r="AH294" s="222">
        <v>-8.6999999999999993</v>
      </c>
      <c r="AI294" s="222">
        <v>43.2</v>
      </c>
      <c r="AJ294" s="222">
        <v>47.1</v>
      </c>
      <c r="AK294" s="222">
        <v>-19.5</v>
      </c>
      <c r="AL294" s="222">
        <v>29.2</v>
      </c>
      <c r="AM294" s="222">
        <v>73.099999999999994</v>
      </c>
      <c r="AN294" s="222">
        <v>65.7</v>
      </c>
      <c r="AO294" s="222">
        <v>65.457499379226036</v>
      </c>
      <c r="AP294" s="222">
        <v>63.020231265777902</v>
      </c>
      <c r="AQ294" s="222">
        <v>69.029183984231807</v>
      </c>
      <c r="AR294" s="222">
        <v>68.680180551228602</v>
      </c>
      <c r="AS294" s="222">
        <v>70.942796687894273</v>
      </c>
      <c r="AT294" s="222">
        <v>68.552510433925903</v>
      </c>
      <c r="AU294" s="222">
        <v>76.410414800459606</v>
      </c>
      <c r="AV294" s="222">
        <v>73.291468903453165</v>
      </c>
      <c r="AW294" s="222">
        <v>81.092142677156005</v>
      </c>
      <c r="AX294" s="222">
        <v>78.494590073645099</v>
      </c>
      <c r="AY294" s="76"/>
      <c r="AZ294" s="77" t="s">
        <v>1259</v>
      </c>
      <c r="BA294" s="77" t="s">
        <v>1264</v>
      </c>
      <c r="BB294" s="78" t="s">
        <v>1261</v>
      </c>
      <c r="BC294" s="76"/>
      <c r="BD294" s="79">
        <f>_xll.VAData($AZ294,BD$2,$BA294,$BB294)</f>
        <v>86.492112741406004</v>
      </c>
      <c r="BE294" s="79">
        <f>_xll.VAData($AZ294,BE$2,$BA294,$BB294)</f>
        <v>77.787171146769893</v>
      </c>
      <c r="BF294" s="79">
        <f>_xll.VAData($AZ294,BF$2,$BA294,$BB294)</f>
        <v>89.7</v>
      </c>
      <c r="BG294" s="79">
        <f>_xll.VAData($AZ294,BG$2,$BA294,$BB294)</f>
        <v>74.900000000000006</v>
      </c>
      <c r="BH294" s="79">
        <f>_xll.VAData($AZ294,BH$2,$BA294,$BB294)</f>
        <v>75</v>
      </c>
      <c r="BI294" s="79">
        <f>_xll.VAData($AZ294,BI$2,$BA294,$BB294)</f>
        <v>-8.6999999999999993</v>
      </c>
      <c r="BJ294" s="79">
        <f>_xll.VAData($AZ294,BJ$2,$BA294,$BB294)</f>
        <v>43.2</v>
      </c>
      <c r="BK294" s="79">
        <f>_xll.VAData($AZ294,BK$2,$BA294,$BB294)</f>
        <v>46.8</v>
      </c>
      <c r="BL294" s="79">
        <f>_xll.VAData($AZ294,BL$2,$BA294,$BB294)</f>
        <v>-19.5</v>
      </c>
      <c r="BM294" s="79">
        <f>_xll.VAData($AZ294,BM$2,$BA294,$BB294)</f>
        <v>29.2</v>
      </c>
      <c r="BN294" s="79">
        <f>_xll.VAData($AZ294,BN$2,$BA294,$BB294)</f>
        <v>72.8</v>
      </c>
      <c r="BO294" s="79">
        <f>_xll.VAData($AZ294,BO$2,$BA294,$BB294)</f>
        <v>60</v>
      </c>
      <c r="BP294" s="79">
        <f>_xll.VAData($AZ294,BP$2,$BA294,$BB294)</f>
        <v>64.503334625050996</v>
      </c>
      <c r="BQ294" s="79">
        <f>_xll.VAData($AZ294,BQ$2,$BA294,$BB294)</f>
        <v>58.7</v>
      </c>
      <c r="BR294" s="79">
        <f>_xll.VAData($AZ294,BR$2,$BA294,$BB294)</f>
        <v>44.2</v>
      </c>
      <c r="BS294" s="79">
        <f>_xll.VAData($AZ294,BS$2,$BA294,$BB294)</f>
        <v>27.3</v>
      </c>
      <c r="BT294" s="79">
        <f>_xll.VAData($AZ294,BT$2,$BA294,$BB294)</f>
        <v>14.4</v>
      </c>
      <c r="BU294" s="79">
        <f>_xll.VAData($AZ294,BU$2,$BA294,$BB294)</f>
        <v>23.6</v>
      </c>
      <c r="BV294" s="79">
        <f>_xll.VAData($AZ294,BV$2,$BA294,$BB294)</f>
        <v>7.6747473825272037</v>
      </c>
      <c r="BW294" s="79">
        <f>_xll.VAData($AZ294,BW$2,$BA294,$BB294)</f>
        <v>15.845528670395266</v>
      </c>
      <c r="BX294" s="79">
        <f>_xll.VAData($AZ294,BX$2,$BA294,$BB294)</f>
        <v>26.239809793017852</v>
      </c>
      <c r="BY294" s="79">
        <f>_xll.VAData($AZ294,BY$2,$BA294,$BB294)</f>
        <v>31.2943531632651</v>
      </c>
    </row>
    <row r="295" spans="2:77">
      <c r="B295" s="74"/>
      <c r="C295" s="72" t="s">
        <v>72</v>
      </c>
      <c r="D295" s="225" t="s">
        <v>1343</v>
      </c>
      <c r="E295" s="226">
        <f>HY!E348</f>
        <v>0</v>
      </c>
      <c r="F295" s="226">
        <f>HY!F348</f>
        <v>0</v>
      </c>
      <c r="G295" s="226">
        <f>HY!G348</f>
        <v>89.7</v>
      </c>
      <c r="H295" s="226">
        <f>HY!H348</f>
        <v>74.899999999999991</v>
      </c>
      <c r="I295" s="226">
        <f>HY!I348</f>
        <v>75</v>
      </c>
      <c r="J295" s="226">
        <f>HY!J348</f>
        <v>-8.7000000000000028</v>
      </c>
      <c r="K295" s="226">
        <f>HY!K348</f>
        <v>43.2</v>
      </c>
      <c r="L295" s="226">
        <f>HY!L348</f>
        <v>46.8</v>
      </c>
      <c r="M295" s="226">
        <f>HY!M348</f>
        <v>-19.5</v>
      </c>
      <c r="N295" s="226">
        <f>HY!N348</f>
        <v>29.2</v>
      </c>
      <c r="O295" s="226">
        <f>HY!O348</f>
        <v>72.8</v>
      </c>
      <c r="P295" s="226">
        <f>HY!P348</f>
        <v>59.899999999999991</v>
      </c>
      <c r="Q295" s="226">
        <f>HY!Q348</f>
        <v>64.5</v>
      </c>
      <c r="R295" s="226">
        <f>HY!R348</f>
        <v>58.7</v>
      </c>
      <c r="S295" s="226">
        <f>HY!S348</f>
        <v>44.2</v>
      </c>
      <c r="T295" s="226">
        <f>HY!T348</f>
        <v>27.299999999999997</v>
      </c>
      <c r="U295" s="226">
        <f>HY!U348</f>
        <v>14.4</v>
      </c>
      <c r="V295" s="226">
        <f>HY!V348</f>
        <v>23.6</v>
      </c>
      <c r="W295" s="226">
        <f>HY!W348</f>
        <v>9.4200085800075293</v>
      </c>
      <c r="X295" s="226">
        <f>HY!X348</f>
        <v>21.030314271929804</v>
      </c>
      <c r="Y295" s="226">
        <f>HY!Y348</f>
        <v>25.007743361611958</v>
      </c>
      <c r="Z295" s="226">
        <f>HY!Z348</f>
        <v>29.756667714427941</v>
      </c>
      <c r="AA295" s="72"/>
      <c r="AB295" s="76"/>
      <c r="AC295" s="221"/>
      <c r="AD295" s="221"/>
      <c r="AE295" s="221"/>
      <c r="AF295" s="221"/>
      <c r="AG295" s="221"/>
      <c r="AH295" s="221"/>
      <c r="AI295" s="221"/>
      <c r="AJ295" s="221"/>
      <c r="AK295" s="221"/>
      <c r="AL295" s="221"/>
      <c r="AM295" s="221"/>
      <c r="AN295" s="221"/>
      <c r="AO295" s="221"/>
      <c r="AP295" s="221"/>
      <c r="AQ295" s="221"/>
      <c r="AR295" s="221"/>
      <c r="AS295" s="221"/>
      <c r="AT295" s="221"/>
      <c r="AU295" s="221"/>
      <c r="AV295" s="221"/>
      <c r="AW295" s="221"/>
      <c r="AX295" s="221"/>
      <c r="AY295" s="76"/>
      <c r="AZ295" s="77"/>
      <c r="BA295" s="77"/>
      <c r="BB295" s="78"/>
      <c r="BC295" s="76"/>
      <c r="BD295" s="221"/>
      <c r="BE295" s="221"/>
      <c r="BF295" s="221"/>
      <c r="BG295" s="221"/>
      <c r="BH295" s="221"/>
      <c r="BI295" s="221"/>
      <c r="BJ295" s="221"/>
      <c r="BK295" s="221"/>
      <c r="BL295" s="221"/>
      <c r="BM295" s="221"/>
      <c r="BN295" s="221"/>
      <c r="BO295" s="221"/>
      <c r="BP295" s="221"/>
      <c r="BQ295" s="221"/>
      <c r="BR295" s="221"/>
      <c r="BS295" s="221"/>
      <c r="BT295" s="221"/>
      <c r="BU295" s="221"/>
      <c r="BV295" s="221"/>
      <c r="BW295" s="221"/>
      <c r="BX295" s="221"/>
      <c r="BY295" s="221"/>
    </row>
    <row r="296" spans="2:77">
      <c r="B296" s="74"/>
      <c r="C296" s="81" t="s">
        <v>88</v>
      </c>
      <c r="D296" s="72" t="s">
        <v>1344</v>
      </c>
      <c r="E296" s="227" t="str">
        <f t="shared" ref="E296:Z296" si="124">IFERROR(ROUND(E294/E295-1,3),"")</f>
        <v/>
      </c>
      <c r="F296" s="227" t="str">
        <f t="shared" si="124"/>
        <v/>
      </c>
      <c r="G296" s="227">
        <f t="shared" si="124"/>
        <v>0</v>
      </c>
      <c r="H296" s="227">
        <f t="shared" si="124"/>
        <v>0</v>
      </c>
      <c r="I296" s="227">
        <f t="shared" si="124"/>
        <v>0</v>
      </c>
      <c r="J296" s="227">
        <f t="shared" si="124"/>
        <v>0</v>
      </c>
      <c r="K296" s="227">
        <f t="shared" si="124"/>
        <v>0</v>
      </c>
      <c r="L296" s="227">
        <f t="shared" si="124"/>
        <v>6.0000000000000001E-3</v>
      </c>
      <c r="M296" s="227">
        <f t="shared" si="124"/>
        <v>0</v>
      </c>
      <c r="N296" s="227">
        <f t="shared" si="124"/>
        <v>0</v>
      </c>
      <c r="O296" s="227">
        <f t="shared" si="124"/>
        <v>4.0000000000000001E-3</v>
      </c>
      <c r="P296" s="227">
        <f t="shared" si="124"/>
        <v>9.7000000000000003E-2</v>
      </c>
      <c r="Q296" s="227">
        <f t="shared" si="124"/>
        <v>1.4999999999999999E-2</v>
      </c>
      <c r="R296" s="227">
        <f t="shared" si="124"/>
        <v>7.3999999999999996E-2</v>
      </c>
      <c r="S296" s="227">
        <f t="shared" si="124"/>
        <v>0.56200000000000006</v>
      </c>
      <c r="T296" s="227">
        <f t="shared" si="124"/>
        <v>1.516</v>
      </c>
      <c r="U296" s="227">
        <f t="shared" si="124"/>
        <v>3.927</v>
      </c>
      <c r="V296" s="227">
        <f t="shared" si="124"/>
        <v>1.905</v>
      </c>
      <c r="W296" s="227">
        <f t="shared" si="124"/>
        <v>7.1120000000000001</v>
      </c>
      <c r="X296" s="227">
        <f t="shared" si="124"/>
        <v>2.4849999999999999</v>
      </c>
      <c r="Y296" s="227">
        <f t="shared" si="124"/>
        <v>2.2429999999999999</v>
      </c>
      <c r="Z296" s="227">
        <f t="shared" si="124"/>
        <v>1.6379999999999999</v>
      </c>
      <c r="AA296" s="72"/>
      <c r="AB296" s="76"/>
      <c r="AC296" s="221"/>
      <c r="AD296" s="221"/>
      <c r="AE296" s="221"/>
      <c r="AF296" s="221"/>
      <c r="AG296" s="221"/>
      <c r="AH296" s="221"/>
      <c r="AI296" s="221"/>
      <c r="AJ296" s="221"/>
      <c r="AK296" s="221"/>
      <c r="AL296" s="221"/>
      <c r="AM296" s="221"/>
      <c r="AN296" s="221"/>
      <c r="AO296" s="221"/>
      <c r="AP296" s="221"/>
      <c r="AQ296" s="221"/>
      <c r="AR296" s="221"/>
      <c r="AS296" s="221"/>
      <c r="AT296" s="221"/>
      <c r="AU296" s="221"/>
      <c r="AV296" s="221"/>
      <c r="AW296" s="221"/>
      <c r="AX296" s="221"/>
      <c r="AY296" s="76"/>
      <c r="AZ296" s="77"/>
      <c r="BA296" s="77"/>
      <c r="BB296" s="78"/>
      <c r="BC296" s="76"/>
      <c r="BD296" s="221"/>
      <c r="BE296" s="221"/>
      <c r="BF296" s="221"/>
      <c r="BG296" s="221"/>
      <c r="BH296" s="221"/>
      <c r="BI296" s="221"/>
      <c r="BJ296" s="221"/>
      <c r="BK296" s="221"/>
      <c r="BL296" s="221"/>
      <c r="BM296" s="221"/>
      <c r="BN296" s="221"/>
      <c r="BO296" s="221"/>
      <c r="BP296" s="221"/>
      <c r="BQ296" s="221"/>
      <c r="BR296" s="221"/>
      <c r="BS296" s="221"/>
      <c r="BT296" s="221"/>
      <c r="BU296" s="221"/>
      <c r="BV296" s="221"/>
      <c r="BW296" s="221"/>
      <c r="BX296" s="221"/>
      <c r="BY296" s="221"/>
    </row>
    <row r="298" spans="2:77">
      <c r="B298" s="74" t="str">
        <f>BA298</f>
        <v>EPS - Basic - Operating</v>
      </c>
      <c r="C298" s="72" t="s">
        <v>72</v>
      </c>
      <c r="D298" s="224" t="s">
        <v>1342</v>
      </c>
      <c r="E298" s="223">
        <f t="shared" ref="E298:Z298" si="125">AC298</f>
        <v>12.9036050483969</v>
      </c>
      <c r="F298" s="223">
        <f t="shared" si="125"/>
        <v>12.4806967041633</v>
      </c>
      <c r="G298" s="223">
        <f t="shared" si="125"/>
        <v>13.3</v>
      </c>
      <c r="H298" s="223">
        <f t="shared" si="125"/>
        <v>11.1</v>
      </c>
      <c r="I298" s="223">
        <f t="shared" si="125"/>
        <v>11.3</v>
      </c>
      <c r="J298" s="223">
        <f t="shared" si="125"/>
        <v>-1.3</v>
      </c>
      <c r="K298" s="223">
        <f t="shared" si="125"/>
        <v>5.7476184576770999</v>
      </c>
      <c r="L298" s="223">
        <f t="shared" si="125"/>
        <v>6.1486865952239</v>
      </c>
      <c r="M298" s="223">
        <f t="shared" si="125"/>
        <v>-2.5684030518285001</v>
      </c>
      <c r="N298" s="223">
        <f t="shared" si="125"/>
        <v>3.9</v>
      </c>
      <c r="O298" s="223">
        <f t="shared" si="125"/>
        <v>9.6</v>
      </c>
      <c r="P298" s="223">
        <f t="shared" si="125"/>
        <v>8.6999999999999993</v>
      </c>
      <c r="Q298" s="223">
        <f t="shared" si="125"/>
        <v>8.6137496100456996</v>
      </c>
      <c r="R298" s="223">
        <f t="shared" si="125"/>
        <v>8.2933915439130992</v>
      </c>
      <c r="S298" s="223">
        <f t="shared" si="125"/>
        <v>9.0803361754432004</v>
      </c>
      <c r="T298" s="223">
        <f t="shared" si="125"/>
        <v>9.0344270739321999</v>
      </c>
      <c r="U298" s="223">
        <f t="shared" si="125"/>
        <v>9.3320595812283003</v>
      </c>
      <c r="V298" s="223">
        <f t="shared" si="125"/>
        <v>9.0176331539404995</v>
      </c>
      <c r="W298" s="223">
        <f t="shared" si="125"/>
        <v>10.0512888577166</v>
      </c>
      <c r="X298" s="223">
        <f t="shared" si="125"/>
        <v>9.6410120457928006</v>
      </c>
      <c r="Y298" s="223">
        <f t="shared" si="125"/>
        <v>10.667139429354499</v>
      </c>
      <c r="Z298" s="223">
        <f t="shared" si="125"/>
        <v>10.325448491145</v>
      </c>
      <c r="AA298" s="72"/>
      <c r="AB298" s="76"/>
      <c r="AC298" s="222">
        <v>12.9036050483969</v>
      </c>
      <c r="AD298" s="222">
        <v>12.4806967041633</v>
      </c>
      <c r="AE298" s="222">
        <v>13.3</v>
      </c>
      <c r="AF298" s="222">
        <v>11.1</v>
      </c>
      <c r="AG298" s="222">
        <v>11.3</v>
      </c>
      <c r="AH298" s="222">
        <v>-1.3</v>
      </c>
      <c r="AI298" s="222">
        <v>5.7476184576770999</v>
      </c>
      <c r="AJ298" s="222">
        <v>6.1486865952239</v>
      </c>
      <c r="AK298" s="222">
        <v>-2.5684030518285001</v>
      </c>
      <c r="AL298" s="222">
        <v>3.9</v>
      </c>
      <c r="AM298" s="222">
        <v>9.6</v>
      </c>
      <c r="AN298" s="222">
        <v>8.6999999999999993</v>
      </c>
      <c r="AO298" s="222">
        <v>8.6137496100456996</v>
      </c>
      <c r="AP298" s="222">
        <v>8.2933915439130992</v>
      </c>
      <c r="AQ298" s="222">
        <v>9.0803361754432004</v>
      </c>
      <c r="AR298" s="222">
        <v>9.0344270739321999</v>
      </c>
      <c r="AS298" s="222">
        <v>9.3320595812283003</v>
      </c>
      <c r="AT298" s="222">
        <v>9.0176331539404995</v>
      </c>
      <c r="AU298" s="222">
        <v>10.0512888577166</v>
      </c>
      <c r="AV298" s="222">
        <v>9.6410120457928006</v>
      </c>
      <c r="AW298" s="222">
        <v>10.667139429354499</v>
      </c>
      <c r="AX298" s="222">
        <v>10.325448491145</v>
      </c>
      <c r="AY298" s="76"/>
      <c r="AZ298" s="77" t="s">
        <v>1259</v>
      </c>
      <c r="BA298" s="77" t="s">
        <v>1265</v>
      </c>
      <c r="BB298" s="78" t="s">
        <v>1261</v>
      </c>
      <c r="BC298" s="76"/>
      <c r="BD298" s="79">
        <f>_xll.VAData($AZ298,BD$2,$BA298,$BB298)</f>
        <v>12.9036050483969</v>
      </c>
      <c r="BE298" s="79">
        <f>_xll.VAData($AZ298,BE$2,$BA298,$BB298)</f>
        <v>11.4367905295912</v>
      </c>
      <c r="BF298" s="79">
        <f>_xll.VAData($AZ298,BF$2,$BA298,$BB298)</f>
        <v>13.3</v>
      </c>
      <c r="BG298" s="79">
        <f>_xll.VAData($AZ298,BG$2,$BA298,$BB298)</f>
        <v>11.1</v>
      </c>
      <c r="BH298" s="79">
        <f>_xll.VAData($AZ298,BH$2,$BA298,$BB298)</f>
        <v>11.3</v>
      </c>
      <c r="BI298" s="79">
        <f>_xll.VAData($AZ298,BI$2,$BA298,$BB298)</f>
        <v>-1.3</v>
      </c>
      <c r="BJ298" s="79">
        <f>_xll.VAData($AZ298,BJ$2,$BA298,$BB298)</f>
        <v>5.7476184576770999</v>
      </c>
      <c r="BK298" s="79">
        <f>_xll.VAData($AZ298,BK$2,$BA298,$BB298)</f>
        <v>6.1403716617924999</v>
      </c>
      <c r="BL298" s="79">
        <f>_xll.VAData($AZ298,BL$2,$BA298,$BB298)</f>
        <v>-2.5651056553306</v>
      </c>
      <c r="BM298" s="79">
        <f>_xll.VAData($AZ298,BM$2,$BA298,$BB298)</f>
        <v>3.9</v>
      </c>
      <c r="BN298" s="79">
        <f>_xll.VAData($AZ298,BN$2,$BA298,$BB298)</f>
        <v>9.6</v>
      </c>
      <c r="BO298" s="79">
        <f>_xll.VAData($AZ298,BO$2,$BA298,$BB298)</f>
        <v>7.9143432633573996</v>
      </c>
      <c r="BP298" s="79">
        <f>_xll.VAData($AZ298,BP$2,$BA298,$BB298)</f>
        <v>8.8000000000000007</v>
      </c>
      <c r="BQ298" s="79">
        <f>_xll.VAData($AZ298,BQ$2,$BA298,$BB298)</f>
        <v>7.4</v>
      </c>
      <c r="BR298" s="79">
        <f>_xll.VAData($AZ298,BR$2,$BA298,$BB298)</f>
        <v>5</v>
      </c>
      <c r="BS298" s="79">
        <f>_xll.VAData($AZ298,BS$2,$BA298,$BB298)</f>
        <v>3.5963321734389</v>
      </c>
      <c r="BT298" s="79">
        <f>_xll.VAData($AZ298,BT$2,$BA298,$BB298)</f>
        <v>1.305465220359</v>
      </c>
      <c r="BU298" s="79">
        <f>_xll.VAData($AZ298,BU$2,$BA298,$BB298)</f>
        <v>2.3584510028929002</v>
      </c>
      <c r="BV298" s="79">
        <f>_xll.VAData($AZ298,BV$2,$BA298,$BB298)</f>
        <v>0.69577192937020005</v>
      </c>
      <c r="BW298" s="79">
        <f>_xll.VAData($AZ298,BW$2,$BA298,$BB298)</f>
        <v>1.4365129567641</v>
      </c>
      <c r="BX298" s="79">
        <f>_xll.VAData($AZ298,BX$2,$BA298,$BB298)</f>
        <v>2.3788304912237002</v>
      </c>
      <c r="BY298" s="79">
        <f>_xll.VAData($AZ298,BY$2,$BA298,$BB298)</f>
        <v>2.8370617811302998</v>
      </c>
    </row>
    <row r="299" spans="2:77">
      <c r="B299" s="74"/>
      <c r="C299" s="72" t="s">
        <v>72</v>
      </c>
      <c r="D299" s="225" t="s">
        <v>1343</v>
      </c>
      <c r="E299" s="226">
        <f>HY!E349</f>
        <v>0</v>
      </c>
      <c r="F299" s="226">
        <f>HY!F349</f>
        <v>0</v>
      </c>
      <c r="G299" s="226">
        <f>HY!G349</f>
        <v>13.3</v>
      </c>
      <c r="H299" s="226">
        <f>HY!H349</f>
        <v>11.099999999999998</v>
      </c>
      <c r="I299" s="226">
        <f>HY!I349</f>
        <v>11.3</v>
      </c>
      <c r="J299" s="226">
        <f>HY!J349</f>
        <v>-1.3000000000000007</v>
      </c>
      <c r="K299" s="226">
        <f>HY!K349</f>
        <v>5.7</v>
      </c>
      <c r="L299" s="226">
        <f>HY!L349</f>
        <v>6.2</v>
      </c>
      <c r="M299" s="226">
        <f>HY!M349</f>
        <v>-2.6</v>
      </c>
      <c r="N299" s="226">
        <f>HY!N349</f>
        <v>3.9000000000000004</v>
      </c>
      <c r="O299" s="226">
        <f>HY!O349</f>
        <v>9.6</v>
      </c>
      <c r="P299" s="226">
        <f>HY!P349</f>
        <v>8.7000000000000011</v>
      </c>
      <c r="Q299" s="226">
        <f>HY!Q349</f>
        <v>8.8000000000000007</v>
      </c>
      <c r="R299" s="226">
        <f>HY!R349</f>
        <v>7.3999999999999986</v>
      </c>
      <c r="S299" s="226">
        <f>HY!S349</f>
        <v>5</v>
      </c>
      <c r="T299" s="226">
        <f>HY!T349</f>
        <v>4.4000000000000004</v>
      </c>
      <c r="U299" s="226">
        <f>HY!U349</f>
        <v>1.5</v>
      </c>
      <c r="V299" s="226">
        <f>HY!V349</f>
        <v>2.2000000000000002</v>
      </c>
      <c r="W299" s="226">
        <f>HY!W349</f>
        <v>0.85399260949191125</v>
      </c>
      <c r="X299" s="226">
        <f>HY!X349</f>
        <v>1.9065516566128184</v>
      </c>
      <c r="Y299" s="226">
        <f>HY!Y349</f>
        <v>2.2671346665450649</v>
      </c>
      <c r="Z299" s="226">
        <f>HY!Z349</f>
        <v>2.697659359372655</v>
      </c>
      <c r="AA299" s="72"/>
      <c r="AB299" s="76"/>
      <c r="AC299" s="221"/>
      <c r="AD299" s="221"/>
      <c r="AE299" s="221"/>
      <c r="AF299" s="221"/>
      <c r="AG299" s="221"/>
      <c r="AH299" s="221"/>
      <c r="AI299" s="221"/>
      <c r="AJ299" s="221"/>
      <c r="AK299" s="221"/>
      <c r="AL299" s="221"/>
      <c r="AM299" s="221"/>
      <c r="AN299" s="221"/>
      <c r="AO299" s="221"/>
      <c r="AP299" s="221"/>
      <c r="AQ299" s="221"/>
      <c r="AR299" s="221"/>
      <c r="AS299" s="221"/>
      <c r="AT299" s="221"/>
      <c r="AU299" s="221"/>
      <c r="AV299" s="221"/>
      <c r="AW299" s="221"/>
      <c r="AX299" s="221"/>
      <c r="AY299" s="76"/>
      <c r="AZ299" s="77"/>
      <c r="BA299" s="77"/>
      <c r="BB299" s="78"/>
      <c r="BC299" s="76"/>
      <c r="BD299" s="221"/>
      <c r="BE299" s="221"/>
      <c r="BF299" s="221"/>
      <c r="BG299" s="221"/>
      <c r="BH299" s="221"/>
      <c r="BI299" s="221"/>
      <c r="BJ299" s="221"/>
      <c r="BK299" s="221"/>
      <c r="BL299" s="221"/>
      <c r="BM299" s="221"/>
      <c r="BN299" s="221"/>
      <c r="BO299" s="221"/>
      <c r="BP299" s="221"/>
      <c r="BQ299" s="221"/>
      <c r="BR299" s="221"/>
      <c r="BS299" s="221"/>
      <c r="BT299" s="221"/>
      <c r="BU299" s="221"/>
      <c r="BV299" s="221"/>
      <c r="BW299" s="221"/>
      <c r="BX299" s="221"/>
      <c r="BY299" s="221"/>
    </row>
    <row r="300" spans="2:77">
      <c r="B300" s="74"/>
      <c r="C300" s="81" t="s">
        <v>88</v>
      </c>
      <c r="D300" s="72" t="s">
        <v>1344</v>
      </c>
      <c r="E300" s="227" t="str">
        <f t="shared" ref="E300:Z300" si="126">IFERROR(ROUND(E298/E299-1,3),"")</f>
        <v/>
      </c>
      <c r="F300" s="227" t="str">
        <f t="shared" si="126"/>
        <v/>
      </c>
      <c r="G300" s="227">
        <f t="shared" si="126"/>
        <v>0</v>
      </c>
      <c r="H300" s="227">
        <f t="shared" si="126"/>
        <v>0</v>
      </c>
      <c r="I300" s="227">
        <f t="shared" si="126"/>
        <v>0</v>
      </c>
      <c r="J300" s="227">
        <f t="shared" si="126"/>
        <v>0</v>
      </c>
      <c r="K300" s="227">
        <f t="shared" si="126"/>
        <v>8.0000000000000002E-3</v>
      </c>
      <c r="L300" s="227">
        <f t="shared" si="126"/>
        <v>-8.0000000000000002E-3</v>
      </c>
      <c r="M300" s="227">
        <f t="shared" si="126"/>
        <v>-1.2E-2</v>
      </c>
      <c r="N300" s="227">
        <f t="shared" si="126"/>
        <v>0</v>
      </c>
      <c r="O300" s="227">
        <f t="shared" si="126"/>
        <v>0</v>
      </c>
      <c r="P300" s="227">
        <f t="shared" si="126"/>
        <v>0</v>
      </c>
      <c r="Q300" s="227">
        <f t="shared" si="126"/>
        <v>-2.1000000000000001E-2</v>
      </c>
      <c r="R300" s="227">
        <f t="shared" si="126"/>
        <v>0.121</v>
      </c>
      <c r="S300" s="227">
        <f t="shared" si="126"/>
        <v>0.81599999999999995</v>
      </c>
      <c r="T300" s="227">
        <f t="shared" si="126"/>
        <v>1.0529999999999999</v>
      </c>
      <c r="U300" s="227">
        <f t="shared" si="126"/>
        <v>5.2210000000000001</v>
      </c>
      <c r="V300" s="227">
        <f t="shared" si="126"/>
        <v>3.0990000000000002</v>
      </c>
      <c r="W300" s="227">
        <f t="shared" si="126"/>
        <v>10.77</v>
      </c>
      <c r="X300" s="227">
        <f t="shared" si="126"/>
        <v>4.0570000000000004</v>
      </c>
      <c r="Y300" s="227">
        <f t="shared" si="126"/>
        <v>3.7050000000000001</v>
      </c>
      <c r="Z300" s="227">
        <f t="shared" si="126"/>
        <v>2.8279999999999998</v>
      </c>
      <c r="AA300" s="72"/>
      <c r="AB300" s="76"/>
      <c r="AC300" s="221"/>
      <c r="AD300" s="221"/>
      <c r="AE300" s="221"/>
      <c r="AF300" s="221"/>
      <c r="AG300" s="221"/>
      <c r="AH300" s="221"/>
      <c r="AI300" s="221"/>
      <c r="AJ300" s="221"/>
      <c r="AK300" s="221"/>
      <c r="AL300" s="221"/>
      <c r="AM300" s="221"/>
      <c r="AN300" s="221"/>
      <c r="AO300" s="221"/>
      <c r="AP300" s="221"/>
      <c r="AQ300" s="221"/>
      <c r="AR300" s="221"/>
      <c r="AS300" s="221"/>
      <c r="AT300" s="221"/>
      <c r="AU300" s="221"/>
      <c r="AV300" s="221"/>
      <c r="AW300" s="221"/>
      <c r="AX300" s="221"/>
      <c r="AY300" s="76"/>
      <c r="AZ300" s="77"/>
      <c r="BA300" s="77"/>
      <c r="BB300" s="78"/>
      <c r="BC300" s="76"/>
      <c r="BD300" s="221"/>
      <c r="BE300" s="221"/>
      <c r="BF300" s="221"/>
      <c r="BG300" s="221"/>
      <c r="BH300" s="221"/>
      <c r="BI300" s="221"/>
      <c r="BJ300" s="221"/>
      <c r="BK300" s="221"/>
      <c r="BL300" s="221"/>
      <c r="BM300" s="221"/>
      <c r="BN300" s="221"/>
      <c r="BO300" s="221"/>
      <c r="BP300" s="221"/>
      <c r="BQ300" s="221"/>
      <c r="BR300" s="221"/>
      <c r="BS300" s="221"/>
      <c r="BT300" s="221"/>
      <c r="BU300" s="221"/>
      <c r="BV300" s="221"/>
      <c r="BW300" s="221"/>
      <c r="BX300" s="221"/>
      <c r="BY300" s="221"/>
    </row>
    <row r="302" spans="2:77">
      <c r="B302" s="74" t="str">
        <f>BA302</f>
        <v>Dividend per share</v>
      </c>
      <c r="C302" s="72" t="s">
        <v>72</v>
      </c>
      <c r="D302" s="224" t="s">
        <v>1342</v>
      </c>
      <c r="E302" s="223">
        <f t="shared" ref="E302:Z302" si="127">AC302</f>
        <v>10</v>
      </c>
      <c r="F302" s="223">
        <f t="shared" si="127"/>
        <v>10</v>
      </c>
      <c r="G302" s="223">
        <f t="shared" si="127"/>
        <v>10</v>
      </c>
      <c r="H302" s="223">
        <f t="shared" si="127"/>
        <v>10</v>
      </c>
      <c r="I302" s="223">
        <f t="shared" si="127"/>
        <v>10</v>
      </c>
      <c r="J302" s="223">
        <f t="shared" si="127"/>
        <v>0</v>
      </c>
      <c r="K302" s="223">
        <f t="shared" si="127"/>
        <v>0</v>
      </c>
      <c r="L302" s="223">
        <f t="shared" si="127"/>
        <v>7</v>
      </c>
      <c r="M302" s="223">
        <f t="shared" si="127"/>
        <v>0</v>
      </c>
      <c r="N302" s="223">
        <f t="shared" si="127"/>
        <v>0</v>
      </c>
      <c r="O302" s="223">
        <f t="shared" si="127"/>
        <v>6</v>
      </c>
      <c r="P302" s="223">
        <f t="shared" si="127"/>
        <v>6</v>
      </c>
      <c r="Q302" s="223">
        <f t="shared" si="127"/>
        <v>6.0846040796620002</v>
      </c>
      <c r="R302" s="223">
        <f t="shared" si="127"/>
        <v>6.3156415816619997</v>
      </c>
      <c r="S302" s="223">
        <f t="shared" si="127"/>
        <v>6.9397897924130003</v>
      </c>
      <c r="T302" s="223">
        <f t="shared" si="127"/>
        <v>6.5257726999130004</v>
      </c>
      <c r="U302" s="223">
        <f t="shared" si="127"/>
        <v>7.2878357466667003</v>
      </c>
      <c r="V302" s="223">
        <f t="shared" si="127"/>
        <v>6.8823871833333001</v>
      </c>
      <c r="W302" s="223">
        <f t="shared" si="127"/>
        <v>7.9564892033332999</v>
      </c>
      <c r="X302" s="223">
        <f t="shared" si="127"/>
        <v>7.5358805999999996</v>
      </c>
      <c r="Y302" s="223">
        <f t="shared" si="127"/>
        <v>8.2973498666666998</v>
      </c>
      <c r="Z302" s="223">
        <f t="shared" si="127"/>
        <v>8.0277469400000001</v>
      </c>
      <c r="AA302" s="72"/>
      <c r="AB302" s="76"/>
      <c r="AC302" s="222">
        <v>10</v>
      </c>
      <c r="AD302" s="222">
        <v>10</v>
      </c>
      <c r="AE302" s="222">
        <v>10</v>
      </c>
      <c r="AF302" s="222">
        <v>10</v>
      </c>
      <c r="AG302" s="222">
        <v>10</v>
      </c>
      <c r="AH302" s="222">
        <v>0</v>
      </c>
      <c r="AI302" s="222">
        <v>0</v>
      </c>
      <c r="AJ302" s="222">
        <v>7</v>
      </c>
      <c r="AK302" s="222">
        <v>0</v>
      </c>
      <c r="AL302" s="222">
        <v>0</v>
      </c>
      <c r="AM302" s="222">
        <v>6</v>
      </c>
      <c r="AN302" s="222">
        <v>6</v>
      </c>
      <c r="AO302" s="222">
        <v>6.0846040796620002</v>
      </c>
      <c r="AP302" s="222">
        <v>6.3156415816619997</v>
      </c>
      <c r="AQ302" s="222">
        <v>6.9397897924130003</v>
      </c>
      <c r="AR302" s="222">
        <v>6.5257726999130004</v>
      </c>
      <c r="AS302" s="222">
        <v>7.2878357466667003</v>
      </c>
      <c r="AT302" s="222">
        <v>6.8823871833333001</v>
      </c>
      <c r="AU302" s="222">
        <v>7.9564892033332999</v>
      </c>
      <c r="AV302" s="222">
        <v>7.5358805999999996</v>
      </c>
      <c r="AW302" s="222">
        <v>8.2973498666666998</v>
      </c>
      <c r="AX302" s="222">
        <v>8.0277469400000001</v>
      </c>
      <c r="AY302" s="76"/>
      <c r="AZ302" s="77" t="s">
        <v>1259</v>
      </c>
      <c r="BA302" s="77" t="s">
        <v>1268</v>
      </c>
      <c r="BB302" s="78" t="s">
        <v>1261</v>
      </c>
      <c r="BC302" s="76"/>
      <c r="BD302" s="79">
        <f>_xll.VAData($AZ302,BD$2,$BA302,$BB302)</f>
        <v>10</v>
      </c>
      <c r="BE302" s="79">
        <f>_xll.VAData($AZ302,BE$2,$BA302,$BB302)</f>
        <v>10</v>
      </c>
      <c r="BF302" s="79">
        <f>_xll.VAData($AZ302,BF$2,$BA302,$BB302)</f>
        <v>10</v>
      </c>
      <c r="BG302" s="79">
        <f>_xll.VAData($AZ302,BG$2,$BA302,$BB302)</f>
        <v>10</v>
      </c>
      <c r="BH302" s="79">
        <f>_xll.VAData($AZ302,BH$2,$BA302,$BB302)</f>
        <v>10</v>
      </c>
      <c r="BI302" s="79">
        <f>_xll.VAData($AZ302,BI$2,$BA302,$BB302)</f>
        <v>0</v>
      </c>
      <c r="BJ302" s="79">
        <f>_xll.VAData($AZ302,BJ$2,$BA302,$BB302)</f>
        <v>0</v>
      </c>
      <c r="BK302" s="79">
        <f>_xll.VAData($AZ302,BK$2,$BA302,$BB302)</f>
        <v>7</v>
      </c>
      <c r="BL302" s="79">
        <f>_xll.VAData($AZ302,BL$2,$BA302,$BB302)</f>
        <v>0</v>
      </c>
      <c r="BM302" s="79">
        <f>_xll.VAData($AZ302,BM$2,$BA302,$BB302)</f>
        <v>0</v>
      </c>
      <c r="BN302" s="79">
        <f>_xll.VAData($AZ302,BN$2,$BA302,$BB302)</f>
        <v>6</v>
      </c>
      <c r="BO302" s="79">
        <f>_xll.VAData($AZ302,BO$2,$BA302,$BB302)</f>
        <v>6</v>
      </c>
      <c r="BP302" s="79">
        <f>_xll.VAData($AZ302,BP$2,$BA302,$BB302)</f>
        <v>5.25</v>
      </c>
      <c r="BQ302" s="79">
        <f>_xll.VAData($AZ302,BQ$2,$BA302,$BB302)</f>
        <v>0</v>
      </c>
      <c r="BR302" s="79">
        <f>_xll.VAData($AZ302,BR$2,$BA302,$BB302)</f>
        <v>0</v>
      </c>
      <c r="BS302" s="79">
        <f>_xll.VAData($AZ302,BS$2,$BA302,$BB302)</f>
        <v>0</v>
      </c>
      <c r="BT302" s="79">
        <f>_xll.VAData($AZ302,BT$2,$BA302,$BB302)</f>
        <v>0</v>
      </c>
      <c r="BU302" s="79">
        <f>_xll.VAData($AZ302,BU$2,$BA302,$BB302)</f>
        <v>0</v>
      </c>
      <c r="BV302" s="79">
        <f>_xll.VAData($AZ302,BV$2,$BA302,$BB302)</f>
        <v>0</v>
      </c>
      <c r="BW302" s="79">
        <f>_xll.VAData($AZ302,BW$2,$BA302,$BB302)</f>
        <v>0</v>
      </c>
      <c r="BX302" s="79">
        <f>_xll.VAData($AZ302,BX$2,$BA302,$BB302)</f>
        <v>1</v>
      </c>
      <c r="BY302" s="79">
        <f>_xll.VAData($AZ302,BY$2,$BA302,$BB302)</f>
        <v>1.3333333333333</v>
      </c>
    </row>
    <row r="303" spans="2:77">
      <c r="B303" s="74"/>
      <c r="C303" s="72" t="s">
        <v>72</v>
      </c>
      <c r="D303" s="225" t="s">
        <v>1343</v>
      </c>
      <c r="E303" s="226">
        <f>HY!E493</f>
        <v>10</v>
      </c>
      <c r="F303" s="226">
        <f>HY!F493</f>
        <v>10</v>
      </c>
      <c r="G303" s="226">
        <f>HY!G493</f>
        <v>10</v>
      </c>
      <c r="H303" s="226">
        <f>HY!H493</f>
        <v>10</v>
      </c>
      <c r="I303" s="226">
        <f>HY!I493</f>
        <v>10</v>
      </c>
      <c r="J303" s="226">
        <f>HY!J493</f>
        <v>0</v>
      </c>
      <c r="K303" s="226">
        <f>HY!K493</f>
        <v>0</v>
      </c>
      <c r="L303" s="226">
        <f>HY!L493</f>
        <v>7</v>
      </c>
      <c r="M303" s="226">
        <f>HY!M493</f>
        <v>0</v>
      </c>
      <c r="N303" s="226">
        <f>HY!N493</f>
        <v>0</v>
      </c>
      <c r="O303" s="226">
        <f>HY!O493</f>
        <v>6</v>
      </c>
      <c r="P303" s="226">
        <f>HY!P493</f>
        <v>6</v>
      </c>
      <c r="Q303" s="226">
        <f>HY!Q493</f>
        <v>5.25</v>
      </c>
      <c r="R303" s="226">
        <f>HY!R493</f>
        <v>0</v>
      </c>
      <c r="S303" s="226">
        <f>HY!S493</f>
        <v>0</v>
      </c>
      <c r="T303" s="226">
        <f>HY!T493</f>
        <v>0</v>
      </c>
      <c r="U303" s="226">
        <f>HY!U493</f>
        <v>0</v>
      </c>
      <c r="V303" s="226">
        <f>HY!V493</f>
        <v>0</v>
      </c>
      <c r="W303" s="226">
        <f>HY!W493</f>
        <v>0</v>
      </c>
      <c r="X303" s="226">
        <f>HY!X493</f>
        <v>0</v>
      </c>
      <c r="Y303" s="226">
        <f>HY!Y493</f>
        <v>0</v>
      </c>
      <c r="Z303" s="226">
        <f>HY!Z493</f>
        <v>0</v>
      </c>
      <c r="AA303" s="72"/>
      <c r="AB303" s="76"/>
      <c r="AC303" s="221"/>
      <c r="AD303" s="221"/>
      <c r="AE303" s="221"/>
      <c r="AF303" s="221"/>
      <c r="AG303" s="221"/>
      <c r="AH303" s="221"/>
      <c r="AI303" s="221"/>
      <c r="AJ303" s="221"/>
      <c r="AK303" s="221"/>
      <c r="AL303" s="221"/>
      <c r="AM303" s="221"/>
      <c r="AN303" s="221"/>
      <c r="AO303" s="221"/>
      <c r="AP303" s="221"/>
      <c r="AQ303" s="221"/>
      <c r="AR303" s="221"/>
      <c r="AS303" s="221"/>
      <c r="AT303" s="221"/>
      <c r="AU303" s="221"/>
      <c r="AV303" s="221"/>
      <c r="AW303" s="221"/>
      <c r="AX303" s="221"/>
      <c r="AY303" s="76"/>
      <c r="AZ303" s="77"/>
      <c r="BA303" s="77"/>
      <c r="BB303" s="78"/>
      <c r="BC303" s="76"/>
      <c r="BD303" s="221"/>
      <c r="BE303" s="221"/>
      <c r="BF303" s="221"/>
      <c r="BG303" s="221"/>
      <c r="BH303" s="221"/>
      <c r="BI303" s="221"/>
      <c r="BJ303" s="221"/>
      <c r="BK303" s="221"/>
      <c r="BL303" s="221"/>
      <c r="BM303" s="221"/>
      <c r="BN303" s="221"/>
      <c r="BO303" s="221"/>
      <c r="BP303" s="221"/>
      <c r="BQ303" s="221"/>
      <c r="BR303" s="221"/>
      <c r="BS303" s="221"/>
      <c r="BT303" s="221"/>
      <c r="BU303" s="221"/>
      <c r="BV303" s="221"/>
      <c r="BW303" s="221"/>
      <c r="BX303" s="221"/>
      <c r="BY303" s="221"/>
    </row>
    <row r="304" spans="2:77">
      <c r="B304" s="74"/>
      <c r="C304" s="81" t="s">
        <v>88</v>
      </c>
      <c r="D304" s="72" t="s">
        <v>1344</v>
      </c>
      <c r="E304" s="227">
        <f t="shared" ref="E304:Z304" si="128">IFERROR(ROUND(E302/E303-1,3),"")</f>
        <v>0</v>
      </c>
      <c r="F304" s="227">
        <f t="shared" si="128"/>
        <v>0</v>
      </c>
      <c r="G304" s="227">
        <f t="shared" si="128"/>
        <v>0</v>
      </c>
      <c r="H304" s="227">
        <f t="shared" si="128"/>
        <v>0</v>
      </c>
      <c r="I304" s="227">
        <f t="shared" si="128"/>
        <v>0</v>
      </c>
      <c r="J304" s="227" t="str">
        <f t="shared" si="128"/>
        <v/>
      </c>
      <c r="K304" s="227" t="str">
        <f t="shared" si="128"/>
        <v/>
      </c>
      <c r="L304" s="227">
        <f t="shared" si="128"/>
        <v>0</v>
      </c>
      <c r="M304" s="227" t="str">
        <f t="shared" si="128"/>
        <v/>
      </c>
      <c r="N304" s="227" t="str">
        <f t="shared" si="128"/>
        <v/>
      </c>
      <c r="O304" s="227">
        <f t="shared" si="128"/>
        <v>0</v>
      </c>
      <c r="P304" s="227">
        <f t="shared" si="128"/>
        <v>0</v>
      </c>
      <c r="Q304" s="227">
        <f t="shared" si="128"/>
        <v>0.159</v>
      </c>
      <c r="R304" s="227" t="str">
        <f t="shared" si="128"/>
        <v/>
      </c>
      <c r="S304" s="227" t="str">
        <f t="shared" si="128"/>
        <v/>
      </c>
      <c r="T304" s="227" t="str">
        <f t="shared" si="128"/>
        <v/>
      </c>
      <c r="U304" s="227" t="str">
        <f t="shared" si="128"/>
        <v/>
      </c>
      <c r="V304" s="227" t="str">
        <f t="shared" si="128"/>
        <v/>
      </c>
      <c r="W304" s="227" t="str">
        <f t="shared" si="128"/>
        <v/>
      </c>
      <c r="X304" s="227" t="str">
        <f t="shared" si="128"/>
        <v/>
      </c>
      <c r="Y304" s="227" t="str">
        <f t="shared" si="128"/>
        <v/>
      </c>
      <c r="Z304" s="227" t="str">
        <f t="shared" si="128"/>
        <v/>
      </c>
      <c r="AA304" s="72"/>
      <c r="AB304" s="76"/>
      <c r="AC304" s="221"/>
      <c r="AD304" s="221"/>
      <c r="AE304" s="221"/>
      <c r="AF304" s="221"/>
      <c r="AG304" s="221"/>
      <c r="AH304" s="221"/>
      <c r="AI304" s="221"/>
      <c r="AJ304" s="221"/>
      <c r="AK304" s="221"/>
      <c r="AL304" s="221"/>
      <c r="AM304" s="221"/>
      <c r="AN304" s="221"/>
      <c r="AO304" s="221"/>
      <c r="AP304" s="221"/>
      <c r="AQ304" s="221"/>
      <c r="AR304" s="221"/>
      <c r="AS304" s="221"/>
      <c r="AT304" s="221"/>
      <c r="AU304" s="221"/>
      <c r="AV304" s="221"/>
      <c r="AW304" s="221"/>
      <c r="AX304" s="221"/>
      <c r="AY304" s="76"/>
      <c r="AZ304" s="77"/>
      <c r="BA304" s="77"/>
      <c r="BB304" s="78"/>
      <c r="BC304" s="76"/>
      <c r="BD304" s="221"/>
      <c r="BE304" s="221"/>
      <c r="BF304" s="221"/>
      <c r="BG304" s="221"/>
      <c r="BH304" s="221"/>
      <c r="BI304" s="221"/>
      <c r="BJ304" s="221"/>
      <c r="BK304" s="221"/>
      <c r="BL304" s="221"/>
      <c r="BM304" s="221"/>
      <c r="BN304" s="221"/>
      <c r="BO304" s="221"/>
      <c r="BP304" s="221"/>
      <c r="BQ304" s="221"/>
      <c r="BR304" s="221"/>
      <c r="BS304" s="221"/>
      <c r="BT304" s="221"/>
      <c r="BU304" s="221"/>
      <c r="BV304" s="221"/>
      <c r="BW304" s="221"/>
      <c r="BX304" s="221"/>
      <c r="BY304" s="221"/>
    </row>
    <row r="306" spans="2:77">
      <c r="B306" s="74" t="str">
        <f>BA306</f>
        <v>Shares - Basic</v>
      </c>
      <c r="C306" s="72" t="s">
        <v>72</v>
      </c>
      <c r="D306" s="224" t="s">
        <v>1342</v>
      </c>
      <c r="E306" s="223">
        <f t="shared" ref="E306:Z306" si="129">AC306</f>
        <v>669.5865924438848</v>
      </c>
      <c r="F306" s="223">
        <f t="shared" si="129"/>
        <v>669.94841889999998</v>
      </c>
      <c r="G306" s="223">
        <f t="shared" si="129"/>
        <v>673.17073170731703</v>
      </c>
      <c r="H306" s="223">
        <f t="shared" si="129"/>
        <v>678.23113745156138</v>
      </c>
      <c r="I306" s="223">
        <f t="shared" si="129"/>
        <v>665.31440162271804</v>
      </c>
      <c r="J306" s="223">
        <f t="shared" si="129"/>
        <v>664.62910120214076</v>
      </c>
      <c r="K306" s="223">
        <f t="shared" si="129"/>
        <v>756.25119310769242</v>
      </c>
      <c r="L306" s="223">
        <f t="shared" si="129"/>
        <v>759.81547069999999</v>
      </c>
      <c r="M306" s="223">
        <f t="shared" si="129"/>
        <v>757.50787100000002</v>
      </c>
      <c r="N306" s="223">
        <f t="shared" si="129"/>
        <v>757.50787100000002</v>
      </c>
      <c r="O306" s="223">
        <f t="shared" si="129"/>
        <v>760</v>
      </c>
      <c r="P306" s="223">
        <f t="shared" si="129"/>
        <v>778.9473684210526</v>
      </c>
      <c r="Q306" s="223">
        <f t="shared" si="129"/>
        <v>759.90944360000003</v>
      </c>
      <c r="R306" s="223">
        <f t="shared" si="129"/>
        <v>759.90944360000003</v>
      </c>
      <c r="S306" s="223">
        <f t="shared" si="129"/>
        <v>760.20515675000001</v>
      </c>
      <c r="T306" s="223">
        <f t="shared" si="129"/>
        <v>760.20515675000001</v>
      </c>
      <c r="U306" s="223">
        <f t="shared" si="129"/>
        <v>760.20513933333336</v>
      </c>
      <c r="V306" s="223">
        <f t="shared" si="129"/>
        <v>760.20513933333336</v>
      </c>
      <c r="W306" s="223">
        <f t="shared" si="129"/>
        <v>760.20513933333336</v>
      </c>
      <c r="X306" s="223">
        <f t="shared" si="129"/>
        <v>760.20513933333336</v>
      </c>
      <c r="Y306" s="223">
        <f t="shared" si="129"/>
        <v>760.20513933333336</v>
      </c>
      <c r="Z306" s="223">
        <f t="shared" si="129"/>
        <v>760.20513933333336</v>
      </c>
      <c r="AA306" s="72"/>
      <c r="AB306" s="76"/>
      <c r="AC306" s="222">
        <v>669.5865924438848</v>
      </c>
      <c r="AD306" s="222">
        <v>669.94841889999998</v>
      </c>
      <c r="AE306" s="222">
        <v>673.17073170731703</v>
      </c>
      <c r="AF306" s="222">
        <v>678.23113745156138</v>
      </c>
      <c r="AG306" s="222">
        <v>665.31440162271804</v>
      </c>
      <c r="AH306" s="222">
        <v>664.62910120214076</v>
      </c>
      <c r="AI306" s="222">
        <v>756.25119310769242</v>
      </c>
      <c r="AJ306" s="222">
        <v>759.81547069999999</v>
      </c>
      <c r="AK306" s="222">
        <v>757.50787100000002</v>
      </c>
      <c r="AL306" s="222">
        <v>757.50787100000002</v>
      </c>
      <c r="AM306" s="222">
        <v>760</v>
      </c>
      <c r="AN306" s="222">
        <v>778.9473684210526</v>
      </c>
      <c r="AO306" s="222">
        <v>759.90944360000003</v>
      </c>
      <c r="AP306" s="222">
        <v>759.90944360000003</v>
      </c>
      <c r="AQ306" s="222">
        <v>760.20515675000001</v>
      </c>
      <c r="AR306" s="222">
        <v>760.20515675000001</v>
      </c>
      <c r="AS306" s="222">
        <v>760.20513933333336</v>
      </c>
      <c r="AT306" s="222">
        <v>760.20513933333336</v>
      </c>
      <c r="AU306" s="222">
        <v>760.20513933333336</v>
      </c>
      <c r="AV306" s="222">
        <v>760.20513933333336</v>
      </c>
      <c r="AW306" s="222">
        <v>760.20513933333336</v>
      </c>
      <c r="AX306" s="222">
        <v>760.20513933333336</v>
      </c>
      <c r="AY306" s="76"/>
      <c r="AZ306" s="77" t="s">
        <v>1259</v>
      </c>
      <c r="BA306" s="77" t="s">
        <v>1393</v>
      </c>
      <c r="BB306" s="78" t="s">
        <v>1261</v>
      </c>
      <c r="BC306" s="76"/>
      <c r="BD306" s="79">
        <f>_xll.VAData($AZ306,BD$2,$BA306,$BB306)</f>
        <v>669.26919830485599</v>
      </c>
      <c r="BE306" s="79">
        <f>_xll.VAData($AZ306,BE$2,$BA306,$BB306)</f>
        <v>668.10078324999995</v>
      </c>
      <c r="BF306" s="79">
        <f>_xll.VAData($AZ306,BF$2,$BA306,$BB306)</f>
        <v>678.278459</v>
      </c>
      <c r="BG306" s="79">
        <f>_xll.VAData($AZ306,BG$2,$BA306,$BB306)</f>
        <v>676.29117940000003</v>
      </c>
      <c r="BH306" s="79">
        <f>_xll.VAData($AZ306,BH$2,$BA306,$BB306)</f>
        <v>665.59684919999995</v>
      </c>
      <c r="BI306" s="79">
        <f>_xll.VAData($AZ306,BI$2,$BA306,$BB306)</f>
        <v>679.75314419999995</v>
      </c>
      <c r="BJ306" s="79">
        <f>_xll.VAData($AZ306,BJ$2,$BA306,$BB306)</f>
        <v>757.01752170769237</v>
      </c>
      <c r="BK306" s="79">
        <f>_xll.VAData($AZ306,BK$2,$BA306,$BB306)</f>
        <v>759.8672722</v>
      </c>
      <c r="BL306" s="79">
        <f>_xll.VAData($AZ306,BL$2,$BA306,$BB306)</f>
        <v>758.88176410000005</v>
      </c>
      <c r="BM306" s="79">
        <f>_xll.VAData($AZ306,BM$2,$BA306,$BB306)</f>
        <v>757.50787100000002</v>
      </c>
      <c r="BN306" s="79">
        <f>_xll.VAData($AZ306,BN$2,$BA306,$BB306)</f>
        <v>759.16117819999999</v>
      </c>
      <c r="BO306" s="79">
        <f>_xll.VAData($AZ306,BO$2,$BA306,$BB306)</f>
        <v>758.95238040000004</v>
      </c>
      <c r="BP306" s="79">
        <f>_xll.VAData($AZ306,BP$2,$BA306,$BB306)</f>
        <v>757.71884839999996</v>
      </c>
      <c r="BQ306" s="79">
        <f>_xll.VAData($AZ306,BQ$2,$BA306,$BB306)</f>
        <v>758.0696696</v>
      </c>
      <c r="BR306" s="79">
        <f>_xll.VAData($AZ306,BR$2,$BA306,$BB306)</f>
        <v>760.20520899999997</v>
      </c>
      <c r="BS306" s="79">
        <f>_xll.VAData($AZ306,BS$2,$BA306,$BB306)</f>
        <v>758.23264900000004</v>
      </c>
      <c r="BT306" s="79">
        <f>_xll.VAData($AZ306,BT$2,$BA306,$BB306)</f>
        <v>1103.0550470000001</v>
      </c>
      <c r="BU306" s="79">
        <f>_xll.VAData($AZ306,BU$2,$BA306,$BB306)</f>
        <v>971.22818900000004</v>
      </c>
      <c r="BV306" s="79">
        <f>_xll.VAData($AZ306,BV$2,$BA306,$BB306)</f>
        <v>1086.57668975</v>
      </c>
      <c r="BW306" s="79">
        <f>_xll.VAData($AZ306,BW$2,$BA306,$BB306)</f>
        <v>1086.57668975</v>
      </c>
      <c r="BX306" s="79">
        <f>_xll.VAData($AZ306,BX$2,$BA306,$BB306)</f>
        <v>1081.0839040000001</v>
      </c>
      <c r="BY306" s="79">
        <f>_xll.VAData($AZ306,BY$2,$BA306,$BB306)</f>
        <v>1081.0839040000001</v>
      </c>
    </row>
    <row r="307" spans="2:77">
      <c r="B307" s="74"/>
      <c r="C307" s="72" t="s">
        <v>72</v>
      </c>
      <c r="D307" s="225" t="s">
        <v>1343</v>
      </c>
      <c r="E307" s="226">
        <f>HY!E485</f>
        <v>674.33561500000008</v>
      </c>
      <c r="F307" s="226">
        <f>HY!F485</f>
        <v>680.34210799999994</v>
      </c>
      <c r="G307" s="226">
        <f>HY!G485</f>
        <v>682.44653900000003</v>
      </c>
      <c r="H307" s="226">
        <f>HY!H485</f>
        <v>672.35116600000003</v>
      </c>
      <c r="I307" s="226">
        <f>HY!I485</f>
        <v>667.19680600000004</v>
      </c>
      <c r="J307" s="226">
        <f>HY!J485</f>
        <v>739.19680600000004</v>
      </c>
      <c r="K307" s="226">
        <f>HY!K485</f>
        <v>760.20520900000008</v>
      </c>
      <c r="L307" s="226">
        <f>HY!L485</f>
        <v>760.20520899999997</v>
      </c>
      <c r="M307" s="226">
        <f>HY!M485</f>
        <v>760.20520899999997</v>
      </c>
      <c r="N307" s="226">
        <f>HY!N485</f>
        <v>760.20520899999997</v>
      </c>
      <c r="O307" s="226">
        <f>HY!O485</f>
        <v>760.20520899999997</v>
      </c>
      <c r="P307" s="226">
        <f>HY!P485</f>
        <v>760.20520899999997</v>
      </c>
      <c r="Q307" s="226">
        <f>HY!Q485</f>
        <v>760.20520899999997</v>
      </c>
      <c r="R307" s="226">
        <f>HY!R485</f>
        <v>760.20520899999997</v>
      </c>
      <c r="S307" s="226">
        <f>HY!S485</f>
        <v>760.20520899999997</v>
      </c>
      <c r="T307" s="226">
        <f>HY!T485</f>
        <v>760.20520899999997</v>
      </c>
      <c r="U307" s="226">
        <f>HY!U485</f>
        <v>1103.0550470000001</v>
      </c>
      <c r="V307" s="226">
        <f>HY!V485</f>
        <v>1103.0550470000001</v>
      </c>
      <c r="W307" s="226">
        <f>HY!W485</f>
        <v>1103.0550470000001</v>
      </c>
      <c r="X307" s="226">
        <f>HY!X485</f>
        <v>1103.0550470000001</v>
      </c>
      <c r="Y307" s="226">
        <f>HY!Y485</f>
        <v>1103.0550470000001</v>
      </c>
      <c r="Z307" s="226">
        <f>HY!Z485</f>
        <v>1103.0550470000001</v>
      </c>
      <c r="AA307" s="72"/>
      <c r="AB307" s="76"/>
      <c r="AC307" s="221"/>
      <c r="AD307" s="221"/>
      <c r="AE307" s="221"/>
      <c r="AF307" s="221"/>
      <c r="AG307" s="221"/>
      <c r="AH307" s="221"/>
      <c r="AI307" s="221"/>
      <c r="AJ307" s="221"/>
      <c r="AK307" s="221"/>
      <c r="AL307" s="221"/>
      <c r="AM307" s="221"/>
      <c r="AN307" s="221"/>
      <c r="AO307" s="221"/>
      <c r="AP307" s="221"/>
      <c r="AQ307" s="221"/>
      <c r="AR307" s="221"/>
      <c r="AS307" s="221"/>
      <c r="AT307" s="221"/>
      <c r="AU307" s="221"/>
      <c r="AV307" s="221"/>
      <c r="AW307" s="221"/>
      <c r="AX307" s="221"/>
      <c r="AY307" s="76"/>
      <c r="AZ307" s="77"/>
      <c r="BA307" s="77"/>
      <c r="BB307" s="78"/>
      <c r="BC307" s="76"/>
      <c r="BD307" s="221"/>
      <c r="BE307" s="221"/>
      <c r="BF307" s="221"/>
      <c r="BG307" s="221"/>
      <c r="BH307" s="221"/>
      <c r="BI307" s="221"/>
      <c r="BJ307" s="221"/>
      <c r="BK307" s="221"/>
      <c r="BL307" s="221"/>
      <c r="BM307" s="221"/>
      <c r="BN307" s="221"/>
      <c r="BO307" s="221"/>
      <c r="BP307" s="221"/>
      <c r="BQ307" s="221"/>
      <c r="BR307" s="221"/>
      <c r="BS307" s="221"/>
      <c r="BT307" s="221"/>
      <c r="BU307" s="221"/>
      <c r="BV307" s="221"/>
      <c r="BW307" s="221"/>
      <c r="BX307" s="221"/>
      <c r="BY307" s="221"/>
    </row>
    <row r="308" spans="2:77">
      <c r="B308" s="74"/>
      <c r="C308" s="81" t="s">
        <v>88</v>
      </c>
      <c r="D308" s="72" t="s">
        <v>1344</v>
      </c>
      <c r="E308" s="227">
        <f t="shared" ref="E308:Z308" si="130">IFERROR(ROUND(E306/E307-1,3),"")</f>
        <v>-7.0000000000000001E-3</v>
      </c>
      <c r="F308" s="227">
        <f t="shared" si="130"/>
        <v>-1.4999999999999999E-2</v>
      </c>
      <c r="G308" s="227">
        <f t="shared" si="130"/>
        <v>-1.4E-2</v>
      </c>
      <c r="H308" s="227">
        <f t="shared" si="130"/>
        <v>8.9999999999999993E-3</v>
      </c>
      <c r="I308" s="227">
        <f t="shared" si="130"/>
        <v>-3.0000000000000001E-3</v>
      </c>
      <c r="J308" s="227">
        <f t="shared" si="130"/>
        <v>-0.10100000000000001</v>
      </c>
      <c r="K308" s="227">
        <f t="shared" si="130"/>
        <v>-5.0000000000000001E-3</v>
      </c>
      <c r="L308" s="227">
        <f t="shared" si="130"/>
        <v>-1E-3</v>
      </c>
      <c r="M308" s="227">
        <f t="shared" si="130"/>
        <v>-4.0000000000000001E-3</v>
      </c>
      <c r="N308" s="227">
        <f t="shared" si="130"/>
        <v>-4.0000000000000001E-3</v>
      </c>
      <c r="O308" s="227">
        <f t="shared" si="130"/>
        <v>0</v>
      </c>
      <c r="P308" s="227">
        <f t="shared" si="130"/>
        <v>2.5000000000000001E-2</v>
      </c>
      <c r="Q308" s="227">
        <f t="shared" si="130"/>
        <v>0</v>
      </c>
      <c r="R308" s="227">
        <f t="shared" si="130"/>
        <v>0</v>
      </c>
      <c r="S308" s="227">
        <f t="shared" si="130"/>
        <v>0</v>
      </c>
      <c r="T308" s="227">
        <f t="shared" si="130"/>
        <v>0</v>
      </c>
      <c r="U308" s="227">
        <f t="shared" si="130"/>
        <v>-0.311</v>
      </c>
      <c r="V308" s="227">
        <f t="shared" si="130"/>
        <v>-0.311</v>
      </c>
      <c r="W308" s="227">
        <f t="shared" si="130"/>
        <v>-0.311</v>
      </c>
      <c r="X308" s="227">
        <f t="shared" si="130"/>
        <v>-0.311</v>
      </c>
      <c r="Y308" s="227">
        <f t="shared" si="130"/>
        <v>-0.311</v>
      </c>
      <c r="Z308" s="227">
        <f t="shared" si="130"/>
        <v>-0.311</v>
      </c>
      <c r="AA308" s="72"/>
      <c r="AB308" s="76"/>
      <c r="AC308" s="221"/>
      <c r="AD308" s="221"/>
      <c r="AE308" s="221"/>
      <c r="AF308" s="221"/>
      <c r="AG308" s="221"/>
      <c r="AH308" s="221"/>
      <c r="AI308" s="221"/>
      <c r="AJ308" s="221"/>
      <c r="AK308" s="221"/>
      <c r="AL308" s="221"/>
      <c r="AM308" s="221"/>
      <c r="AN308" s="221"/>
      <c r="AO308" s="221"/>
      <c r="AP308" s="221"/>
      <c r="AQ308" s="221"/>
      <c r="AR308" s="221"/>
      <c r="AS308" s="221"/>
      <c r="AT308" s="221"/>
      <c r="AU308" s="221"/>
      <c r="AV308" s="221"/>
      <c r="AW308" s="221"/>
      <c r="AX308" s="221"/>
      <c r="AY308" s="76"/>
      <c r="AZ308" s="77"/>
      <c r="BA308" s="77"/>
      <c r="BB308" s="78"/>
      <c r="BC308" s="76"/>
      <c r="BD308" s="221"/>
      <c r="BE308" s="221"/>
      <c r="BF308" s="221"/>
      <c r="BG308" s="221"/>
      <c r="BH308" s="221"/>
      <c r="BI308" s="221"/>
      <c r="BJ308" s="221"/>
      <c r="BK308" s="221"/>
      <c r="BL308" s="221"/>
      <c r="BM308" s="221"/>
      <c r="BN308" s="221"/>
      <c r="BO308" s="221"/>
      <c r="BP308" s="221"/>
      <c r="BQ308" s="221"/>
      <c r="BR308" s="221"/>
      <c r="BS308" s="221"/>
      <c r="BT308" s="221"/>
      <c r="BU308" s="221"/>
      <c r="BV308" s="221"/>
      <c r="BW308" s="221"/>
      <c r="BX308" s="221"/>
      <c r="BY308" s="221"/>
    </row>
    <row r="310" spans="2:77">
      <c r="B310" s="237" t="s">
        <v>1394</v>
      </c>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67"/>
      <c r="AD310" s="67"/>
      <c r="AE310" s="67"/>
      <c r="AF310" s="72"/>
      <c r="AG310" s="67"/>
      <c r="AH310" s="67"/>
      <c r="AI310" s="67"/>
      <c r="AJ310" s="72"/>
      <c r="AK310" s="67"/>
      <c r="AL310" s="67"/>
      <c r="AM310" s="67"/>
      <c r="AN310" s="67"/>
      <c r="AO310" s="67"/>
      <c r="AP310" s="67"/>
      <c r="AQ310" s="67"/>
      <c r="AR310" s="67"/>
      <c r="AS310" s="67"/>
      <c r="AT310" s="67"/>
      <c r="AU310" s="67"/>
      <c r="AV310" s="67"/>
      <c r="AW310" s="67"/>
      <c r="AX310" s="67"/>
      <c r="AY310" s="72"/>
      <c r="AZ310" s="67"/>
      <c r="BA310" s="67"/>
      <c r="BB310" s="67"/>
      <c r="BC310" s="72"/>
      <c r="BD310" s="67"/>
      <c r="BE310" s="67"/>
      <c r="BF310" s="67"/>
      <c r="BG310" s="72"/>
      <c r="BH310" s="67"/>
      <c r="BI310" s="67"/>
      <c r="BJ310" s="67"/>
      <c r="BK310" s="72"/>
      <c r="BL310" s="67"/>
      <c r="BM310" s="67"/>
      <c r="BN310" s="67"/>
      <c r="BO310" s="67"/>
      <c r="BP310" s="67"/>
      <c r="BQ310" s="67"/>
      <c r="BR310" s="67"/>
      <c r="BS310" s="67"/>
      <c r="BT310" s="67"/>
      <c r="BU310" s="67"/>
      <c r="BV310" s="67"/>
      <c r="BW310" s="67"/>
      <c r="BX310" s="67"/>
      <c r="BY310" s="67"/>
    </row>
    <row r="311" spans="2:77">
      <c r="B311" s="73"/>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67"/>
      <c r="AD311" s="67"/>
      <c r="AE311" s="67"/>
      <c r="AF311" s="72"/>
      <c r="AG311" s="67"/>
      <c r="AH311" s="67"/>
      <c r="AI311" s="67"/>
      <c r="AJ311" s="72"/>
      <c r="AK311" s="67"/>
      <c r="AL311" s="67"/>
      <c r="AM311" s="67"/>
      <c r="AN311" s="67"/>
      <c r="AO311" s="67"/>
      <c r="AP311" s="67"/>
      <c r="AQ311" s="67"/>
      <c r="AR311" s="67"/>
      <c r="AS311" s="67"/>
      <c r="AT311" s="67"/>
      <c r="AU311" s="67"/>
      <c r="AV311" s="67"/>
      <c r="AW311" s="67"/>
      <c r="AX311" s="67"/>
      <c r="AY311" s="72"/>
      <c r="AZ311" s="67"/>
      <c r="BA311" s="67"/>
      <c r="BB311" s="67"/>
      <c r="BC311" s="72"/>
      <c r="BD311" s="67"/>
      <c r="BE311" s="67"/>
      <c r="BF311" s="67"/>
      <c r="BG311" s="72"/>
      <c r="BH311" s="67"/>
      <c r="BI311" s="67"/>
      <c r="BJ311" s="67"/>
      <c r="BK311" s="72"/>
      <c r="BL311" s="67"/>
      <c r="BM311" s="67"/>
      <c r="BN311" s="67"/>
      <c r="BO311" s="67"/>
      <c r="BP311" s="67"/>
      <c r="BQ311" s="67"/>
      <c r="BR311" s="67"/>
      <c r="BS311" s="67"/>
      <c r="BT311" s="67"/>
      <c r="BU311" s="67"/>
      <c r="BV311" s="67"/>
      <c r="BW311" s="67"/>
      <c r="BX311" s="67"/>
      <c r="BY311" s="67"/>
    </row>
    <row r="312" spans="2:77">
      <c r="B312" s="74" t="str">
        <f>BA312</f>
        <v>Total revenue</v>
      </c>
      <c r="C312" s="72" t="s">
        <v>72</v>
      </c>
      <c r="D312" s="224" t="s">
        <v>1342</v>
      </c>
      <c r="E312" s="223">
        <f t="shared" ref="E312:Z312" si="131">AC312</f>
        <v>554.70000000000005</v>
      </c>
      <c r="F312" s="223">
        <f t="shared" si="131"/>
        <v>542.1</v>
      </c>
      <c r="G312" s="223">
        <f t="shared" si="131"/>
        <v>411.4</v>
      </c>
      <c r="H312" s="223">
        <f t="shared" si="131"/>
        <v>410.9</v>
      </c>
      <c r="I312" s="223">
        <f t="shared" si="131"/>
        <v>721.7</v>
      </c>
      <c r="J312" s="223">
        <f t="shared" si="131"/>
        <v>403.3</v>
      </c>
      <c r="K312" s="223">
        <f t="shared" si="131"/>
        <v>449.9</v>
      </c>
      <c r="L312" s="223">
        <f t="shared" si="131"/>
        <v>502.1</v>
      </c>
      <c r="M312" s="223">
        <f t="shared" si="131"/>
        <v>289.8</v>
      </c>
      <c r="N312" s="223">
        <f t="shared" si="131"/>
        <v>349.2</v>
      </c>
      <c r="O312" s="223">
        <f t="shared" si="131"/>
        <v>462.6</v>
      </c>
      <c r="P312" s="223">
        <f t="shared" si="131"/>
        <v>463.6</v>
      </c>
      <c r="Q312" s="223">
        <f t="shared" si="131"/>
        <v>482.14002247240501</v>
      </c>
      <c r="R312" s="223">
        <f t="shared" si="131"/>
        <v>498.78850540553799</v>
      </c>
      <c r="S312" s="223">
        <f t="shared" si="131"/>
        <v>527.22431077665499</v>
      </c>
      <c r="T312" s="223">
        <f t="shared" si="131"/>
        <v>526.66305005781498</v>
      </c>
      <c r="U312" s="223">
        <f t="shared" si="131"/>
        <v>546.59284914160503</v>
      </c>
      <c r="V312" s="223">
        <f t="shared" si="131"/>
        <v>544.29514490232998</v>
      </c>
      <c r="W312" s="223">
        <f t="shared" si="131"/>
        <v>567.01675821432298</v>
      </c>
      <c r="X312" s="223">
        <f t="shared" si="131"/>
        <v>560.10660469578204</v>
      </c>
      <c r="Y312" s="223">
        <f t="shared" si="131"/>
        <v>583.30158969231104</v>
      </c>
      <c r="Z312" s="223">
        <f t="shared" si="131"/>
        <v>578.65855933016201</v>
      </c>
      <c r="AA312" s="72"/>
      <c r="AB312" s="76"/>
      <c r="AC312" s="222">
        <v>554.70000000000005</v>
      </c>
      <c r="AD312" s="222">
        <v>542.1</v>
      </c>
      <c r="AE312" s="222">
        <v>411.4</v>
      </c>
      <c r="AF312" s="222">
        <v>410.9</v>
      </c>
      <c r="AG312" s="222">
        <v>721.7</v>
      </c>
      <c r="AH312" s="222">
        <v>403.3</v>
      </c>
      <c r="AI312" s="222">
        <v>449.9</v>
      </c>
      <c r="AJ312" s="222">
        <v>502.1</v>
      </c>
      <c r="AK312" s="222">
        <v>289.8</v>
      </c>
      <c r="AL312" s="222">
        <v>349.2</v>
      </c>
      <c r="AM312" s="222">
        <v>462.6</v>
      </c>
      <c r="AN312" s="222">
        <v>463.6</v>
      </c>
      <c r="AO312" s="222">
        <v>482.14002247240501</v>
      </c>
      <c r="AP312" s="222">
        <v>498.78850540553799</v>
      </c>
      <c r="AQ312" s="222">
        <v>527.22431077665499</v>
      </c>
      <c r="AR312" s="222">
        <v>526.66305005781498</v>
      </c>
      <c r="AS312" s="222">
        <v>546.59284914160503</v>
      </c>
      <c r="AT312" s="222">
        <v>544.29514490232998</v>
      </c>
      <c r="AU312" s="222">
        <v>567.01675821432298</v>
      </c>
      <c r="AV312" s="222">
        <v>560.10660469578204</v>
      </c>
      <c r="AW312" s="222">
        <v>583.30158969231104</v>
      </c>
      <c r="AX312" s="222">
        <v>578.65855933016201</v>
      </c>
      <c r="AY312" s="76"/>
      <c r="AZ312" s="77" t="s">
        <v>1259</v>
      </c>
      <c r="BA312" s="77" t="s">
        <v>1160</v>
      </c>
      <c r="BB312" s="78" t="s">
        <v>1261</v>
      </c>
      <c r="BC312" s="76"/>
      <c r="BD312" s="79" t="str">
        <f>_xll.VAData($AZ312,BD$2,$BA312,$BB312)</f>
        <v>-</v>
      </c>
      <c r="BE312" s="79" t="str">
        <f>_xll.VAData($AZ312,BE$2,$BA312,$BB312)</f>
        <v>-</v>
      </c>
      <c r="BF312" s="79">
        <f>_xll.VAData($AZ312,BF$2,$BA312,$BB312)</f>
        <v>411.4</v>
      </c>
      <c r="BG312" s="79">
        <f>_xll.VAData($AZ312,BG$2,$BA312,$BB312)</f>
        <v>410.9</v>
      </c>
      <c r="BH312" s="79">
        <f>_xll.VAData($AZ312,BH$2,$BA312,$BB312)</f>
        <v>721.7</v>
      </c>
      <c r="BI312" s="79">
        <f>_xll.VAData($AZ312,BI$2,$BA312,$BB312)</f>
        <v>403.3</v>
      </c>
      <c r="BJ312" s="79">
        <f>_xll.VAData($AZ312,BJ$2,$BA312,$BB312)</f>
        <v>449.9</v>
      </c>
      <c r="BK312" s="79">
        <f>_xll.VAData($AZ312,BK$2,$BA312,$BB312)</f>
        <v>502.1</v>
      </c>
      <c r="BL312" s="79">
        <f>_xll.VAData($AZ312,BL$2,$BA312,$BB312)</f>
        <v>289.8</v>
      </c>
      <c r="BM312" s="79">
        <f>_xll.VAData($AZ312,BM$2,$BA312,$BB312)</f>
        <v>349.2</v>
      </c>
      <c r="BN312" s="79">
        <f>_xll.VAData($AZ312,BN$2,$BA312,$BB312)</f>
        <v>462.6</v>
      </c>
      <c r="BO312" s="79">
        <f>_xll.VAData($AZ312,BO$2,$BA312,$BB312)</f>
        <v>463.6</v>
      </c>
      <c r="BP312" s="79">
        <f>_xll.VAData($AZ312,BP$2,$BA312,$BB312)</f>
        <v>445.2</v>
      </c>
      <c r="BQ312" s="79">
        <f>_xll.VAData($AZ312,BQ$2,$BA312,$BB312)</f>
        <v>483.3</v>
      </c>
      <c r="BR312" s="79">
        <f>_xll.VAData($AZ312,BR$2,$BA312,$BB312)</f>
        <v>422</v>
      </c>
      <c r="BS312" s="79">
        <f>_xll.VAData($AZ312,BS$2,$BA312,$BB312)</f>
        <v>403.2</v>
      </c>
      <c r="BT312" s="79">
        <f>_xll.VAData($AZ312,BT$2,$BA312,$BB312)</f>
        <v>411.7</v>
      </c>
      <c r="BU312" s="79">
        <f>_xll.VAData($AZ312,BU$2,$BA312,$BB312)</f>
        <v>467.2</v>
      </c>
      <c r="BV312" s="79">
        <f>_xll.VAData($AZ312,BV$2,$BA312,$BB312)</f>
        <v>419.565</v>
      </c>
      <c r="BW312" s="79">
        <f>_xll.VAData($AZ312,BW$2,$BA312,$BB312)</f>
        <v>421.36900000000003</v>
      </c>
      <c r="BX312" s="79">
        <f>_xll.VAData($AZ312,BX$2,$BA312,$BB312)</f>
        <v>428.74853999999999</v>
      </c>
      <c r="BY312" s="79">
        <f>_xll.VAData($AZ312,BY$2,$BA312,$BB312)</f>
        <v>430.86369000000002</v>
      </c>
    </row>
    <row r="313" spans="2:77">
      <c r="B313" s="74"/>
      <c r="C313" s="72" t="s">
        <v>72</v>
      </c>
      <c r="D313" s="225" t="s">
        <v>1343</v>
      </c>
      <c r="E313" s="226">
        <f>HY!E356</f>
        <v>0</v>
      </c>
      <c r="F313" s="226">
        <f>HY!F356</f>
        <v>0</v>
      </c>
      <c r="G313" s="226">
        <f>HY!G356</f>
        <v>411.4</v>
      </c>
      <c r="H313" s="226">
        <f>HY!H356</f>
        <v>410.9</v>
      </c>
      <c r="I313" s="226">
        <f>HY!I356</f>
        <v>721.7</v>
      </c>
      <c r="J313" s="226">
        <f>HY!J356</f>
        <v>403.29999999999995</v>
      </c>
      <c r="K313" s="226">
        <f>HY!K356</f>
        <v>449.9</v>
      </c>
      <c r="L313" s="226">
        <f>HY!L356</f>
        <v>502.1</v>
      </c>
      <c r="M313" s="226">
        <f>HY!M356</f>
        <v>289.8</v>
      </c>
      <c r="N313" s="226">
        <f>HY!N356</f>
        <v>349.2</v>
      </c>
      <c r="O313" s="226">
        <f>HY!O356</f>
        <v>462.6</v>
      </c>
      <c r="P313" s="226">
        <f>HY!P356</f>
        <v>463.6</v>
      </c>
      <c r="Q313" s="226">
        <f>HY!Q356</f>
        <v>445.2</v>
      </c>
      <c r="R313" s="226">
        <f>HY!R356</f>
        <v>483.3</v>
      </c>
      <c r="S313" s="226">
        <f>HY!S356</f>
        <v>422</v>
      </c>
      <c r="T313" s="226">
        <f>HY!T356</f>
        <v>403.20000000000005</v>
      </c>
      <c r="U313" s="226">
        <f>HY!U356</f>
        <v>411.7</v>
      </c>
      <c r="V313" s="226">
        <f>HY!V356</f>
        <v>467.2</v>
      </c>
      <c r="W313" s="226">
        <f>HY!W356</f>
        <v>419.565</v>
      </c>
      <c r="X313" s="226">
        <f>HY!X356</f>
        <v>421.36900000000003</v>
      </c>
      <c r="Y313" s="226">
        <f>HY!Y356</f>
        <v>428.74853999999999</v>
      </c>
      <c r="Z313" s="226">
        <f>HY!Z356</f>
        <v>430.86368999999991</v>
      </c>
      <c r="AA313" s="72"/>
      <c r="AB313" s="76"/>
      <c r="AC313" s="221"/>
      <c r="AD313" s="221"/>
      <c r="AE313" s="221"/>
      <c r="AF313" s="221"/>
      <c r="AG313" s="221"/>
      <c r="AH313" s="221"/>
      <c r="AI313" s="221"/>
      <c r="AJ313" s="221"/>
      <c r="AK313" s="221"/>
      <c r="AL313" s="221"/>
      <c r="AM313" s="221"/>
      <c r="AN313" s="221"/>
      <c r="AO313" s="221"/>
      <c r="AP313" s="221"/>
      <c r="AQ313" s="221"/>
      <c r="AR313" s="221"/>
      <c r="AS313" s="221"/>
      <c r="AT313" s="221"/>
      <c r="AU313" s="221"/>
      <c r="AV313" s="221"/>
      <c r="AW313" s="221"/>
      <c r="AX313" s="221"/>
      <c r="AY313" s="76"/>
      <c r="AZ313" s="77"/>
      <c r="BA313" s="77"/>
      <c r="BB313" s="78"/>
      <c r="BC313" s="76"/>
      <c r="BD313" s="221"/>
      <c r="BE313" s="221"/>
      <c r="BF313" s="221"/>
      <c r="BG313" s="221"/>
      <c r="BH313" s="221"/>
      <c r="BI313" s="221"/>
      <c r="BJ313" s="221"/>
      <c r="BK313" s="221"/>
      <c r="BL313" s="221"/>
      <c r="BM313" s="221"/>
      <c r="BN313" s="221"/>
      <c r="BO313" s="221"/>
      <c r="BP313" s="221"/>
      <c r="BQ313" s="221"/>
      <c r="BR313" s="221"/>
      <c r="BS313" s="221"/>
      <c r="BT313" s="221"/>
      <c r="BU313" s="221"/>
      <c r="BV313" s="221"/>
      <c r="BW313" s="221"/>
      <c r="BX313" s="221"/>
      <c r="BY313" s="221"/>
    </row>
    <row r="314" spans="2:77">
      <c r="B314" s="74"/>
      <c r="C314" s="81" t="s">
        <v>88</v>
      </c>
      <c r="D314" s="72" t="s">
        <v>1344</v>
      </c>
      <c r="E314" s="227" t="str">
        <f t="shared" ref="E314:Z314" si="132">IFERROR(ROUND(E312/E313-1,3),"")</f>
        <v/>
      </c>
      <c r="F314" s="227" t="str">
        <f t="shared" si="132"/>
        <v/>
      </c>
      <c r="G314" s="227">
        <f t="shared" si="132"/>
        <v>0</v>
      </c>
      <c r="H314" s="227">
        <f t="shared" si="132"/>
        <v>0</v>
      </c>
      <c r="I314" s="227">
        <f t="shared" si="132"/>
        <v>0</v>
      </c>
      <c r="J314" s="227">
        <f t="shared" si="132"/>
        <v>0</v>
      </c>
      <c r="K314" s="227">
        <f t="shared" si="132"/>
        <v>0</v>
      </c>
      <c r="L314" s="227">
        <f t="shared" si="132"/>
        <v>0</v>
      </c>
      <c r="M314" s="227">
        <f t="shared" si="132"/>
        <v>0</v>
      </c>
      <c r="N314" s="227">
        <f t="shared" si="132"/>
        <v>0</v>
      </c>
      <c r="O314" s="227">
        <f t="shared" si="132"/>
        <v>0</v>
      </c>
      <c r="P314" s="227">
        <f t="shared" si="132"/>
        <v>0</v>
      </c>
      <c r="Q314" s="227">
        <f t="shared" si="132"/>
        <v>8.3000000000000004E-2</v>
      </c>
      <c r="R314" s="227">
        <f t="shared" si="132"/>
        <v>3.2000000000000001E-2</v>
      </c>
      <c r="S314" s="227">
        <f t="shared" si="132"/>
        <v>0.249</v>
      </c>
      <c r="T314" s="227">
        <f t="shared" si="132"/>
        <v>0.30599999999999999</v>
      </c>
      <c r="U314" s="227">
        <f t="shared" si="132"/>
        <v>0.32800000000000001</v>
      </c>
      <c r="V314" s="227">
        <f t="shared" si="132"/>
        <v>0.16500000000000001</v>
      </c>
      <c r="W314" s="227">
        <f t="shared" si="132"/>
        <v>0.35099999999999998</v>
      </c>
      <c r="X314" s="227">
        <f t="shared" si="132"/>
        <v>0.32900000000000001</v>
      </c>
      <c r="Y314" s="227">
        <f t="shared" si="132"/>
        <v>0.36</v>
      </c>
      <c r="Z314" s="227">
        <f t="shared" si="132"/>
        <v>0.34300000000000003</v>
      </c>
      <c r="AA314" s="72"/>
      <c r="AB314" s="76"/>
      <c r="AC314" s="221"/>
      <c r="AD314" s="221"/>
      <c r="AE314" s="221"/>
      <c r="AF314" s="221"/>
      <c r="AG314" s="221"/>
      <c r="AH314" s="221"/>
      <c r="AI314" s="221"/>
      <c r="AJ314" s="221"/>
      <c r="AK314" s="221"/>
      <c r="AL314" s="221"/>
      <c r="AM314" s="221"/>
      <c r="AN314" s="221"/>
      <c r="AO314" s="221"/>
      <c r="AP314" s="221"/>
      <c r="AQ314" s="221"/>
      <c r="AR314" s="221"/>
      <c r="AS314" s="221"/>
      <c r="AT314" s="221"/>
      <c r="AU314" s="221"/>
      <c r="AV314" s="221"/>
      <c r="AW314" s="221"/>
      <c r="AX314" s="221"/>
      <c r="AY314" s="76"/>
      <c r="AZ314" s="77"/>
      <c r="BA314" s="77"/>
      <c r="BB314" s="78"/>
      <c r="BC314" s="76"/>
      <c r="BD314" s="221"/>
      <c r="BE314" s="221"/>
      <c r="BF314" s="221"/>
      <c r="BG314" s="221"/>
      <c r="BH314" s="221"/>
      <c r="BI314" s="221"/>
      <c r="BJ314" s="221"/>
      <c r="BK314" s="221"/>
      <c r="BL314" s="221"/>
      <c r="BM314" s="221"/>
      <c r="BN314" s="221"/>
      <c r="BO314" s="221"/>
      <c r="BP314" s="221"/>
      <c r="BQ314" s="221"/>
      <c r="BR314" s="221"/>
      <c r="BS314" s="221"/>
      <c r="BT314" s="221"/>
      <c r="BU314" s="221"/>
      <c r="BV314" s="221"/>
      <c r="BW314" s="221"/>
      <c r="BX314" s="221"/>
      <c r="BY314" s="221"/>
    </row>
    <row r="316" spans="2:77">
      <c r="B316" s="74" t="str">
        <f>BA316</f>
        <v>Operating expenses excl. depreciation</v>
      </c>
      <c r="C316" s="72" t="s">
        <v>72</v>
      </c>
      <c r="D316" s="224" t="s">
        <v>1342</v>
      </c>
      <c r="E316" s="223">
        <f t="shared" ref="E316:Z316" si="133">AC316</f>
        <v>-374.1</v>
      </c>
      <c r="F316" s="223">
        <f t="shared" si="133"/>
        <v>-384</v>
      </c>
      <c r="G316" s="223">
        <f t="shared" si="133"/>
        <v>-263.10000000000002</v>
      </c>
      <c r="H316" s="223">
        <f t="shared" si="133"/>
        <v>-261.39999999999998</v>
      </c>
      <c r="I316" s="223">
        <f t="shared" si="133"/>
        <v>-314.2</v>
      </c>
      <c r="J316" s="223">
        <f t="shared" si="133"/>
        <v>-462.5</v>
      </c>
      <c r="K316" s="223">
        <f t="shared" si="133"/>
        <v>-299.39999999999998</v>
      </c>
      <c r="L316" s="223">
        <f t="shared" si="133"/>
        <v>-338.7</v>
      </c>
      <c r="M316" s="223">
        <f t="shared" si="133"/>
        <v>-269.39999999999998</v>
      </c>
      <c r="N316" s="223">
        <f t="shared" si="133"/>
        <v>-272.7</v>
      </c>
      <c r="O316" s="223">
        <f t="shared" si="133"/>
        <v>-356.3</v>
      </c>
      <c r="P316" s="223">
        <f t="shared" si="133"/>
        <v>-404</v>
      </c>
      <c r="Q316" s="223">
        <f t="shared" si="133"/>
        <v>-335.36620593793401</v>
      </c>
      <c r="R316" s="223">
        <f t="shared" si="133"/>
        <v>-344.11989719999201</v>
      </c>
      <c r="S316" s="223">
        <f t="shared" si="133"/>
        <v>-357.39546069621298</v>
      </c>
      <c r="T316" s="223">
        <f t="shared" si="133"/>
        <v>-354.112224782883</v>
      </c>
      <c r="U316" s="223">
        <f t="shared" si="133"/>
        <v>-366.37188666868798</v>
      </c>
      <c r="V316" s="223">
        <f t="shared" si="133"/>
        <v>-362.51561578313198</v>
      </c>
      <c r="W316" s="223">
        <f t="shared" si="133"/>
        <v>-377.170671164167</v>
      </c>
      <c r="X316" s="223">
        <f t="shared" si="133"/>
        <v>-371.59132605210198</v>
      </c>
      <c r="Y316" s="223">
        <f t="shared" si="133"/>
        <v>-386.56693892561702</v>
      </c>
      <c r="Z316" s="223">
        <f t="shared" si="133"/>
        <v>-381.724602251166</v>
      </c>
      <c r="AA316" s="72"/>
      <c r="AB316" s="76"/>
      <c r="AC316" s="222">
        <v>-374.1</v>
      </c>
      <c r="AD316" s="222">
        <v>-384</v>
      </c>
      <c r="AE316" s="222">
        <v>-263.10000000000002</v>
      </c>
      <c r="AF316" s="222">
        <v>-261.39999999999998</v>
      </c>
      <c r="AG316" s="222">
        <v>-314.2</v>
      </c>
      <c r="AH316" s="222">
        <v>-462.5</v>
      </c>
      <c r="AI316" s="222">
        <v>-299.39999999999998</v>
      </c>
      <c r="AJ316" s="222">
        <v>-338.7</v>
      </c>
      <c r="AK316" s="222">
        <v>-269.39999999999998</v>
      </c>
      <c r="AL316" s="222">
        <v>-272.7</v>
      </c>
      <c r="AM316" s="222">
        <v>-356.3</v>
      </c>
      <c r="AN316" s="222">
        <v>-404</v>
      </c>
      <c r="AO316" s="222">
        <v>-335.36620593793401</v>
      </c>
      <c r="AP316" s="222">
        <v>-344.11989719999201</v>
      </c>
      <c r="AQ316" s="222">
        <v>-357.39546069621298</v>
      </c>
      <c r="AR316" s="222">
        <v>-354.112224782883</v>
      </c>
      <c r="AS316" s="222">
        <v>-366.37188666868798</v>
      </c>
      <c r="AT316" s="222">
        <v>-362.51561578313198</v>
      </c>
      <c r="AU316" s="222">
        <v>-377.170671164167</v>
      </c>
      <c r="AV316" s="222">
        <v>-371.59132605210198</v>
      </c>
      <c r="AW316" s="222">
        <v>-386.56693892561702</v>
      </c>
      <c r="AX316" s="222">
        <v>-381.724602251166</v>
      </c>
      <c r="AY316" s="76"/>
      <c r="AZ316" s="77" t="s">
        <v>1259</v>
      </c>
      <c r="BA316" s="77" t="s">
        <v>1395</v>
      </c>
      <c r="BB316" s="78" t="s">
        <v>1261</v>
      </c>
      <c r="BC316" s="76"/>
      <c r="BD316" s="79" t="e">
        <f>-_xll.VAData($AZ316,BD$2,$BA316,$BB316)</f>
        <v>#VALUE!</v>
      </c>
      <c r="BE316" s="79" t="e">
        <f>-_xll.VAData($AZ316,BE$2,$BA316,$BB316)</f>
        <v>#VALUE!</v>
      </c>
      <c r="BF316" s="79">
        <f>-_xll.VAData($AZ316,BF$2,$BA316,$BB316)</f>
        <v>-263.10000000000002</v>
      </c>
      <c r="BG316" s="79">
        <f>-_xll.VAData($AZ316,BG$2,$BA316,$BB316)</f>
        <v>-261.39999999999998</v>
      </c>
      <c r="BH316" s="79">
        <f>-_xll.VAData($AZ316,BH$2,$BA316,$BB316)</f>
        <v>-314.2</v>
      </c>
      <c r="BI316" s="79">
        <f>-_xll.VAData($AZ316,BI$2,$BA316,$BB316)</f>
        <v>-462.5</v>
      </c>
      <c r="BJ316" s="79">
        <f>-_xll.VAData($AZ316,BJ$2,$BA316,$BB316)</f>
        <v>-299.39999999999998</v>
      </c>
      <c r="BK316" s="79">
        <f>-_xll.VAData($AZ316,BK$2,$BA316,$BB316)</f>
        <v>-338.7</v>
      </c>
      <c r="BL316" s="79">
        <f>-_xll.VAData($AZ316,BL$2,$BA316,$BB316)</f>
        <v>-269.39999999999998</v>
      </c>
      <c r="BM316" s="79">
        <f>-_xll.VAData($AZ316,BM$2,$BA316,$BB316)</f>
        <v>-272.7</v>
      </c>
      <c r="BN316" s="79">
        <f>-_xll.VAData($AZ316,BN$2,$BA316,$BB316)</f>
        <v>-356.26</v>
      </c>
      <c r="BO316" s="79">
        <f>-_xll.VAData($AZ316,BO$2,$BA316,$BB316)</f>
        <v>-404.041</v>
      </c>
      <c r="BP316" s="79">
        <f>-_xll.VAData($AZ316,BP$2,$BA316,$BB316)</f>
        <v>-344.21</v>
      </c>
      <c r="BQ316" s="79">
        <f>-_xll.VAData($AZ316,BQ$2,$BA316,$BB316)</f>
        <v>-446.13299999999998</v>
      </c>
      <c r="BR316" s="79">
        <f>-_xll.VAData($AZ316,BR$2,$BA316,$BB316)</f>
        <v>-308.916</v>
      </c>
      <c r="BS316" s="79">
        <f>-_xll.VAData($AZ316,BS$2,$BA316,$BB316)</f>
        <v>-300.18900000000002</v>
      </c>
      <c r="BT316" s="79">
        <f>-_xll.VAData($AZ316,BT$2,$BA316,$BB316)</f>
        <v>-339.61500000000001</v>
      </c>
      <c r="BU316" s="79">
        <f>-_xll.VAData($AZ316,BU$2,$BA316,$BB316)</f>
        <v>-418.81099999999998</v>
      </c>
      <c r="BV316" s="79">
        <f>-_xll.VAData($AZ316,BV$2,$BA316,$BB316)</f>
        <v>-342.42936800000001</v>
      </c>
      <c r="BW316" s="79">
        <f>-_xll.VAData($AZ316,BW$2,$BA316,$BB316)</f>
        <v>-337.31849679999999</v>
      </c>
      <c r="BX316" s="79">
        <f>-_xll.VAData($AZ316,BX$2,$BA316,$BB316)</f>
        <v>-339.30683108800002</v>
      </c>
      <c r="BY316" s="79">
        <f>-_xll.VAData($AZ316,BY$2,$BA316,$BB316)</f>
        <v>-325.47325256800002</v>
      </c>
    </row>
    <row r="317" spans="2:77">
      <c r="B317" s="74"/>
      <c r="C317" s="72" t="s">
        <v>72</v>
      </c>
      <c r="D317" s="225" t="s">
        <v>1343</v>
      </c>
      <c r="E317" s="226" t="e">
        <f>HY!#REF!</f>
        <v>#REF!</v>
      </c>
      <c r="F317" s="226" t="e">
        <f>HY!#REF!</f>
        <v>#REF!</v>
      </c>
      <c r="G317" s="226" t="e">
        <f>HY!#REF!</f>
        <v>#REF!</v>
      </c>
      <c r="H317" s="226" t="e">
        <f>HY!#REF!</f>
        <v>#REF!</v>
      </c>
      <c r="I317" s="226" t="e">
        <f>HY!#REF!</f>
        <v>#REF!</v>
      </c>
      <c r="J317" s="226" t="e">
        <f>HY!#REF!</f>
        <v>#REF!</v>
      </c>
      <c r="K317" s="226" t="e">
        <f>HY!#REF!</f>
        <v>#REF!</v>
      </c>
      <c r="L317" s="226" t="e">
        <f>HY!#REF!</f>
        <v>#REF!</v>
      </c>
      <c r="M317" s="226" t="e">
        <f>HY!#REF!</f>
        <v>#REF!</v>
      </c>
      <c r="N317" s="226" t="e">
        <f>HY!#REF!</f>
        <v>#REF!</v>
      </c>
      <c r="O317" s="226" t="e">
        <f>HY!#REF!</f>
        <v>#REF!</v>
      </c>
      <c r="P317" s="226" t="e">
        <f>HY!#REF!</f>
        <v>#REF!</v>
      </c>
      <c r="Q317" s="226" t="e">
        <f>HY!#REF!</f>
        <v>#REF!</v>
      </c>
      <c r="R317" s="226" t="e">
        <f>HY!#REF!</f>
        <v>#REF!</v>
      </c>
      <c r="S317" s="226" t="e">
        <f>HY!#REF!</f>
        <v>#REF!</v>
      </c>
      <c r="T317" s="226" t="e">
        <f>HY!#REF!</f>
        <v>#REF!</v>
      </c>
      <c r="U317" s="226" t="e">
        <f>HY!#REF!</f>
        <v>#REF!</v>
      </c>
      <c r="V317" s="226" t="e">
        <f>HY!#REF!</f>
        <v>#REF!</v>
      </c>
      <c r="W317" s="226" t="e">
        <f>HY!#REF!</f>
        <v>#REF!</v>
      </c>
      <c r="X317" s="226" t="e">
        <f>HY!#REF!</f>
        <v>#REF!</v>
      </c>
      <c r="Y317" s="226" t="e">
        <f>HY!#REF!</f>
        <v>#REF!</v>
      </c>
      <c r="Z317" s="226" t="e">
        <f>HY!#REF!</f>
        <v>#REF!</v>
      </c>
      <c r="AA317" s="72"/>
      <c r="AB317" s="76"/>
      <c r="AC317" s="221"/>
      <c r="AD317" s="221"/>
      <c r="AE317" s="221"/>
      <c r="AF317" s="221"/>
      <c r="AG317" s="221"/>
      <c r="AH317" s="221"/>
      <c r="AI317" s="221"/>
      <c r="AJ317" s="221"/>
      <c r="AK317" s="221"/>
      <c r="AL317" s="221"/>
      <c r="AM317" s="221"/>
      <c r="AN317" s="221"/>
      <c r="AO317" s="221"/>
      <c r="AP317" s="221"/>
      <c r="AQ317" s="221"/>
      <c r="AR317" s="221"/>
      <c r="AS317" s="221"/>
      <c r="AT317" s="221"/>
      <c r="AU317" s="221"/>
      <c r="AV317" s="221"/>
      <c r="AW317" s="221"/>
      <c r="AX317" s="221"/>
      <c r="AY317" s="76"/>
      <c r="AZ317" s="77"/>
      <c r="BA317" s="77"/>
      <c r="BB317" s="78"/>
      <c r="BC317" s="76"/>
      <c r="BD317" s="221"/>
      <c r="BE317" s="221"/>
      <c r="BF317" s="221"/>
      <c r="BG317" s="221"/>
      <c r="BH317" s="221"/>
      <c r="BI317" s="221"/>
      <c r="BJ317" s="221"/>
      <c r="BK317" s="221"/>
      <c r="BL317" s="221"/>
      <c r="BM317" s="221"/>
      <c r="BN317" s="221"/>
      <c r="BO317" s="221"/>
      <c r="BP317" s="221"/>
      <c r="BQ317" s="221"/>
      <c r="BR317" s="221"/>
      <c r="BS317" s="221"/>
      <c r="BT317" s="221"/>
      <c r="BU317" s="221"/>
      <c r="BV317" s="221"/>
      <c r="BW317" s="221"/>
      <c r="BX317" s="221"/>
      <c r="BY317" s="221"/>
    </row>
    <row r="318" spans="2:77">
      <c r="B318" s="74"/>
      <c r="C318" s="81" t="s">
        <v>88</v>
      </c>
      <c r="D318" s="72" t="s">
        <v>1344</v>
      </c>
      <c r="E318" s="227" t="str">
        <f t="shared" ref="E318:Z318" si="134">IFERROR(ROUND(E316/E317-1,3),"")</f>
        <v/>
      </c>
      <c r="F318" s="227" t="str">
        <f t="shared" si="134"/>
        <v/>
      </c>
      <c r="G318" s="227" t="str">
        <f t="shared" si="134"/>
        <v/>
      </c>
      <c r="H318" s="227" t="str">
        <f t="shared" si="134"/>
        <v/>
      </c>
      <c r="I318" s="227" t="str">
        <f t="shared" si="134"/>
        <v/>
      </c>
      <c r="J318" s="227" t="str">
        <f t="shared" si="134"/>
        <v/>
      </c>
      <c r="K318" s="227" t="str">
        <f t="shared" si="134"/>
        <v/>
      </c>
      <c r="L318" s="227" t="str">
        <f t="shared" si="134"/>
        <v/>
      </c>
      <c r="M318" s="227" t="str">
        <f t="shared" si="134"/>
        <v/>
      </c>
      <c r="N318" s="227" t="str">
        <f t="shared" si="134"/>
        <v/>
      </c>
      <c r="O318" s="227" t="str">
        <f t="shared" si="134"/>
        <v/>
      </c>
      <c r="P318" s="227" t="str">
        <f t="shared" si="134"/>
        <v/>
      </c>
      <c r="Q318" s="227" t="str">
        <f t="shared" si="134"/>
        <v/>
      </c>
      <c r="R318" s="227" t="str">
        <f t="shared" si="134"/>
        <v/>
      </c>
      <c r="S318" s="227" t="str">
        <f t="shared" si="134"/>
        <v/>
      </c>
      <c r="T318" s="227" t="str">
        <f t="shared" si="134"/>
        <v/>
      </c>
      <c r="U318" s="227" t="str">
        <f t="shared" si="134"/>
        <v/>
      </c>
      <c r="V318" s="227" t="str">
        <f t="shared" si="134"/>
        <v/>
      </c>
      <c r="W318" s="227" t="str">
        <f t="shared" si="134"/>
        <v/>
      </c>
      <c r="X318" s="227" t="str">
        <f t="shared" si="134"/>
        <v/>
      </c>
      <c r="Y318" s="227" t="str">
        <f t="shared" si="134"/>
        <v/>
      </c>
      <c r="Z318" s="227" t="str">
        <f t="shared" si="134"/>
        <v/>
      </c>
      <c r="AA318" s="72"/>
      <c r="AB318" s="76"/>
      <c r="AC318" s="221"/>
      <c r="AD318" s="221"/>
      <c r="AE318" s="221"/>
      <c r="AF318" s="221"/>
      <c r="AG318" s="221"/>
      <c r="AH318" s="221"/>
      <c r="AI318" s="221"/>
      <c r="AJ318" s="221"/>
      <c r="AK318" s="221"/>
      <c r="AL318" s="221"/>
      <c r="AM318" s="221"/>
      <c r="AN318" s="221"/>
      <c r="AO318" s="221"/>
      <c r="AP318" s="221"/>
      <c r="AQ318" s="221"/>
      <c r="AR318" s="221"/>
      <c r="AS318" s="221"/>
      <c r="AT318" s="221"/>
      <c r="AU318" s="221"/>
      <c r="AV318" s="221"/>
      <c r="AW318" s="221"/>
      <c r="AX318" s="221"/>
      <c r="AY318" s="76"/>
      <c r="AZ318" s="77"/>
      <c r="BA318" s="77"/>
      <c r="BB318" s="78"/>
      <c r="BC318" s="76"/>
      <c r="BD318" s="221"/>
      <c r="BE318" s="221"/>
      <c r="BF318" s="221"/>
      <c r="BG318" s="221"/>
      <c r="BH318" s="221"/>
      <c r="BI318" s="221"/>
      <c r="BJ318" s="221"/>
      <c r="BK318" s="221"/>
      <c r="BL318" s="221"/>
      <c r="BM318" s="221"/>
      <c r="BN318" s="221"/>
      <c r="BO318" s="221"/>
      <c r="BP318" s="221"/>
      <c r="BQ318" s="221"/>
      <c r="BR318" s="221"/>
      <c r="BS318" s="221"/>
      <c r="BT318" s="221"/>
      <c r="BU318" s="221"/>
      <c r="BV318" s="221"/>
      <c r="BW318" s="221"/>
      <c r="BX318" s="221"/>
      <c r="BY318" s="221"/>
    </row>
    <row r="320" spans="2:77">
      <c r="B320" s="74" t="str">
        <f>BA320</f>
        <v>EBITDA</v>
      </c>
      <c r="C320" s="72" t="s">
        <v>72</v>
      </c>
      <c r="D320" s="224" t="s">
        <v>1342</v>
      </c>
      <c r="E320" s="223">
        <f t="shared" ref="E320:Z320" si="135">AC320</f>
        <v>180.6</v>
      </c>
      <c r="F320" s="223">
        <f t="shared" si="135"/>
        <v>158.1</v>
      </c>
      <c r="G320" s="223">
        <f t="shared" si="135"/>
        <v>148.30000000000001</v>
      </c>
      <c r="H320" s="223">
        <f t="shared" si="135"/>
        <v>149.5</v>
      </c>
      <c r="I320" s="223">
        <f t="shared" si="135"/>
        <v>407.5</v>
      </c>
      <c r="J320" s="223">
        <f t="shared" si="135"/>
        <v>-59.2</v>
      </c>
      <c r="K320" s="223">
        <f t="shared" si="135"/>
        <v>150.5</v>
      </c>
      <c r="L320" s="223">
        <f t="shared" si="135"/>
        <v>163.4</v>
      </c>
      <c r="M320" s="223">
        <f t="shared" si="135"/>
        <v>20.399999999999999</v>
      </c>
      <c r="N320" s="223">
        <f t="shared" si="135"/>
        <v>76.5</v>
      </c>
      <c r="O320" s="223">
        <f t="shared" si="135"/>
        <v>106.3</v>
      </c>
      <c r="P320" s="223">
        <f t="shared" si="135"/>
        <v>59.6</v>
      </c>
      <c r="Q320" s="223">
        <f t="shared" si="135"/>
        <v>146.773816534471</v>
      </c>
      <c r="R320" s="223">
        <f t="shared" si="135"/>
        <v>154.66860820554601</v>
      </c>
      <c r="S320" s="223">
        <f t="shared" si="135"/>
        <v>169.82885008044201</v>
      </c>
      <c r="T320" s="223">
        <f t="shared" si="135"/>
        <v>172.55082527493201</v>
      </c>
      <c r="U320" s="223">
        <f t="shared" si="135"/>
        <v>180.22096247291699</v>
      </c>
      <c r="V320" s="223">
        <f t="shared" si="135"/>
        <v>181.779529119198</v>
      </c>
      <c r="W320" s="223">
        <f t="shared" si="135"/>
        <v>189.846087050156</v>
      </c>
      <c r="X320" s="223">
        <f t="shared" si="135"/>
        <v>188.51527864368001</v>
      </c>
      <c r="Y320" s="223">
        <f t="shared" si="135"/>
        <v>196.73465076669399</v>
      </c>
      <c r="Z320" s="223">
        <f t="shared" si="135"/>
        <v>196.933957078996</v>
      </c>
      <c r="AA320" s="72"/>
      <c r="AB320" s="76"/>
      <c r="AC320" s="222">
        <v>180.6</v>
      </c>
      <c r="AD320" s="222">
        <v>158.1</v>
      </c>
      <c r="AE320" s="222">
        <v>148.30000000000001</v>
      </c>
      <c r="AF320" s="222">
        <v>149.5</v>
      </c>
      <c r="AG320" s="222">
        <v>407.5</v>
      </c>
      <c r="AH320" s="222">
        <v>-59.2</v>
      </c>
      <c r="AI320" s="222">
        <v>150.5</v>
      </c>
      <c r="AJ320" s="222">
        <v>163.4</v>
      </c>
      <c r="AK320" s="222">
        <v>20.399999999999999</v>
      </c>
      <c r="AL320" s="222">
        <v>76.5</v>
      </c>
      <c r="AM320" s="222">
        <v>106.3</v>
      </c>
      <c r="AN320" s="222">
        <v>59.6</v>
      </c>
      <c r="AO320" s="222">
        <v>146.773816534471</v>
      </c>
      <c r="AP320" s="222">
        <v>154.66860820554601</v>
      </c>
      <c r="AQ320" s="222">
        <v>169.82885008044201</v>
      </c>
      <c r="AR320" s="222">
        <v>172.55082527493201</v>
      </c>
      <c r="AS320" s="222">
        <v>180.22096247291699</v>
      </c>
      <c r="AT320" s="222">
        <v>181.779529119198</v>
      </c>
      <c r="AU320" s="222">
        <v>189.846087050156</v>
      </c>
      <c r="AV320" s="222">
        <v>188.51527864368001</v>
      </c>
      <c r="AW320" s="222">
        <v>196.73465076669399</v>
      </c>
      <c r="AX320" s="222">
        <v>196.933957078996</v>
      </c>
      <c r="AY320" s="76"/>
      <c r="AZ320" s="77" t="s">
        <v>1259</v>
      </c>
      <c r="BA320" s="77" t="s">
        <v>26</v>
      </c>
      <c r="BB320" s="78" t="s">
        <v>1261</v>
      </c>
      <c r="BC320" s="76"/>
      <c r="BD320" s="79">
        <f>_xll.VAData($AZ320,BD$2,$BA320,$BB320)</f>
        <v>-324.04700000000003</v>
      </c>
      <c r="BE320" s="79">
        <f>_xll.VAData($AZ320,BE$2,$BA320,$BB320)</f>
        <v>662.77499999999998</v>
      </c>
      <c r="BF320" s="79">
        <f>_xll.VAData($AZ320,BF$2,$BA320,$BB320)</f>
        <v>148.30000000000001</v>
      </c>
      <c r="BG320" s="79">
        <f>_xll.VAData($AZ320,BG$2,$BA320,$BB320)</f>
        <v>149.5</v>
      </c>
      <c r="BH320" s="79">
        <f>_xll.VAData($AZ320,BH$2,$BA320,$BB320)</f>
        <v>407.5</v>
      </c>
      <c r="BI320" s="79">
        <f>_xll.VAData($AZ320,BI$2,$BA320,$BB320)</f>
        <v>-59.2</v>
      </c>
      <c r="BJ320" s="79">
        <f>_xll.VAData($AZ320,BJ$2,$BA320,$BB320)</f>
        <v>150.5</v>
      </c>
      <c r="BK320" s="79">
        <f>_xll.VAData($AZ320,BK$2,$BA320,$BB320)</f>
        <v>163.4</v>
      </c>
      <c r="BL320" s="79">
        <f>_xll.VAData($AZ320,BL$2,$BA320,$BB320)</f>
        <v>20.399999999999999</v>
      </c>
      <c r="BM320" s="79">
        <f>_xll.VAData($AZ320,BM$2,$BA320,$BB320)</f>
        <v>76.5</v>
      </c>
      <c r="BN320" s="79">
        <f>_xll.VAData($AZ320,BN$2,$BA320,$BB320)</f>
        <v>106.34</v>
      </c>
      <c r="BO320" s="79">
        <f>_xll.VAData($AZ320,BO$2,$BA320,$BB320)</f>
        <v>59.558999999999997</v>
      </c>
      <c r="BP320" s="79">
        <f>_xll.VAData($AZ320,BP$2,$BA320,$BB320)</f>
        <v>100.99</v>
      </c>
      <c r="BQ320" s="79">
        <f>_xll.VAData($AZ320,BQ$2,$BA320,$BB320)</f>
        <v>37.167000000000002</v>
      </c>
      <c r="BR320" s="79">
        <f>_xll.VAData($AZ320,BR$2,$BA320,$BB320)</f>
        <v>113.084</v>
      </c>
      <c r="BS320" s="79">
        <f>_xll.VAData($AZ320,BS$2,$BA320,$BB320)</f>
        <v>103.011</v>
      </c>
      <c r="BT320" s="79">
        <f>_xll.VAData($AZ320,BT$2,$BA320,$BB320)</f>
        <v>72.084999999999994</v>
      </c>
      <c r="BU320" s="79">
        <f>_xll.VAData($AZ320,BU$2,$BA320,$BB320)</f>
        <v>48.389000000000003</v>
      </c>
      <c r="BV320" s="79">
        <f>_xll.VAData($AZ320,BV$2,$BA320,$BB320)</f>
        <v>77.135632000000001</v>
      </c>
      <c r="BW320" s="79">
        <f>_xll.VAData($AZ320,BW$2,$BA320,$BB320)</f>
        <v>84.050503199999994</v>
      </c>
      <c r="BX320" s="79">
        <f>_xll.VAData($AZ320,BX$2,$BA320,$BB320)</f>
        <v>89.441708911999996</v>
      </c>
      <c r="BY320" s="79">
        <f>_xll.VAData($AZ320,BY$2,$BA320,$BB320)</f>
        <v>105.390437432</v>
      </c>
    </row>
    <row r="321" spans="2:77">
      <c r="B321" s="74"/>
      <c r="C321" s="72" t="s">
        <v>72</v>
      </c>
      <c r="D321" s="225" t="s">
        <v>1343</v>
      </c>
      <c r="E321" s="226" t="e">
        <f>HY!#REF!</f>
        <v>#REF!</v>
      </c>
      <c r="F321" s="226" t="e">
        <f>HY!#REF!</f>
        <v>#REF!</v>
      </c>
      <c r="G321" s="226" t="e">
        <f>HY!#REF!</f>
        <v>#REF!</v>
      </c>
      <c r="H321" s="226" t="e">
        <f>HY!#REF!</f>
        <v>#REF!</v>
      </c>
      <c r="I321" s="226" t="e">
        <f>HY!#REF!</f>
        <v>#REF!</v>
      </c>
      <c r="J321" s="226" t="e">
        <f>HY!#REF!</f>
        <v>#REF!</v>
      </c>
      <c r="K321" s="226" t="e">
        <f>HY!#REF!</f>
        <v>#REF!</v>
      </c>
      <c r="L321" s="226" t="e">
        <f>HY!#REF!</f>
        <v>#REF!</v>
      </c>
      <c r="M321" s="226" t="e">
        <f>HY!#REF!</f>
        <v>#REF!</v>
      </c>
      <c r="N321" s="226" t="e">
        <f>HY!#REF!</f>
        <v>#REF!</v>
      </c>
      <c r="O321" s="226" t="e">
        <f>HY!#REF!</f>
        <v>#REF!</v>
      </c>
      <c r="P321" s="226" t="e">
        <f>HY!#REF!</f>
        <v>#REF!</v>
      </c>
      <c r="Q321" s="226" t="e">
        <f>HY!#REF!</f>
        <v>#REF!</v>
      </c>
      <c r="R321" s="226" t="e">
        <f>HY!#REF!</f>
        <v>#REF!</v>
      </c>
      <c r="S321" s="226" t="e">
        <f>HY!#REF!</f>
        <v>#REF!</v>
      </c>
      <c r="T321" s="226" t="e">
        <f>HY!#REF!</f>
        <v>#REF!</v>
      </c>
      <c r="U321" s="226" t="e">
        <f>HY!#REF!</f>
        <v>#REF!</v>
      </c>
      <c r="V321" s="226" t="e">
        <f>HY!#REF!</f>
        <v>#REF!</v>
      </c>
      <c r="W321" s="226" t="e">
        <f>HY!#REF!</f>
        <v>#REF!</v>
      </c>
      <c r="X321" s="226" t="e">
        <f>HY!#REF!</f>
        <v>#REF!</v>
      </c>
      <c r="Y321" s="226" t="e">
        <f>HY!#REF!</f>
        <v>#REF!</v>
      </c>
      <c r="Z321" s="226" t="e">
        <f>HY!#REF!</f>
        <v>#REF!</v>
      </c>
      <c r="AA321" s="72"/>
      <c r="AB321" s="76"/>
      <c r="AC321" s="221"/>
      <c r="AD321" s="221"/>
      <c r="AE321" s="221"/>
      <c r="AF321" s="221"/>
      <c r="AG321" s="221"/>
      <c r="AH321" s="221"/>
      <c r="AI321" s="221"/>
      <c r="AJ321" s="221"/>
      <c r="AK321" s="221"/>
      <c r="AL321" s="221"/>
      <c r="AM321" s="221"/>
      <c r="AN321" s="221"/>
      <c r="AO321" s="221"/>
      <c r="AP321" s="221"/>
      <c r="AQ321" s="221"/>
      <c r="AR321" s="221"/>
      <c r="AS321" s="221"/>
      <c r="AT321" s="221"/>
      <c r="AU321" s="221"/>
      <c r="AV321" s="221"/>
      <c r="AW321" s="221"/>
      <c r="AX321" s="221"/>
      <c r="AY321" s="76"/>
      <c r="AZ321" s="77"/>
      <c r="BA321" s="77"/>
      <c r="BB321" s="78"/>
      <c r="BC321" s="76"/>
      <c r="BD321" s="221"/>
      <c r="BE321" s="221"/>
      <c r="BF321" s="221"/>
      <c r="BG321" s="221"/>
      <c r="BH321" s="221"/>
      <c r="BI321" s="221"/>
      <c r="BJ321" s="221"/>
      <c r="BK321" s="221"/>
      <c r="BL321" s="221"/>
      <c r="BM321" s="221"/>
      <c r="BN321" s="221"/>
      <c r="BO321" s="221"/>
      <c r="BP321" s="221"/>
      <c r="BQ321" s="221"/>
      <c r="BR321" s="221"/>
      <c r="BS321" s="221"/>
      <c r="BT321" s="221"/>
      <c r="BU321" s="221"/>
      <c r="BV321" s="221"/>
      <c r="BW321" s="221"/>
      <c r="BX321" s="221"/>
      <c r="BY321" s="221"/>
    </row>
    <row r="322" spans="2:77">
      <c r="B322" s="74"/>
      <c r="C322" s="81" t="s">
        <v>88</v>
      </c>
      <c r="D322" s="72" t="s">
        <v>1344</v>
      </c>
      <c r="E322" s="227" t="str">
        <f t="shared" ref="E322:Z322" si="136">IFERROR(ROUND(E320/E321-1,3),"")</f>
        <v/>
      </c>
      <c r="F322" s="227" t="str">
        <f t="shared" si="136"/>
        <v/>
      </c>
      <c r="G322" s="227" t="str">
        <f t="shared" si="136"/>
        <v/>
      </c>
      <c r="H322" s="227" t="str">
        <f t="shared" si="136"/>
        <v/>
      </c>
      <c r="I322" s="227" t="str">
        <f t="shared" si="136"/>
        <v/>
      </c>
      <c r="J322" s="227" t="str">
        <f t="shared" si="136"/>
        <v/>
      </c>
      <c r="K322" s="227" t="str">
        <f t="shared" si="136"/>
        <v/>
      </c>
      <c r="L322" s="227" t="str">
        <f t="shared" si="136"/>
        <v/>
      </c>
      <c r="M322" s="227" t="str">
        <f t="shared" si="136"/>
        <v/>
      </c>
      <c r="N322" s="227" t="str">
        <f t="shared" si="136"/>
        <v/>
      </c>
      <c r="O322" s="227" t="str">
        <f t="shared" si="136"/>
        <v/>
      </c>
      <c r="P322" s="227" t="str">
        <f t="shared" si="136"/>
        <v/>
      </c>
      <c r="Q322" s="227" t="str">
        <f t="shared" si="136"/>
        <v/>
      </c>
      <c r="R322" s="227" t="str">
        <f t="shared" si="136"/>
        <v/>
      </c>
      <c r="S322" s="227" t="str">
        <f t="shared" si="136"/>
        <v/>
      </c>
      <c r="T322" s="227" t="str">
        <f t="shared" si="136"/>
        <v/>
      </c>
      <c r="U322" s="227" t="str">
        <f t="shared" si="136"/>
        <v/>
      </c>
      <c r="V322" s="227" t="str">
        <f t="shared" si="136"/>
        <v/>
      </c>
      <c r="W322" s="227" t="str">
        <f t="shared" si="136"/>
        <v/>
      </c>
      <c r="X322" s="227" t="str">
        <f t="shared" si="136"/>
        <v/>
      </c>
      <c r="Y322" s="227" t="str">
        <f t="shared" si="136"/>
        <v/>
      </c>
      <c r="Z322" s="227" t="str">
        <f t="shared" si="136"/>
        <v/>
      </c>
      <c r="AA322" s="72"/>
      <c r="AB322" s="76"/>
      <c r="AC322" s="221"/>
      <c r="AD322" s="221"/>
      <c r="AE322" s="221"/>
      <c r="AF322" s="221"/>
      <c r="AG322" s="221"/>
      <c r="AH322" s="221"/>
      <c r="AI322" s="221"/>
      <c r="AJ322" s="221"/>
      <c r="AK322" s="221"/>
      <c r="AL322" s="221"/>
      <c r="AM322" s="221"/>
      <c r="AN322" s="221"/>
      <c r="AO322" s="221"/>
      <c r="AP322" s="221"/>
      <c r="AQ322" s="221"/>
      <c r="AR322" s="221"/>
      <c r="AS322" s="221"/>
      <c r="AT322" s="221"/>
      <c r="AU322" s="221"/>
      <c r="AV322" s="221"/>
      <c r="AW322" s="221"/>
      <c r="AX322" s="221"/>
      <c r="AY322" s="76"/>
      <c r="AZ322" s="77"/>
      <c r="BA322" s="77"/>
      <c r="BB322" s="78"/>
      <c r="BC322" s="76"/>
      <c r="BD322" s="221"/>
      <c r="BE322" s="221"/>
      <c r="BF322" s="221"/>
      <c r="BG322" s="221"/>
      <c r="BH322" s="221"/>
      <c r="BI322" s="221"/>
      <c r="BJ322" s="221"/>
      <c r="BK322" s="221"/>
      <c r="BL322" s="221"/>
      <c r="BM322" s="221"/>
      <c r="BN322" s="221"/>
      <c r="BO322" s="221"/>
      <c r="BP322" s="221"/>
      <c r="BQ322" s="221"/>
      <c r="BR322" s="221"/>
      <c r="BS322" s="221"/>
      <c r="BT322" s="221"/>
      <c r="BU322" s="221"/>
      <c r="BV322" s="221"/>
      <c r="BW322" s="221"/>
      <c r="BX322" s="221"/>
      <c r="BY322" s="221"/>
    </row>
    <row r="324" spans="2:77">
      <c r="B324" s="74" t="str">
        <f>BA324</f>
        <v>Depreciation &amp; amortisation</v>
      </c>
      <c r="C324" s="72" t="s">
        <v>72</v>
      </c>
      <c r="D324" s="224" t="s">
        <v>1342</v>
      </c>
      <c r="E324" s="223">
        <f t="shared" ref="E324:Z324" si="137">AC324</f>
        <v>-47.024999999999999</v>
      </c>
      <c r="F324" s="223">
        <f t="shared" si="137"/>
        <v>-47.003</v>
      </c>
      <c r="G324" s="223">
        <f t="shared" si="137"/>
        <v>-40.700000000000003</v>
      </c>
      <c r="H324" s="223">
        <f t="shared" si="137"/>
        <v>-39.200000000000003</v>
      </c>
      <c r="I324" s="223">
        <f t="shared" si="137"/>
        <v>-41.5</v>
      </c>
      <c r="J324" s="223">
        <f t="shared" si="137"/>
        <v>-45.1</v>
      </c>
      <c r="K324" s="223">
        <f t="shared" si="137"/>
        <v>-41.1</v>
      </c>
      <c r="L324" s="223">
        <f t="shared" si="137"/>
        <v>-47.4</v>
      </c>
      <c r="M324" s="223">
        <f t="shared" si="137"/>
        <v>-47.84</v>
      </c>
      <c r="N324" s="223">
        <f t="shared" si="137"/>
        <v>-46.82</v>
      </c>
      <c r="O324" s="223">
        <f t="shared" si="137"/>
        <v>-45.463999999999999</v>
      </c>
      <c r="P324" s="223">
        <f t="shared" si="137"/>
        <v>-45.207999999999998</v>
      </c>
      <c r="Q324" s="223">
        <f t="shared" si="137"/>
        <v>-48.258808663967898</v>
      </c>
      <c r="R324" s="223">
        <f t="shared" si="137"/>
        <v>-48.148018981685702</v>
      </c>
      <c r="S324" s="223">
        <f t="shared" si="137"/>
        <v>-52.286019880556204</v>
      </c>
      <c r="T324" s="223">
        <f t="shared" si="137"/>
        <v>-55.189622413779396</v>
      </c>
      <c r="U324" s="223">
        <f t="shared" si="137"/>
        <v>-56.144345186567101</v>
      </c>
      <c r="V324" s="223">
        <f t="shared" si="137"/>
        <v>-55.957407695193403</v>
      </c>
      <c r="W324" s="223">
        <f t="shared" si="137"/>
        <v>-56.962551716525603</v>
      </c>
      <c r="X324" s="223">
        <f t="shared" si="137"/>
        <v>-56.802862479303201</v>
      </c>
      <c r="Y324" s="223">
        <f t="shared" si="137"/>
        <v>-57.838758840566399</v>
      </c>
      <c r="Z324" s="223">
        <f t="shared" si="137"/>
        <v>-57.751454564220502</v>
      </c>
      <c r="AA324" s="72"/>
      <c r="AB324" s="76"/>
      <c r="AC324" s="222">
        <v>-47.024999999999999</v>
      </c>
      <c r="AD324" s="222">
        <v>-47.003</v>
      </c>
      <c r="AE324" s="222">
        <v>-40.700000000000003</v>
      </c>
      <c r="AF324" s="222">
        <v>-39.200000000000003</v>
      </c>
      <c r="AG324" s="222">
        <v>-41.5</v>
      </c>
      <c r="AH324" s="222">
        <v>-45.1</v>
      </c>
      <c r="AI324" s="222">
        <v>-41.1</v>
      </c>
      <c r="AJ324" s="222">
        <v>-47.4</v>
      </c>
      <c r="AK324" s="222">
        <v>-47.84</v>
      </c>
      <c r="AL324" s="222">
        <v>-46.82</v>
      </c>
      <c r="AM324" s="222">
        <v>-45.463999999999999</v>
      </c>
      <c r="AN324" s="222">
        <v>-45.207999999999998</v>
      </c>
      <c r="AO324" s="222">
        <v>-48.258808663967898</v>
      </c>
      <c r="AP324" s="222">
        <v>-48.148018981685702</v>
      </c>
      <c r="AQ324" s="222">
        <v>-52.286019880556204</v>
      </c>
      <c r="AR324" s="222">
        <v>-55.189622413779396</v>
      </c>
      <c r="AS324" s="222">
        <v>-56.144345186567101</v>
      </c>
      <c r="AT324" s="222">
        <v>-55.957407695193403</v>
      </c>
      <c r="AU324" s="222">
        <v>-56.962551716525603</v>
      </c>
      <c r="AV324" s="222">
        <v>-56.802862479303201</v>
      </c>
      <c r="AW324" s="222">
        <v>-57.838758840566399</v>
      </c>
      <c r="AX324" s="222">
        <v>-57.751454564220502</v>
      </c>
      <c r="AY324" s="76"/>
      <c r="AZ324" s="77" t="s">
        <v>1259</v>
      </c>
      <c r="BA324" s="77" t="s">
        <v>1396</v>
      </c>
      <c r="BB324" s="78" t="s">
        <v>1261</v>
      </c>
      <c r="BC324" s="76"/>
      <c r="BD324" s="79">
        <f>-_xll.VAData($AZ324,BD$2,$BA324,$BB324)</f>
        <v>-47.122999999999998</v>
      </c>
      <c r="BE324" s="79">
        <f>-_xll.VAData($AZ324,BE$2,$BA324,$BB324)</f>
        <v>-47.253999999999998</v>
      </c>
      <c r="BF324" s="79">
        <f>-_xll.VAData($AZ324,BF$2,$BA324,$BB324)</f>
        <v>-40.700000000000003</v>
      </c>
      <c r="BG324" s="79">
        <f>-_xll.VAData($AZ324,BG$2,$BA324,$BB324)</f>
        <v>-39.200000000000003</v>
      </c>
      <c r="BH324" s="79">
        <f>-_xll.VAData($AZ324,BH$2,$BA324,$BB324)</f>
        <v>-41.5</v>
      </c>
      <c r="BI324" s="79">
        <f>-_xll.VAData($AZ324,BI$2,$BA324,$BB324)</f>
        <v>-45.1</v>
      </c>
      <c r="BJ324" s="79">
        <f>-_xll.VAData($AZ324,BJ$2,$BA324,$BB324)</f>
        <v>-41.1</v>
      </c>
      <c r="BK324" s="79">
        <f>-_xll.VAData($AZ324,BK$2,$BA324,$BB324)</f>
        <v>-47.4</v>
      </c>
      <c r="BL324" s="79">
        <f>-_xll.VAData($AZ324,BL$2,$BA324,$BB324)</f>
        <v>-47.8</v>
      </c>
      <c r="BM324" s="79">
        <f>-_xll.VAData($AZ324,BM$2,$BA324,$BB324)</f>
        <v>-46.82</v>
      </c>
      <c r="BN324" s="79">
        <f>-_xll.VAData($AZ324,BN$2,$BA324,$BB324)</f>
        <v>-45.463999999999999</v>
      </c>
      <c r="BO324" s="79">
        <f>-_xll.VAData($AZ324,BO$2,$BA324,$BB324)</f>
        <v>-45.207999999999998</v>
      </c>
      <c r="BP324" s="79">
        <f>-_xll.VAData($AZ324,BP$2,$BA324,$BB324)</f>
        <v>-44.247</v>
      </c>
      <c r="BQ324" s="79">
        <f>-_xll.VAData($AZ324,BQ$2,$BA324,$BB324)</f>
        <v>-47.774000000000001</v>
      </c>
      <c r="BR324" s="79">
        <f>-_xll.VAData($AZ324,BR$2,$BA324,$BB324)</f>
        <v>-45.329000000000001</v>
      </c>
      <c r="BS324" s="79">
        <f>-_xll.VAData($AZ324,BS$2,$BA324,$BB324)</f>
        <v>-48.884</v>
      </c>
      <c r="BT324" s="79">
        <f>-_xll.VAData($AZ324,BT$2,$BA324,$BB324)</f>
        <v>-49.878999999999998</v>
      </c>
      <c r="BU324" s="79">
        <f>-_xll.VAData($AZ324,BU$2,$BA324,$BB324)</f>
        <v>-55.18</v>
      </c>
      <c r="BV324" s="79">
        <f>-_xll.VAData($AZ324,BV$2,$BA324,$BB324)</f>
        <v>-60.2347670774843</v>
      </c>
      <c r="BW324" s="79">
        <f>-_xll.VAData($AZ324,BW$2,$BA324,$BB324)</f>
        <v>-52.726792857311104</v>
      </c>
      <c r="BX324" s="79">
        <f>-_xll.VAData($AZ324,BX$2,$BA324,$BB324)</f>
        <v>-52.535213024364303</v>
      </c>
      <c r="BY324" s="79">
        <f>-_xll.VAData($AZ324,BY$2,$BA324,$BB324)</f>
        <v>-52.126873543863702</v>
      </c>
    </row>
    <row r="325" spans="2:77">
      <c r="B325" s="74"/>
      <c r="C325" s="72" t="s">
        <v>72</v>
      </c>
      <c r="D325" s="225" t="s">
        <v>1343</v>
      </c>
      <c r="E325" s="226" t="e">
        <f>HY!#REF!</f>
        <v>#REF!</v>
      </c>
      <c r="F325" s="226" t="e">
        <f>HY!#REF!</f>
        <v>#REF!</v>
      </c>
      <c r="G325" s="226" t="e">
        <f>HY!#REF!</f>
        <v>#REF!</v>
      </c>
      <c r="H325" s="226" t="e">
        <f>HY!#REF!</f>
        <v>#REF!</v>
      </c>
      <c r="I325" s="226" t="e">
        <f>HY!#REF!</f>
        <v>#REF!</v>
      </c>
      <c r="J325" s="226" t="e">
        <f>HY!#REF!</f>
        <v>#REF!</v>
      </c>
      <c r="K325" s="226" t="e">
        <f>HY!#REF!</f>
        <v>#REF!</v>
      </c>
      <c r="L325" s="226" t="e">
        <f>HY!#REF!</f>
        <v>#REF!</v>
      </c>
      <c r="M325" s="226" t="e">
        <f>HY!#REF!</f>
        <v>#REF!</v>
      </c>
      <c r="N325" s="226" t="e">
        <f>HY!#REF!</f>
        <v>#REF!</v>
      </c>
      <c r="O325" s="226" t="e">
        <f>HY!#REF!</f>
        <v>#REF!</v>
      </c>
      <c r="P325" s="226" t="e">
        <f>HY!#REF!</f>
        <v>#REF!</v>
      </c>
      <c r="Q325" s="226" t="e">
        <f>HY!#REF!</f>
        <v>#REF!</v>
      </c>
      <c r="R325" s="226" t="e">
        <f>HY!#REF!</f>
        <v>#REF!</v>
      </c>
      <c r="S325" s="226" t="e">
        <f>HY!#REF!</f>
        <v>#REF!</v>
      </c>
      <c r="T325" s="226" t="e">
        <f>HY!#REF!</f>
        <v>#REF!</v>
      </c>
      <c r="U325" s="226" t="e">
        <f>HY!#REF!</f>
        <v>#REF!</v>
      </c>
      <c r="V325" s="226" t="e">
        <f>HY!#REF!</f>
        <v>#REF!</v>
      </c>
      <c r="W325" s="226" t="e">
        <f>HY!#REF!</f>
        <v>#REF!</v>
      </c>
      <c r="X325" s="226" t="e">
        <f>HY!#REF!</f>
        <v>#REF!</v>
      </c>
      <c r="Y325" s="226" t="e">
        <f>HY!#REF!</f>
        <v>#REF!</v>
      </c>
      <c r="Z325" s="226" t="e">
        <f>HY!#REF!</f>
        <v>#REF!</v>
      </c>
      <c r="AA325" s="72"/>
      <c r="AB325" s="76"/>
      <c r="AC325" s="221"/>
      <c r="AD325" s="221"/>
      <c r="AE325" s="221"/>
      <c r="AF325" s="221"/>
      <c r="AG325" s="221"/>
      <c r="AH325" s="221"/>
      <c r="AI325" s="221"/>
      <c r="AJ325" s="221"/>
      <c r="AK325" s="221"/>
      <c r="AL325" s="221"/>
      <c r="AM325" s="221"/>
      <c r="AN325" s="221"/>
      <c r="AO325" s="221"/>
      <c r="AP325" s="221"/>
      <c r="AQ325" s="221"/>
      <c r="AR325" s="221"/>
      <c r="AS325" s="221"/>
      <c r="AT325" s="221"/>
      <c r="AU325" s="221"/>
      <c r="AV325" s="221"/>
      <c r="AW325" s="221"/>
      <c r="AX325" s="221"/>
      <c r="AY325" s="76"/>
      <c r="AZ325" s="77"/>
      <c r="BA325" s="77"/>
      <c r="BB325" s="78"/>
      <c r="BC325" s="76"/>
      <c r="BD325" s="221"/>
      <c r="BE325" s="221"/>
      <c r="BF325" s="221"/>
      <c r="BG325" s="221"/>
      <c r="BH325" s="221"/>
      <c r="BI325" s="221"/>
      <c r="BJ325" s="221"/>
      <c r="BK325" s="221"/>
      <c r="BL325" s="221"/>
      <c r="BM325" s="221"/>
      <c r="BN325" s="221"/>
      <c r="BO325" s="221"/>
      <c r="BP325" s="221"/>
      <c r="BQ325" s="221"/>
      <c r="BR325" s="221"/>
      <c r="BS325" s="221"/>
      <c r="BT325" s="221"/>
      <c r="BU325" s="221"/>
      <c r="BV325" s="221"/>
      <c r="BW325" s="221"/>
      <c r="BX325" s="221"/>
      <c r="BY325" s="221"/>
    </row>
    <row r="326" spans="2:77">
      <c r="B326" s="74"/>
      <c r="C326" s="81" t="s">
        <v>88</v>
      </c>
      <c r="D326" s="72" t="s">
        <v>1344</v>
      </c>
      <c r="E326" s="227" t="str">
        <f t="shared" ref="E326:Z326" si="138">IFERROR(ROUND(E324/E325-1,3),"")</f>
        <v/>
      </c>
      <c r="F326" s="227" t="str">
        <f t="shared" si="138"/>
        <v/>
      </c>
      <c r="G326" s="227" t="str">
        <f t="shared" si="138"/>
        <v/>
      </c>
      <c r="H326" s="227" t="str">
        <f t="shared" si="138"/>
        <v/>
      </c>
      <c r="I326" s="227" t="str">
        <f t="shared" si="138"/>
        <v/>
      </c>
      <c r="J326" s="227" t="str">
        <f t="shared" si="138"/>
        <v/>
      </c>
      <c r="K326" s="227" t="str">
        <f t="shared" si="138"/>
        <v/>
      </c>
      <c r="L326" s="227" t="str">
        <f t="shared" si="138"/>
        <v/>
      </c>
      <c r="M326" s="227" t="str">
        <f t="shared" si="138"/>
        <v/>
      </c>
      <c r="N326" s="227" t="str">
        <f t="shared" si="138"/>
        <v/>
      </c>
      <c r="O326" s="227" t="str">
        <f t="shared" si="138"/>
        <v/>
      </c>
      <c r="P326" s="227" t="str">
        <f t="shared" si="138"/>
        <v/>
      </c>
      <c r="Q326" s="227" t="str">
        <f t="shared" si="138"/>
        <v/>
      </c>
      <c r="R326" s="227" t="str">
        <f t="shared" si="138"/>
        <v/>
      </c>
      <c r="S326" s="227" t="str">
        <f t="shared" si="138"/>
        <v/>
      </c>
      <c r="T326" s="227" t="str">
        <f t="shared" si="138"/>
        <v/>
      </c>
      <c r="U326" s="227" t="str">
        <f t="shared" si="138"/>
        <v/>
      </c>
      <c r="V326" s="227" t="str">
        <f t="shared" si="138"/>
        <v/>
      </c>
      <c r="W326" s="227" t="str">
        <f t="shared" si="138"/>
        <v/>
      </c>
      <c r="X326" s="227" t="str">
        <f t="shared" si="138"/>
        <v/>
      </c>
      <c r="Y326" s="227" t="str">
        <f t="shared" si="138"/>
        <v/>
      </c>
      <c r="Z326" s="227" t="str">
        <f t="shared" si="138"/>
        <v/>
      </c>
      <c r="AA326" s="72"/>
      <c r="AB326" s="76"/>
      <c r="AC326" s="221"/>
      <c r="AD326" s="221"/>
      <c r="AE326" s="221"/>
      <c r="AF326" s="221"/>
      <c r="AG326" s="221"/>
      <c r="AH326" s="221"/>
      <c r="AI326" s="221"/>
      <c r="AJ326" s="221"/>
      <c r="AK326" s="221"/>
      <c r="AL326" s="221"/>
      <c r="AM326" s="221"/>
      <c r="AN326" s="221"/>
      <c r="AO326" s="221"/>
      <c r="AP326" s="221"/>
      <c r="AQ326" s="221"/>
      <c r="AR326" s="221"/>
      <c r="AS326" s="221"/>
      <c r="AT326" s="221"/>
      <c r="AU326" s="221"/>
      <c r="AV326" s="221"/>
      <c r="AW326" s="221"/>
      <c r="AX326" s="221"/>
      <c r="AY326" s="76"/>
      <c r="AZ326" s="77"/>
      <c r="BA326" s="77"/>
      <c r="BB326" s="78"/>
      <c r="BC326" s="76"/>
      <c r="BD326" s="221"/>
      <c r="BE326" s="221"/>
      <c r="BF326" s="221"/>
      <c r="BG326" s="221"/>
      <c r="BH326" s="221"/>
      <c r="BI326" s="221"/>
      <c r="BJ326" s="221"/>
      <c r="BK326" s="221"/>
      <c r="BL326" s="221"/>
      <c r="BM326" s="221"/>
      <c r="BN326" s="221"/>
      <c r="BO326" s="221"/>
      <c r="BP326" s="221"/>
      <c r="BQ326" s="221"/>
      <c r="BR326" s="221"/>
      <c r="BS326" s="221"/>
      <c r="BT326" s="221"/>
      <c r="BU326" s="221"/>
      <c r="BV326" s="221"/>
      <c r="BW326" s="221"/>
      <c r="BX326" s="221"/>
      <c r="BY326" s="221"/>
    </row>
    <row r="328" spans="2:77">
      <c r="B328" s="74" t="str">
        <f>BA328</f>
        <v>Operating income/(loss)</v>
      </c>
      <c r="C328" s="72" t="s">
        <v>72</v>
      </c>
      <c r="D328" s="224" t="s">
        <v>1342</v>
      </c>
      <c r="E328" s="223">
        <f t="shared" ref="E328:Z328" si="139">AC328</f>
        <v>133.5</v>
      </c>
      <c r="F328" s="223">
        <f t="shared" si="139"/>
        <v>110.825</v>
      </c>
      <c r="G328" s="223">
        <f t="shared" si="139"/>
        <v>107.7</v>
      </c>
      <c r="H328" s="223">
        <f t="shared" si="139"/>
        <v>110.1</v>
      </c>
      <c r="I328" s="223">
        <f t="shared" si="139"/>
        <v>366</v>
      </c>
      <c r="J328" s="223">
        <f t="shared" si="139"/>
        <v>-104.3</v>
      </c>
      <c r="K328" s="223">
        <f t="shared" si="139"/>
        <v>109.4</v>
      </c>
      <c r="L328" s="223">
        <f t="shared" si="139"/>
        <v>116.1</v>
      </c>
      <c r="M328" s="223">
        <f t="shared" si="139"/>
        <v>-27.4</v>
      </c>
      <c r="N328" s="223">
        <f t="shared" si="139"/>
        <v>29.68</v>
      </c>
      <c r="O328" s="223">
        <f t="shared" si="139"/>
        <v>60.9</v>
      </c>
      <c r="P328" s="223">
        <f t="shared" si="139"/>
        <v>14.391999999999999</v>
      </c>
      <c r="Q328" s="223">
        <f t="shared" si="139"/>
        <v>98.5150078705027</v>
      </c>
      <c r="R328" s="223">
        <f t="shared" si="139"/>
        <v>106.52058922386</v>
      </c>
      <c r="S328" s="223">
        <f t="shared" si="139"/>
        <v>117.542830199885</v>
      </c>
      <c r="T328" s="223">
        <f t="shared" si="139"/>
        <v>117.361202861153</v>
      </c>
      <c r="U328" s="223">
        <f t="shared" si="139"/>
        <v>124.07661728635</v>
      </c>
      <c r="V328" s="223">
        <f t="shared" si="139"/>
        <v>125.822121424005</v>
      </c>
      <c r="W328" s="223">
        <f t="shared" si="139"/>
        <v>132.88353533362999</v>
      </c>
      <c r="X328" s="223">
        <f t="shared" si="139"/>
        <v>131.712416164377</v>
      </c>
      <c r="Y328" s="223">
        <f t="shared" si="139"/>
        <v>138.89589192612701</v>
      </c>
      <c r="Z328" s="223">
        <f t="shared" si="139"/>
        <v>139.18250251477599</v>
      </c>
      <c r="AA328" s="72"/>
      <c r="AB328" s="76"/>
      <c r="AC328" s="222">
        <v>133.5</v>
      </c>
      <c r="AD328" s="222">
        <v>110.825</v>
      </c>
      <c r="AE328" s="222">
        <v>107.7</v>
      </c>
      <c r="AF328" s="222">
        <v>110.1</v>
      </c>
      <c r="AG328" s="222">
        <v>366</v>
      </c>
      <c r="AH328" s="222">
        <v>-104.3</v>
      </c>
      <c r="AI328" s="222">
        <v>109.4</v>
      </c>
      <c r="AJ328" s="222">
        <v>116.1</v>
      </c>
      <c r="AK328" s="222">
        <v>-27.4</v>
      </c>
      <c r="AL328" s="222">
        <v>29.68</v>
      </c>
      <c r="AM328" s="222">
        <v>60.9</v>
      </c>
      <c r="AN328" s="222">
        <v>14.391999999999999</v>
      </c>
      <c r="AO328" s="222">
        <v>98.5150078705027</v>
      </c>
      <c r="AP328" s="222">
        <v>106.52058922386</v>
      </c>
      <c r="AQ328" s="222">
        <v>117.542830199885</v>
      </c>
      <c r="AR328" s="222">
        <v>117.361202861153</v>
      </c>
      <c r="AS328" s="222">
        <v>124.07661728635</v>
      </c>
      <c r="AT328" s="222">
        <v>125.822121424005</v>
      </c>
      <c r="AU328" s="222">
        <v>132.88353533362999</v>
      </c>
      <c r="AV328" s="222">
        <v>131.712416164377</v>
      </c>
      <c r="AW328" s="222">
        <v>138.89589192612701</v>
      </c>
      <c r="AX328" s="222">
        <v>139.18250251477599</v>
      </c>
      <c r="AY328" s="76"/>
      <c r="AZ328" s="77" t="s">
        <v>1259</v>
      </c>
      <c r="BA328" s="77" t="s">
        <v>1270</v>
      </c>
      <c r="BB328" s="78" t="s">
        <v>1261</v>
      </c>
      <c r="BC328" s="76"/>
      <c r="BD328" s="79">
        <f>_xll.VAData($AZ328,BD$2,$BA328,$BB328)</f>
        <v>-371.17</v>
      </c>
      <c r="BE328" s="79">
        <f>_xll.VAData($AZ328,BE$2,$BA328,$BB328)</f>
        <v>615.52099999999996</v>
      </c>
      <c r="BF328" s="79">
        <f>_xll.VAData($AZ328,BF$2,$BA328,$BB328)</f>
        <v>107.7</v>
      </c>
      <c r="BG328" s="79">
        <f>_xll.VAData($AZ328,BG$2,$BA328,$BB328)</f>
        <v>110.1</v>
      </c>
      <c r="BH328" s="79">
        <f>_xll.VAData($AZ328,BH$2,$BA328,$BB328)</f>
        <v>366</v>
      </c>
      <c r="BI328" s="79">
        <f>_xll.VAData($AZ328,BI$2,$BA328,$BB328)</f>
        <v>-104.3</v>
      </c>
      <c r="BJ328" s="79">
        <f>_xll.VAData($AZ328,BJ$2,$BA328,$BB328)</f>
        <v>109.4</v>
      </c>
      <c r="BK328" s="79">
        <f>_xll.VAData($AZ328,BK$2,$BA328,$BB328)</f>
        <v>116.1</v>
      </c>
      <c r="BL328" s="79">
        <f>_xll.VAData($AZ328,BL$2,$BA328,$BB328)</f>
        <v>-27.4</v>
      </c>
      <c r="BM328" s="79">
        <f>_xll.VAData($AZ328,BM$2,$BA328,$BB328)</f>
        <v>29.68</v>
      </c>
      <c r="BN328" s="79">
        <f>_xll.VAData($AZ328,BN$2,$BA328,$BB328)</f>
        <v>60.9</v>
      </c>
      <c r="BO328" s="79">
        <f>_xll.VAData($AZ328,BO$2,$BA328,$BB328)</f>
        <v>14.351000000000001</v>
      </c>
      <c r="BP328" s="79">
        <f>_xll.VAData($AZ328,BP$2,$BA328,$BB328)</f>
        <v>56.7</v>
      </c>
      <c r="BQ328" s="79">
        <f>_xll.VAData($AZ328,BQ$2,$BA328,$BB328)</f>
        <v>-10.5</v>
      </c>
      <c r="BR328" s="79">
        <f>_xll.VAData($AZ328,BR$2,$BA328,$BB328)</f>
        <v>67.8</v>
      </c>
      <c r="BS328" s="79">
        <f>_xll.VAData($AZ328,BS$2,$BA328,$BB328)</f>
        <v>54.1</v>
      </c>
      <c r="BT328" s="79">
        <f>_xll.VAData($AZ328,BT$2,$BA328,$BB328)</f>
        <v>22.2</v>
      </c>
      <c r="BU328" s="79">
        <f>_xll.VAData($AZ328,BU$2,$BA328,$BB328)</f>
        <v>-6.8</v>
      </c>
      <c r="BV328" s="79">
        <f>_xll.VAData($AZ328,BV$2,$BA328,$BB328)</f>
        <v>16.900864922515701</v>
      </c>
      <c r="BW328" s="79">
        <f>_xll.VAData($AZ328,BW$2,$BA328,$BB328)</f>
        <v>31.323710342688901</v>
      </c>
      <c r="BX328" s="79">
        <f>_xll.VAData($AZ328,BX$2,$BA328,$BB328)</f>
        <v>36.9064958876357</v>
      </c>
      <c r="BY328" s="79">
        <f>_xll.VAData($AZ328,BY$2,$BA328,$BB328)</f>
        <v>53.263563888136197</v>
      </c>
    </row>
    <row r="329" spans="2:77">
      <c r="B329" s="74"/>
      <c r="C329" s="72" t="s">
        <v>72</v>
      </c>
      <c r="D329" s="225" t="s">
        <v>1343</v>
      </c>
      <c r="E329" s="226" t="e">
        <f>HY!#REF!</f>
        <v>#REF!</v>
      </c>
      <c r="F329" s="226" t="e">
        <f>HY!#REF!</f>
        <v>#REF!</v>
      </c>
      <c r="G329" s="226" t="e">
        <f>HY!#REF!</f>
        <v>#REF!</v>
      </c>
      <c r="H329" s="226" t="e">
        <f>HY!#REF!</f>
        <v>#REF!</v>
      </c>
      <c r="I329" s="226" t="e">
        <f>HY!#REF!</f>
        <v>#REF!</v>
      </c>
      <c r="J329" s="226" t="e">
        <f>HY!#REF!</f>
        <v>#REF!</v>
      </c>
      <c r="K329" s="226" t="e">
        <f>HY!#REF!</f>
        <v>#REF!</v>
      </c>
      <c r="L329" s="226" t="e">
        <f>HY!#REF!</f>
        <v>#REF!</v>
      </c>
      <c r="M329" s="226" t="e">
        <f>HY!#REF!</f>
        <v>#REF!</v>
      </c>
      <c r="N329" s="226" t="e">
        <f>HY!#REF!</f>
        <v>#REF!</v>
      </c>
      <c r="O329" s="226" t="e">
        <f>HY!#REF!</f>
        <v>#REF!</v>
      </c>
      <c r="P329" s="226" t="e">
        <f>HY!#REF!</f>
        <v>#REF!</v>
      </c>
      <c r="Q329" s="226" t="e">
        <f>HY!#REF!</f>
        <v>#REF!</v>
      </c>
      <c r="R329" s="226" t="e">
        <f>HY!#REF!</f>
        <v>#REF!</v>
      </c>
      <c r="S329" s="226" t="e">
        <f>HY!#REF!</f>
        <v>#REF!</v>
      </c>
      <c r="T329" s="226" t="e">
        <f>HY!#REF!</f>
        <v>#REF!</v>
      </c>
      <c r="U329" s="226" t="e">
        <f>HY!#REF!</f>
        <v>#REF!</v>
      </c>
      <c r="V329" s="226" t="e">
        <f>HY!#REF!</f>
        <v>#REF!</v>
      </c>
      <c r="W329" s="226" t="e">
        <f>HY!#REF!</f>
        <v>#REF!</v>
      </c>
      <c r="X329" s="226" t="e">
        <f>HY!#REF!</f>
        <v>#REF!</v>
      </c>
      <c r="Y329" s="226" t="e">
        <f>HY!#REF!</f>
        <v>#REF!</v>
      </c>
      <c r="Z329" s="226" t="e">
        <f>HY!#REF!</f>
        <v>#REF!</v>
      </c>
      <c r="AA329" s="72"/>
      <c r="AB329" s="76"/>
      <c r="AC329" s="221"/>
      <c r="AD329" s="221"/>
      <c r="AE329" s="221"/>
      <c r="AF329" s="221"/>
      <c r="AG329" s="221"/>
      <c r="AH329" s="221"/>
      <c r="AI329" s="221"/>
      <c r="AJ329" s="221"/>
      <c r="AK329" s="221"/>
      <c r="AL329" s="221"/>
      <c r="AM329" s="221"/>
      <c r="AN329" s="221"/>
      <c r="AO329" s="221"/>
      <c r="AP329" s="221"/>
      <c r="AQ329" s="221"/>
      <c r="AR329" s="221"/>
      <c r="AS329" s="221"/>
      <c r="AT329" s="221"/>
      <c r="AU329" s="221"/>
      <c r="AV329" s="221"/>
      <c r="AW329" s="221"/>
      <c r="AX329" s="221"/>
      <c r="AY329" s="76"/>
      <c r="AZ329" s="77"/>
      <c r="BA329" s="77"/>
      <c r="BB329" s="78"/>
      <c r="BC329" s="76"/>
      <c r="BD329" s="221"/>
      <c r="BE329" s="221"/>
      <c r="BF329" s="221"/>
      <c r="BG329" s="221"/>
      <c r="BH329" s="221"/>
      <c r="BI329" s="221"/>
      <c r="BJ329" s="221"/>
      <c r="BK329" s="221"/>
      <c r="BL329" s="221"/>
      <c r="BM329" s="221"/>
      <c r="BN329" s="221"/>
      <c r="BO329" s="221"/>
      <c r="BP329" s="221"/>
      <c r="BQ329" s="221"/>
      <c r="BR329" s="221"/>
      <c r="BS329" s="221"/>
      <c r="BT329" s="221"/>
      <c r="BU329" s="221"/>
      <c r="BV329" s="221"/>
      <c r="BW329" s="221"/>
      <c r="BX329" s="221"/>
      <c r="BY329" s="221"/>
    </row>
    <row r="330" spans="2:77">
      <c r="B330" s="74"/>
      <c r="C330" s="81" t="s">
        <v>88</v>
      </c>
      <c r="D330" s="72" t="s">
        <v>1344</v>
      </c>
      <c r="E330" s="227" t="str">
        <f t="shared" ref="E330:Z330" si="140">IFERROR(ROUND(E328/E329-1,3),"")</f>
        <v/>
      </c>
      <c r="F330" s="227" t="str">
        <f t="shared" si="140"/>
        <v/>
      </c>
      <c r="G330" s="227" t="str">
        <f t="shared" si="140"/>
        <v/>
      </c>
      <c r="H330" s="227" t="str">
        <f t="shared" si="140"/>
        <v/>
      </c>
      <c r="I330" s="227" t="str">
        <f t="shared" si="140"/>
        <v/>
      </c>
      <c r="J330" s="227" t="str">
        <f t="shared" si="140"/>
        <v/>
      </c>
      <c r="K330" s="227" t="str">
        <f t="shared" si="140"/>
        <v/>
      </c>
      <c r="L330" s="227" t="str">
        <f t="shared" si="140"/>
        <v/>
      </c>
      <c r="M330" s="227" t="str">
        <f t="shared" si="140"/>
        <v/>
      </c>
      <c r="N330" s="227" t="str">
        <f t="shared" si="140"/>
        <v/>
      </c>
      <c r="O330" s="227" t="str">
        <f t="shared" si="140"/>
        <v/>
      </c>
      <c r="P330" s="227" t="str">
        <f t="shared" si="140"/>
        <v/>
      </c>
      <c r="Q330" s="227" t="str">
        <f t="shared" si="140"/>
        <v/>
      </c>
      <c r="R330" s="227" t="str">
        <f t="shared" si="140"/>
        <v/>
      </c>
      <c r="S330" s="227" t="str">
        <f t="shared" si="140"/>
        <v/>
      </c>
      <c r="T330" s="227" t="str">
        <f t="shared" si="140"/>
        <v/>
      </c>
      <c r="U330" s="227" t="str">
        <f t="shared" si="140"/>
        <v/>
      </c>
      <c r="V330" s="227" t="str">
        <f t="shared" si="140"/>
        <v/>
      </c>
      <c r="W330" s="227" t="str">
        <f t="shared" si="140"/>
        <v/>
      </c>
      <c r="X330" s="227" t="str">
        <f t="shared" si="140"/>
        <v/>
      </c>
      <c r="Y330" s="227" t="str">
        <f t="shared" si="140"/>
        <v/>
      </c>
      <c r="Z330" s="227" t="str">
        <f t="shared" si="140"/>
        <v/>
      </c>
      <c r="AA330" s="72"/>
      <c r="AB330" s="76"/>
      <c r="AC330" s="221"/>
      <c r="AD330" s="221"/>
      <c r="AE330" s="221"/>
      <c r="AF330" s="221"/>
      <c r="AG330" s="221"/>
      <c r="AH330" s="221"/>
      <c r="AI330" s="221"/>
      <c r="AJ330" s="221"/>
      <c r="AK330" s="221"/>
      <c r="AL330" s="221"/>
      <c r="AM330" s="221"/>
      <c r="AN330" s="221"/>
      <c r="AO330" s="221"/>
      <c r="AP330" s="221"/>
      <c r="AQ330" s="221"/>
      <c r="AR330" s="221"/>
      <c r="AS330" s="221"/>
      <c r="AT330" s="221"/>
      <c r="AU330" s="221"/>
      <c r="AV330" s="221"/>
      <c r="AW330" s="221"/>
      <c r="AX330" s="221"/>
      <c r="AY330" s="76"/>
      <c r="AZ330" s="77"/>
      <c r="BA330" s="77"/>
      <c r="BB330" s="78"/>
      <c r="BC330" s="76"/>
      <c r="BD330" s="221"/>
      <c r="BE330" s="221"/>
      <c r="BF330" s="221"/>
      <c r="BG330" s="221"/>
      <c r="BH330" s="221"/>
      <c r="BI330" s="221"/>
      <c r="BJ330" s="221"/>
      <c r="BK330" s="221"/>
      <c r="BL330" s="221"/>
      <c r="BM330" s="221"/>
      <c r="BN330" s="221"/>
      <c r="BO330" s="221"/>
      <c r="BP330" s="221"/>
      <c r="BQ330" s="221"/>
      <c r="BR330" s="221"/>
      <c r="BS330" s="221"/>
      <c r="BT330" s="221"/>
      <c r="BU330" s="221"/>
      <c r="BV330" s="221"/>
      <c r="BW330" s="221"/>
      <c r="BX330" s="221"/>
      <c r="BY330" s="221"/>
    </row>
    <row r="332" spans="2:77">
      <c r="B332" s="74" t="str">
        <f>BA332</f>
        <v>Interest income/(expense), net</v>
      </c>
      <c r="C332" s="72" t="s">
        <v>72</v>
      </c>
      <c r="D332" s="224" t="s">
        <v>1342</v>
      </c>
      <c r="E332" s="223">
        <f t="shared" ref="E332:Z332" si="141">AC332</f>
        <v>-6.3</v>
      </c>
      <c r="F332" s="223">
        <f t="shared" si="141"/>
        <v>-6.1249999999999902</v>
      </c>
      <c r="G332" s="223">
        <f t="shared" si="141"/>
        <v>-5.9</v>
      </c>
      <c r="H332" s="223">
        <f t="shared" si="141"/>
        <v>-4.3</v>
      </c>
      <c r="I332" s="223">
        <f t="shared" si="141"/>
        <v>-6.4</v>
      </c>
      <c r="J332" s="223">
        <f t="shared" si="141"/>
        <v>-22.2</v>
      </c>
      <c r="K332" s="223">
        <f t="shared" si="141"/>
        <v>-14</v>
      </c>
      <c r="L332" s="223">
        <f t="shared" si="141"/>
        <v>-18.5</v>
      </c>
      <c r="M332" s="223">
        <f t="shared" si="141"/>
        <v>-17.2</v>
      </c>
      <c r="N332" s="223">
        <f t="shared" si="141"/>
        <v>-17.847999999999999</v>
      </c>
      <c r="O332" s="223">
        <f t="shared" si="141"/>
        <v>-15.872</v>
      </c>
      <c r="P332" s="223">
        <f t="shared" si="141"/>
        <v>-7.6849999999999996</v>
      </c>
      <c r="Q332" s="223">
        <f t="shared" si="141"/>
        <v>-10.4744237928183</v>
      </c>
      <c r="R332" s="223">
        <f t="shared" si="141"/>
        <v>-15.0351899772318</v>
      </c>
      <c r="S332" s="223">
        <f t="shared" si="141"/>
        <v>-20.1784668832485</v>
      </c>
      <c r="T332" s="223">
        <f t="shared" si="141"/>
        <v>-23.785760143226899</v>
      </c>
      <c r="U332" s="223">
        <f t="shared" si="141"/>
        <v>-27.9280930835397</v>
      </c>
      <c r="V332" s="223">
        <f t="shared" si="141"/>
        <v>-26.2121395283175</v>
      </c>
      <c r="W332" s="223">
        <f t="shared" si="141"/>
        <v>-25.280255927260502</v>
      </c>
      <c r="X332" s="223">
        <f t="shared" si="141"/>
        <v>-23.499967589323202</v>
      </c>
      <c r="Y332" s="223">
        <f t="shared" si="141"/>
        <v>-22.388377589675699</v>
      </c>
      <c r="Z332" s="223">
        <f t="shared" si="141"/>
        <v>-20.6444790775592</v>
      </c>
      <c r="AA332" s="72"/>
      <c r="AB332" s="76"/>
      <c r="AC332" s="222">
        <v>-6.3</v>
      </c>
      <c r="AD332" s="222">
        <v>-6.1249999999999902</v>
      </c>
      <c r="AE332" s="222">
        <v>-5.9</v>
      </c>
      <c r="AF332" s="222">
        <v>-4.3</v>
      </c>
      <c r="AG332" s="222">
        <v>-6.4</v>
      </c>
      <c r="AH332" s="222">
        <v>-22.2</v>
      </c>
      <c r="AI332" s="222">
        <v>-14</v>
      </c>
      <c r="AJ332" s="222">
        <v>-18.5</v>
      </c>
      <c r="AK332" s="222">
        <v>-17.2</v>
      </c>
      <c r="AL332" s="222">
        <v>-17.847999999999999</v>
      </c>
      <c r="AM332" s="222">
        <v>-15.872</v>
      </c>
      <c r="AN332" s="222">
        <v>-7.6849999999999996</v>
      </c>
      <c r="AO332" s="222">
        <v>-10.4744237928183</v>
      </c>
      <c r="AP332" s="222">
        <v>-15.0351899772318</v>
      </c>
      <c r="AQ332" s="222">
        <v>-20.1784668832485</v>
      </c>
      <c r="AR332" s="222">
        <v>-23.785760143226899</v>
      </c>
      <c r="AS332" s="222">
        <v>-27.9280930835397</v>
      </c>
      <c r="AT332" s="222">
        <v>-26.2121395283175</v>
      </c>
      <c r="AU332" s="222">
        <v>-25.280255927260502</v>
      </c>
      <c r="AV332" s="222">
        <v>-23.499967589323202</v>
      </c>
      <c r="AW332" s="222">
        <v>-22.388377589675699</v>
      </c>
      <c r="AX332" s="222">
        <v>-20.6444790775592</v>
      </c>
      <c r="AY332" s="76"/>
      <c r="AZ332" s="77" t="s">
        <v>1259</v>
      </c>
      <c r="BA332" s="77" t="s">
        <v>1397</v>
      </c>
      <c r="BB332" s="78" t="s">
        <v>1261</v>
      </c>
      <c r="BC332" s="76"/>
      <c r="BD332" s="79">
        <f>_xll.VAData($AZ332,BD$2,$BA332,$BB332)</f>
        <v>-6.2249999999999996</v>
      </c>
      <c r="BE332" s="79">
        <f>_xll.VAData($AZ332,BE$2,$BA332,$BB332)</f>
        <v>-6.2329999999999997</v>
      </c>
      <c r="BF332" s="79">
        <f>_xll.VAData($AZ332,BF$2,$BA332,$BB332)</f>
        <v>-5.9</v>
      </c>
      <c r="BG332" s="79">
        <f>_xll.VAData($AZ332,BG$2,$BA332,$BB332)</f>
        <v>-4.3</v>
      </c>
      <c r="BH332" s="79">
        <f>_xll.VAData($AZ332,BH$2,$BA332,$BB332)</f>
        <v>-6.4</v>
      </c>
      <c r="BI332" s="79">
        <f>_xll.VAData($AZ332,BI$2,$BA332,$BB332)</f>
        <v>-22.236000000000001</v>
      </c>
      <c r="BJ332" s="79">
        <f>_xll.VAData($AZ332,BJ$2,$BA332,$BB332)</f>
        <v>-14</v>
      </c>
      <c r="BK332" s="79">
        <f>_xll.VAData($AZ332,BK$2,$BA332,$BB332)</f>
        <v>-18.413</v>
      </c>
      <c r="BL332" s="79">
        <f>_xll.VAData($AZ332,BL$2,$BA332,$BB332)</f>
        <v>-17.2</v>
      </c>
      <c r="BM332" s="79">
        <f>_xll.VAData($AZ332,BM$2,$BA332,$BB332)</f>
        <v>-17.8</v>
      </c>
      <c r="BN332" s="79">
        <f>_xll.VAData($AZ332,BN$2,$BA332,$BB332)</f>
        <v>-15.848000000000015</v>
      </c>
      <c r="BO332" s="79">
        <f>_xll.VAData($AZ332,BO$2,$BA332,$BB332)</f>
        <v>-7.6440000000000001</v>
      </c>
      <c r="BP332" s="79">
        <f>_xll.VAData($AZ332,BP$2,$BA332,$BB332)</f>
        <v>-8.7149999999999999</v>
      </c>
      <c r="BQ332" s="79">
        <f>_xll.VAData($AZ332,BQ$2,$BA332,$BB332)</f>
        <v>-7.2809999999999997</v>
      </c>
      <c r="BR332" s="79">
        <f>_xll.VAData($AZ332,BR$2,$BA332,$BB332)</f>
        <v>-39.631</v>
      </c>
      <c r="BS332" s="79">
        <f>_xll.VAData($AZ332,BS$2,$BA332,$BB332)</f>
        <v>-14.087</v>
      </c>
      <c r="BT332" s="79">
        <f>_xll.VAData($AZ332,BT$2,$BA332,$BB332)</f>
        <v>-6.3230000000000004</v>
      </c>
      <c r="BU332" s="79">
        <f>_xll.VAData($AZ332,BU$2,$BA332,$BB332)</f>
        <v>-21.163</v>
      </c>
      <c r="BV332" s="79" t="str">
        <f>_xll.VAData($AZ332,BV$2,$BA332,$BB332)</f>
        <v>-</v>
      </c>
      <c r="BW332" s="79" t="str">
        <f>_xll.VAData($AZ332,BW$2,$BA332,$BB332)</f>
        <v>-</v>
      </c>
      <c r="BX332" s="79" t="str">
        <f>_xll.VAData($AZ332,BX$2,$BA332,$BB332)</f>
        <v>-</v>
      </c>
      <c r="BY332" s="79" t="str">
        <f>_xll.VAData($AZ332,BY$2,$BA332,$BB332)</f>
        <v>-</v>
      </c>
    </row>
    <row r="333" spans="2:77">
      <c r="B333" s="74"/>
      <c r="C333" s="72" t="s">
        <v>72</v>
      </c>
      <c r="D333" s="225" t="s">
        <v>1343</v>
      </c>
      <c r="E333" s="226" t="e">
        <f>HY!#REF!</f>
        <v>#REF!</v>
      </c>
      <c r="F333" s="226" t="e">
        <f>HY!#REF!</f>
        <v>#REF!</v>
      </c>
      <c r="G333" s="226" t="e">
        <f>HY!#REF!</f>
        <v>#REF!</v>
      </c>
      <c r="H333" s="226" t="e">
        <f>HY!#REF!</f>
        <v>#REF!</v>
      </c>
      <c r="I333" s="226" t="e">
        <f>HY!#REF!</f>
        <v>#REF!</v>
      </c>
      <c r="J333" s="226" t="e">
        <f>HY!#REF!</f>
        <v>#REF!</v>
      </c>
      <c r="K333" s="226" t="e">
        <f>HY!#REF!</f>
        <v>#REF!</v>
      </c>
      <c r="L333" s="226" t="e">
        <f>HY!#REF!</f>
        <v>#REF!</v>
      </c>
      <c r="M333" s="226" t="e">
        <f>HY!#REF!</f>
        <v>#REF!</v>
      </c>
      <c r="N333" s="226" t="e">
        <f>HY!#REF!</f>
        <v>#REF!</v>
      </c>
      <c r="O333" s="226" t="e">
        <f>HY!#REF!</f>
        <v>#REF!</v>
      </c>
      <c r="P333" s="226" t="e">
        <f>HY!#REF!</f>
        <v>#REF!</v>
      </c>
      <c r="Q333" s="226" t="e">
        <f>HY!#REF!</f>
        <v>#REF!</v>
      </c>
      <c r="R333" s="226" t="e">
        <f>HY!#REF!</f>
        <v>#REF!</v>
      </c>
      <c r="S333" s="226" t="e">
        <f>HY!#REF!</f>
        <v>#REF!</v>
      </c>
      <c r="T333" s="226" t="e">
        <f>HY!#REF!</f>
        <v>#REF!</v>
      </c>
      <c r="U333" s="226" t="e">
        <f>HY!#REF!</f>
        <v>#REF!</v>
      </c>
      <c r="V333" s="226" t="e">
        <f>HY!#REF!</f>
        <v>#REF!</v>
      </c>
      <c r="W333" s="226" t="e">
        <f>HY!#REF!</f>
        <v>#REF!</v>
      </c>
      <c r="X333" s="226" t="e">
        <f>HY!#REF!</f>
        <v>#REF!</v>
      </c>
      <c r="Y333" s="226" t="e">
        <f>HY!#REF!</f>
        <v>#REF!</v>
      </c>
      <c r="Z333" s="226" t="e">
        <f>HY!#REF!</f>
        <v>#REF!</v>
      </c>
      <c r="AA333" s="72"/>
      <c r="AB333" s="76"/>
      <c r="AC333" s="221"/>
      <c r="AD333" s="221"/>
      <c r="AE333" s="221"/>
      <c r="AF333" s="221"/>
      <c r="AG333" s="221"/>
      <c r="AH333" s="221"/>
      <c r="AI333" s="221"/>
      <c r="AJ333" s="221"/>
      <c r="AK333" s="221"/>
      <c r="AL333" s="221"/>
      <c r="AM333" s="221"/>
      <c r="AN333" s="221"/>
      <c r="AO333" s="221"/>
      <c r="AP333" s="221"/>
      <c r="AQ333" s="221"/>
      <c r="AR333" s="221"/>
      <c r="AS333" s="221"/>
      <c r="AT333" s="221"/>
      <c r="AU333" s="221"/>
      <c r="AV333" s="221"/>
      <c r="AW333" s="221"/>
      <c r="AX333" s="221"/>
      <c r="AY333" s="76"/>
      <c r="AZ333" s="77"/>
      <c r="BA333" s="77"/>
      <c r="BB333" s="78"/>
      <c r="BC333" s="76"/>
      <c r="BD333" s="221"/>
      <c r="BE333" s="221"/>
      <c r="BF333" s="221"/>
      <c r="BG333" s="221"/>
      <c r="BH333" s="221"/>
      <c r="BI333" s="221"/>
      <c r="BJ333" s="221"/>
      <c r="BK333" s="221"/>
      <c r="BL333" s="221"/>
      <c r="BM333" s="221"/>
      <c r="BN333" s="221"/>
      <c r="BO333" s="221"/>
      <c r="BP333" s="221"/>
      <c r="BQ333" s="221"/>
      <c r="BR333" s="221"/>
      <c r="BS333" s="221"/>
      <c r="BT333" s="221"/>
      <c r="BU333" s="221"/>
      <c r="BV333" s="221"/>
      <c r="BW333" s="221"/>
      <c r="BX333" s="221"/>
      <c r="BY333" s="221"/>
    </row>
    <row r="334" spans="2:77">
      <c r="B334" s="74"/>
      <c r="C334" s="81" t="s">
        <v>88</v>
      </c>
      <c r="D334" s="72" t="s">
        <v>1344</v>
      </c>
      <c r="E334" s="227" t="str">
        <f t="shared" ref="E334:Z334" si="142">IFERROR(ROUND(E332/E333-1,3),"")</f>
        <v/>
      </c>
      <c r="F334" s="227" t="str">
        <f t="shared" si="142"/>
        <v/>
      </c>
      <c r="G334" s="227" t="str">
        <f t="shared" si="142"/>
        <v/>
      </c>
      <c r="H334" s="227" t="str">
        <f t="shared" si="142"/>
        <v/>
      </c>
      <c r="I334" s="227" t="str">
        <f t="shared" si="142"/>
        <v/>
      </c>
      <c r="J334" s="227" t="str">
        <f t="shared" si="142"/>
        <v/>
      </c>
      <c r="K334" s="227" t="str">
        <f t="shared" si="142"/>
        <v/>
      </c>
      <c r="L334" s="227" t="str">
        <f t="shared" si="142"/>
        <v/>
      </c>
      <c r="M334" s="227" t="str">
        <f t="shared" si="142"/>
        <v/>
      </c>
      <c r="N334" s="227" t="str">
        <f t="shared" si="142"/>
        <v/>
      </c>
      <c r="O334" s="227" t="str">
        <f t="shared" si="142"/>
        <v/>
      </c>
      <c r="P334" s="227" t="str">
        <f t="shared" si="142"/>
        <v/>
      </c>
      <c r="Q334" s="227" t="str">
        <f t="shared" si="142"/>
        <v/>
      </c>
      <c r="R334" s="227" t="str">
        <f t="shared" si="142"/>
        <v/>
      </c>
      <c r="S334" s="227" t="str">
        <f t="shared" si="142"/>
        <v/>
      </c>
      <c r="T334" s="227" t="str">
        <f t="shared" si="142"/>
        <v/>
      </c>
      <c r="U334" s="227" t="str">
        <f t="shared" si="142"/>
        <v/>
      </c>
      <c r="V334" s="227" t="str">
        <f t="shared" si="142"/>
        <v/>
      </c>
      <c r="W334" s="227" t="str">
        <f t="shared" si="142"/>
        <v/>
      </c>
      <c r="X334" s="227" t="str">
        <f t="shared" si="142"/>
        <v/>
      </c>
      <c r="Y334" s="227" t="str">
        <f t="shared" si="142"/>
        <v/>
      </c>
      <c r="Z334" s="227" t="str">
        <f t="shared" si="142"/>
        <v/>
      </c>
      <c r="AA334" s="72"/>
      <c r="AB334" s="76"/>
      <c r="AC334" s="221"/>
      <c r="AD334" s="221"/>
      <c r="AE334" s="221"/>
      <c r="AF334" s="221"/>
      <c r="AG334" s="221"/>
      <c r="AH334" s="221"/>
      <c r="AI334" s="221"/>
      <c r="AJ334" s="221"/>
      <c r="AK334" s="221"/>
      <c r="AL334" s="221"/>
      <c r="AM334" s="221"/>
      <c r="AN334" s="221"/>
      <c r="AO334" s="221"/>
      <c r="AP334" s="221"/>
      <c r="AQ334" s="221"/>
      <c r="AR334" s="221"/>
      <c r="AS334" s="221"/>
      <c r="AT334" s="221"/>
      <c r="AU334" s="221"/>
      <c r="AV334" s="221"/>
      <c r="AW334" s="221"/>
      <c r="AX334" s="221"/>
      <c r="AY334" s="76"/>
      <c r="AZ334" s="77"/>
      <c r="BA334" s="77"/>
      <c r="BB334" s="78"/>
      <c r="BC334" s="76"/>
      <c r="BD334" s="221"/>
      <c r="BE334" s="221"/>
      <c r="BF334" s="221"/>
      <c r="BG334" s="221"/>
      <c r="BH334" s="221"/>
      <c r="BI334" s="221"/>
      <c r="BJ334" s="221"/>
      <c r="BK334" s="221"/>
      <c r="BL334" s="221"/>
      <c r="BM334" s="221"/>
      <c r="BN334" s="221"/>
      <c r="BO334" s="221"/>
      <c r="BP334" s="221"/>
      <c r="BQ334" s="221"/>
      <c r="BR334" s="221"/>
      <c r="BS334" s="221"/>
      <c r="BT334" s="221"/>
      <c r="BU334" s="221"/>
      <c r="BV334" s="221"/>
      <c r="BW334" s="221"/>
      <c r="BX334" s="221"/>
      <c r="BY334" s="221"/>
    </row>
    <row r="336" spans="2:77">
      <c r="B336" s="74" t="str">
        <f>BA336</f>
        <v>Provision/(benefit) for income taxes</v>
      </c>
      <c r="C336" s="72" t="s">
        <v>72</v>
      </c>
      <c r="D336" s="224" t="s">
        <v>1342</v>
      </c>
      <c r="E336" s="223">
        <f t="shared" ref="E336:Z336" si="143">AC336</f>
        <v>-33.700000000000003</v>
      </c>
      <c r="F336" s="223">
        <f t="shared" si="143"/>
        <v>-28.7</v>
      </c>
      <c r="G336" s="223">
        <f t="shared" si="143"/>
        <v>-32.9</v>
      </c>
      <c r="H336" s="223">
        <f t="shared" si="143"/>
        <v>-13.9</v>
      </c>
      <c r="I336" s="223">
        <f t="shared" si="143"/>
        <v>-31.8</v>
      </c>
      <c r="J336" s="223">
        <f t="shared" si="143"/>
        <v>34</v>
      </c>
      <c r="K336" s="223">
        <f t="shared" si="143"/>
        <v>-17.5</v>
      </c>
      <c r="L336" s="223">
        <f t="shared" si="143"/>
        <v>-19.7</v>
      </c>
      <c r="M336" s="223">
        <f t="shared" si="143"/>
        <v>10.882</v>
      </c>
      <c r="N336" s="223">
        <f t="shared" si="143"/>
        <v>-11.709</v>
      </c>
      <c r="O336" s="223">
        <f t="shared" si="143"/>
        <v>-22.178999999999998</v>
      </c>
      <c r="P336" s="223">
        <f t="shared" si="143"/>
        <v>-21.581</v>
      </c>
      <c r="Q336" s="223">
        <f t="shared" si="143"/>
        <v>-25.0857699021605</v>
      </c>
      <c r="R336" s="223">
        <f t="shared" si="143"/>
        <v>-26.067315419933902</v>
      </c>
      <c r="S336" s="223">
        <f t="shared" si="143"/>
        <v>-27.742433111033801</v>
      </c>
      <c r="T336" s="223">
        <f t="shared" si="143"/>
        <v>-26.6628402015529</v>
      </c>
      <c r="U336" s="223">
        <f t="shared" si="143"/>
        <v>-27.3959990139974</v>
      </c>
      <c r="V336" s="223">
        <f t="shared" si="143"/>
        <v>-28.382286555354</v>
      </c>
      <c r="W336" s="223">
        <f t="shared" si="143"/>
        <v>-30.659850070102699</v>
      </c>
      <c r="X336" s="223">
        <f t="shared" si="143"/>
        <v>-30.833423175701501</v>
      </c>
      <c r="Y336" s="223">
        <f t="shared" si="143"/>
        <v>-33.196970773592298</v>
      </c>
      <c r="Z336" s="223">
        <f t="shared" si="143"/>
        <v>-33.775532179330902</v>
      </c>
      <c r="AA336" s="72"/>
      <c r="AB336" s="76"/>
      <c r="AC336" s="222">
        <v>-33.700000000000003</v>
      </c>
      <c r="AD336" s="222">
        <v>-28.7</v>
      </c>
      <c r="AE336" s="222">
        <v>-32.9</v>
      </c>
      <c r="AF336" s="222">
        <v>-13.9</v>
      </c>
      <c r="AG336" s="222">
        <v>-31.8</v>
      </c>
      <c r="AH336" s="222">
        <v>34</v>
      </c>
      <c r="AI336" s="222">
        <v>-17.5</v>
      </c>
      <c r="AJ336" s="222">
        <v>-19.7</v>
      </c>
      <c r="AK336" s="222">
        <v>10.882</v>
      </c>
      <c r="AL336" s="222">
        <v>-11.709</v>
      </c>
      <c r="AM336" s="222">
        <v>-22.178999999999998</v>
      </c>
      <c r="AN336" s="222">
        <v>-21.581</v>
      </c>
      <c r="AO336" s="222">
        <v>-25.0857699021605</v>
      </c>
      <c r="AP336" s="222">
        <v>-26.067315419933902</v>
      </c>
      <c r="AQ336" s="222">
        <v>-27.742433111033801</v>
      </c>
      <c r="AR336" s="222">
        <v>-26.6628402015529</v>
      </c>
      <c r="AS336" s="222">
        <v>-27.3959990139974</v>
      </c>
      <c r="AT336" s="222">
        <v>-28.382286555354</v>
      </c>
      <c r="AU336" s="222">
        <v>-30.659850070102699</v>
      </c>
      <c r="AV336" s="222">
        <v>-30.833423175701501</v>
      </c>
      <c r="AW336" s="222">
        <v>-33.196970773592298</v>
      </c>
      <c r="AX336" s="222">
        <v>-33.775532179330902</v>
      </c>
      <c r="AY336" s="76"/>
      <c r="AZ336" s="77" t="s">
        <v>1259</v>
      </c>
      <c r="BA336" s="77" t="s">
        <v>1398</v>
      </c>
      <c r="BB336" s="78" t="s">
        <v>1261</v>
      </c>
      <c r="BC336" s="76"/>
      <c r="BD336" s="79">
        <f>-_xll.VAData($AZ336,BD$2,$BA336,$BB336)</f>
        <v>-33.768999999999998</v>
      </c>
      <c r="BE336" s="79">
        <f>-_xll.VAData($AZ336,BE$2,$BA336,$BB336)</f>
        <v>-28.605</v>
      </c>
      <c r="BF336" s="79">
        <f>-_xll.VAData($AZ336,BF$2,$BA336,$BB336)</f>
        <v>-32.9</v>
      </c>
      <c r="BG336" s="79">
        <f>-_xll.VAData($AZ336,BG$2,$BA336,$BB336)</f>
        <v>-13.9</v>
      </c>
      <c r="BH336" s="79">
        <f>-_xll.VAData($AZ336,BH$2,$BA336,$BB336)</f>
        <v>-31.8</v>
      </c>
      <c r="BI336" s="79">
        <f>-_xll.VAData($AZ336,BI$2,$BA336,$BB336)</f>
        <v>34</v>
      </c>
      <c r="BJ336" s="79">
        <f>-_xll.VAData($AZ336,BJ$2,$BA336,$BB336)</f>
        <v>-17.5</v>
      </c>
      <c r="BK336" s="79">
        <f>-_xll.VAData($AZ336,BK$2,$BA336,$BB336)</f>
        <v>-19.7</v>
      </c>
      <c r="BL336" s="79">
        <f>-_xll.VAData($AZ336,BL$2,$BA336,$BB336)</f>
        <v>10.882</v>
      </c>
      <c r="BM336" s="79">
        <f>-_xll.VAData($AZ336,BM$2,$BA336,$BB336)</f>
        <v>-11.709</v>
      </c>
      <c r="BN336" s="79">
        <f>-_xll.VAData($AZ336,BN$2,$BA336,$BB336)</f>
        <v>-22.178999999999998</v>
      </c>
      <c r="BO336" s="79">
        <f>-_xll.VAData($AZ336,BO$2,$BA336,$BB336)</f>
        <v>-21.581</v>
      </c>
      <c r="BP336" s="79">
        <f>-_xll.VAData($AZ336,BP$2,$BA336,$BB336)</f>
        <v>-25.481999999999999</v>
      </c>
      <c r="BQ336" s="79">
        <f>-_xll.VAData($AZ336,BQ$2,$BA336,$BB336)</f>
        <v>-148.006</v>
      </c>
      <c r="BR336" s="79">
        <f>-_xll.VAData($AZ336,BR$2,$BA336,$BB336)</f>
        <v>-22.053000000000001</v>
      </c>
      <c r="BS336" s="79">
        <f>-_xll.VAData($AZ336,BS$2,$BA336,$BB336)</f>
        <v>-16.876999999999999</v>
      </c>
      <c r="BT336" s="79">
        <f>-_xll.VAData($AZ336,BT$2,$BA336,$BB336)</f>
        <v>-3.8010000000000002</v>
      </c>
      <c r="BU336" s="79">
        <f>-_xll.VAData($AZ336,BU$2,$BA336,$BB336)</f>
        <v>34.104999999999997</v>
      </c>
      <c r="BV336" s="79" t="e">
        <f>-_xll.VAData($AZ336,BV$2,$BA336,$BB336)</f>
        <v>#VALUE!</v>
      </c>
      <c r="BW336" s="79" t="e">
        <f>-_xll.VAData($AZ336,BW$2,$BA336,$BB336)</f>
        <v>#VALUE!</v>
      </c>
      <c r="BX336" s="79" t="e">
        <f>-_xll.VAData($AZ336,BX$2,$BA336,$BB336)</f>
        <v>#VALUE!</v>
      </c>
      <c r="BY336" s="79" t="e">
        <f>-_xll.VAData($AZ336,BY$2,$BA336,$BB336)</f>
        <v>#VALUE!</v>
      </c>
    </row>
    <row r="337" spans="2:77">
      <c r="B337" s="74"/>
      <c r="C337" s="72" t="s">
        <v>72</v>
      </c>
      <c r="D337" s="225" t="s">
        <v>1343</v>
      </c>
      <c r="E337" s="226" t="e">
        <f>HY!#REF!</f>
        <v>#REF!</v>
      </c>
      <c r="F337" s="226" t="e">
        <f>HY!#REF!</f>
        <v>#REF!</v>
      </c>
      <c r="G337" s="226" t="e">
        <f>HY!#REF!</f>
        <v>#REF!</v>
      </c>
      <c r="H337" s="226" t="e">
        <f>HY!#REF!</f>
        <v>#REF!</v>
      </c>
      <c r="I337" s="226" t="e">
        <f>HY!#REF!</f>
        <v>#REF!</v>
      </c>
      <c r="J337" s="226" t="e">
        <f>HY!#REF!</f>
        <v>#REF!</v>
      </c>
      <c r="K337" s="226" t="e">
        <f>HY!#REF!</f>
        <v>#REF!</v>
      </c>
      <c r="L337" s="226" t="e">
        <f>HY!#REF!</f>
        <v>#REF!</v>
      </c>
      <c r="M337" s="226" t="e">
        <f>HY!#REF!</f>
        <v>#REF!</v>
      </c>
      <c r="N337" s="226" t="e">
        <f>HY!#REF!</f>
        <v>#REF!</v>
      </c>
      <c r="O337" s="226" t="e">
        <f>HY!#REF!</f>
        <v>#REF!</v>
      </c>
      <c r="P337" s="226" t="e">
        <f>HY!#REF!</f>
        <v>#REF!</v>
      </c>
      <c r="Q337" s="226" t="e">
        <f>HY!#REF!</f>
        <v>#REF!</v>
      </c>
      <c r="R337" s="226" t="e">
        <f>HY!#REF!</f>
        <v>#REF!</v>
      </c>
      <c r="S337" s="226" t="e">
        <f>HY!#REF!</f>
        <v>#REF!</v>
      </c>
      <c r="T337" s="226" t="e">
        <f>HY!#REF!</f>
        <v>#REF!</v>
      </c>
      <c r="U337" s="226" t="e">
        <f>HY!#REF!</f>
        <v>#REF!</v>
      </c>
      <c r="V337" s="226" t="e">
        <f>HY!#REF!</f>
        <v>#REF!</v>
      </c>
      <c r="W337" s="226" t="e">
        <f>HY!#REF!</f>
        <v>#REF!</v>
      </c>
      <c r="X337" s="226" t="e">
        <f>HY!#REF!</f>
        <v>#REF!</v>
      </c>
      <c r="Y337" s="226" t="e">
        <f>HY!#REF!</f>
        <v>#REF!</v>
      </c>
      <c r="Z337" s="226" t="e">
        <f>HY!#REF!</f>
        <v>#REF!</v>
      </c>
      <c r="AA337" s="72"/>
      <c r="AB337" s="76"/>
      <c r="AC337" s="221"/>
      <c r="AD337" s="221"/>
      <c r="AE337" s="221"/>
      <c r="AF337" s="221"/>
      <c r="AG337" s="221"/>
      <c r="AH337" s="221"/>
      <c r="AI337" s="221"/>
      <c r="AJ337" s="221"/>
      <c r="AK337" s="221"/>
      <c r="AL337" s="221"/>
      <c r="AM337" s="221"/>
      <c r="AN337" s="221"/>
      <c r="AO337" s="221"/>
      <c r="AP337" s="221"/>
      <c r="AQ337" s="221"/>
      <c r="AR337" s="221"/>
      <c r="AS337" s="221"/>
      <c r="AT337" s="221"/>
      <c r="AU337" s="221"/>
      <c r="AV337" s="221"/>
      <c r="AW337" s="221"/>
      <c r="AX337" s="221"/>
      <c r="AY337" s="76"/>
      <c r="AZ337" s="77"/>
      <c r="BA337" s="77"/>
      <c r="BB337" s="78"/>
      <c r="BC337" s="76"/>
      <c r="BD337" s="221"/>
      <c r="BE337" s="221"/>
      <c r="BF337" s="221"/>
      <c r="BG337" s="221"/>
      <c r="BH337" s="221"/>
      <c r="BI337" s="221"/>
      <c r="BJ337" s="221"/>
      <c r="BK337" s="221"/>
      <c r="BL337" s="221"/>
      <c r="BM337" s="221"/>
      <c r="BN337" s="221"/>
      <c r="BO337" s="221"/>
      <c r="BP337" s="221"/>
      <c r="BQ337" s="221"/>
      <c r="BR337" s="221"/>
      <c r="BS337" s="221"/>
      <c r="BT337" s="221"/>
      <c r="BU337" s="221"/>
      <c r="BV337" s="221"/>
      <c r="BW337" s="221"/>
      <c r="BX337" s="221"/>
      <c r="BY337" s="221"/>
    </row>
    <row r="338" spans="2:77">
      <c r="B338" s="74"/>
      <c r="C338" s="81" t="s">
        <v>88</v>
      </c>
      <c r="D338" s="72" t="s">
        <v>1344</v>
      </c>
      <c r="E338" s="227" t="str">
        <f t="shared" ref="E338:Z338" si="144">IFERROR(ROUND(E336/E337-1,3),"")</f>
        <v/>
      </c>
      <c r="F338" s="227" t="str">
        <f t="shared" si="144"/>
        <v/>
      </c>
      <c r="G338" s="227" t="str">
        <f t="shared" si="144"/>
        <v/>
      </c>
      <c r="H338" s="227" t="str">
        <f t="shared" si="144"/>
        <v/>
      </c>
      <c r="I338" s="227" t="str">
        <f t="shared" si="144"/>
        <v/>
      </c>
      <c r="J338" s="227" t="str">
        <f t="shared" si="144"/>
        <v/>
      </c>
      <c r="K338" s="227" t="str">
        <f t="shared" si="144"/>
        <v/>
      </c>
      <c r="L338" s="227" t="str">
        <f t="shared" si="144"/>
        <v/>
      </c>
      <c r="M338" s="227" t="str">
        <f t="shared" si="144"/>
        <v/>
      </c>
      <c r="N338" s="227" t="str">
        <f t="shared" si="144"/>
        <v/>
      </c>
      <c r="O338" s="227" t="str">
        <f t="shared" si="144"/>
        <v/>
      </c>
      <c r="P338" s="227" t="str">
        <f t="shared" si="144"/>
        <v/>
      </c>
      <c r="Q338" s="227" t="str">
        <f t="shared" si="144"/>
        <v/>
      </c>
      <c r="R338" s="227" t="str">
        <f t="shared" si="144"/>
        <v/>
      </c>
      <c r="S338" s="227" t="str">
        <f t="shared" si="144"/>
        <v/>
      </c>
      <c r="T338" s="227" t="str">
        <f t="shared" si="144"/>
        <v/>
      </c>
      <c r="U338" s="227" t="str">
        <f t="shared" si="144"/>
        <v/>
      </c>
      <c r="V338" s="227" t="str">
        <f t="shared" si="144"/>
        <v/>
      </c>
      <c r="W338" s="227" t="str">
        <f t="shared" si="144"/>
        <v/>
      </c>
      <c r="X338" s="227" t="str">
        <f t="shared" si="144"/>
        <v/>
      </c>
      <c r="Y338" s="227" t="str">
        <f t="shared" si="144"/>
        <v/>
      </c>
      <c r="Z338" s="227" t="str">
        <f t="shared" si="144"/>
        <v/>
      </c>
      <c r="AA338" s="72"/>
      <c r="AB338" s="76"/>
      <c r="AC338" s="221"/>
      <c r="AD338" s="221"/>
      <c r="AE338" s="221"/>
      <c r="AF338" s="221"/>
      <c r="AG338" s="221"/>
      <c r="AH338" s="221"/>
      <c r="AI338" s="221"/>
      <c r="AJ338" s="221"/>
      <c r="AK338" s="221"/>
      <c r="AL338" s="221"/>
      <c r="AM338" s="221"/>
      <c r="AN338" s="221"/>
      <c r="AO338" s="221"/>
      <c r="AP338" s="221"/>
      <c r="AQ338" s="221"/>
      <c r="AR338" s="221"/>
      <c r="AS338" s="221"/>
      <c r="AT338" s="221"/>
      <c r="AU338" s="221"/>
      <c r="AV338" s="221"/>
      <c r="AW338" s="221"/>
      <c r="AX338" s="221"/>
      <c r="AY338" s="76"/>
      <c r="AZ338" s="77"/>
      <c r="BA338" s="77"/>
      <c r="BB338" s="78"/>
      <c r="BC338" s="76"/>
      <c r="BD338" s="221"/>
      <c r="BE338" s="221"/>
      <c r="BF338" s="221"/>
      <c r="BG338" s="221"/>
      <c r="BH338" s="221"/>
      <c r="BI338" s="221"/>
      <c r="BJ338" s="221"/>
      <c r="BK338" s="221"/>
      <c r="BL338" s="221"/>
      <c r="BM338" s="221"/>
      <c r="BN338" s="221"/>
      <c r="BO338" s="221"/>
      <c r="BP338" s="221"/>
      <c r="BQ338" s="221"/>
      <c r="BR338" s="221"/>
      <c r="BS338" s="221"/>
      <c r="BT338" s="221"/>
      <c r="BU338" s="221"/>
      <c r="BV338" s="221"/>
      <c r="BW338" s="221"/>
      <c r="BX338" s="221"/>
      <c r="BY338" s="221"/>
    </row>
    <row r="340" spans="2:77">
      <c r="B340" s="74" t="str">
        <f>BA340</f>
        <v>Net income/(loss)</v>
      </c>
      <c r="C340" s="72" t="s">
        <v>72</v>
      </c>
      <c r="D340" s="224" t="s">
        <v>1342</v>
      </c>
      <c r="E340" s="223">
        <f t="shared" ref="E340:Z340" si="145">AC340</f>
        <v>93.5</v>
      </c>
      <c r="F340" s="223">
        <f t="shared" si="145"/>
        <v>76</v>
      </c>
      <c r="G340" s="223">
        <f t="shared" si="145"/>
        <v>82.8</v>
      </c>
      <c r="H340" s="223">
        <f t="shared" si="145"/>
        <v>61.8</v>
      </c>
      <c r="I340" s="223">
        <f t="shared" si="145"/>
        <v>328</v>
      </c>
      <c r="J340" s="223">
        <f t="shared" si="145"/>
        <v>-92.6</v>
      </c>
      <c r="K340" s="223">
        <f t="shared" si="145"/>
        <v>77.900000000000006</v>
      </c>
      <c r="L340" s="223">
        <f t="shared" si="145"/>
        <v>77.900000000000006</v>
      </c>
      <c r="M340" s="223">
        <f t="shared" si="145"/>
        <v>-33.700000000000003</v>
      </c>
      <c r="N340" s="223">
        <f t="shared" si="145"/>
        <v>0.100000000000001</v>
      </c>
      <c r="O340" s="223">
        <f t="shared" si="145"/>
        <v>22.8</v>
      </c>
      <c r="P340" s="223">
        <f t="shared" si="145"/>
        <v>-14.8</v>
      </c>
      <c r="Q340" s="223">
        <f t="shared" si="145"/>
        <v>52.129899379226039</v>
      </c>
      <c r="R340" s="223">
        <f t="shared" si="145"/>
        <v>62.863231265777877</v>
      </c>
      <c r="S340" s="223">
        <f t="shared" si="145"/>
        <v>69.029183984231807</v>
      </c>
      <c r="T340" s="223">
        <f t="shared" si="145"/>
        <v>68.680180551228602</v>
      </c>
      <c r="U340" s="223">
        <f t="shared" si="145"/>
        <v>70.942796687894273</v>
      </c>
      <c r="V340" s="223">
        <f t="shared" si="145"/>
        <v>68.552510433925903</v>
      </c>
      <c r="W340" s="223">
        <f t="shared" si="145"/>
        <v>76.410414800459606</v>
      </c>
      <c r="X340" s="223">
        <f t="shared" si="145"/>
        <v>73.291468903453165</v>
      </c>
      <c r="Y340" s="223">
        <f t="shared" si="145"/>
        <v>81.092142677156005</v>
      </c>
      <c r="Z340" s="223">
        <f t="shared" si="145"/>
        <v>78.494590073645099</v>
      </c>
      <c r="AA340" s="72"/>
      <c r="AB340" s="76"/>
      <c r="AC340" s="222">
        <v>93.5</v>
      </c>
      <c r="AD340" s="222">
        <v>76</v>
      </c>
      <c r="AE340" s="222">
        <v>82.8</v>
      </c>
      <c r="AF340" s="222">
        <v>61.8</v>
      </c>
      <c r="AG340" s="222">
        <v>328</v>
      </c>
      <c r="AH340" s="222">
        <v>-92.6</v>
      </c>
      <c r="AI340" s="222">
        <v>77.900000000000006</v>
      </c>
      <c r="AJ340" s="222">
        <v>77.900000000000006</v>
      </c>
      <c r="AK340" s="222">
        <v>-33.700000000000003</v>
      </c>
      <c r="AL340" s="222">
        <v>0.100000000000001</v>
      </c>
      <c r="AM340" s="222">
        <v>22.8</v>
      </c>
      <c r="AN340" s="222">
        <v>-14.8</v>
      </c>
      <c r="AO340" s="222">
        <v>52.129899379226039</v>
      </c>
      <c r="AP340" s="222">
        <v>62.863231265777877</v>
      </c>
      <c r="AQ340" s="222">
        <v>69.029183984231807</v>
      </c>
      <c r="AR340" s="222">
        <v>68.680180551228602</v>
      </c>
      <c r="AS340" s="222">
        <v>70.942796687894273</v>
      </c>
      <c r="AT340" s="222">
        <v>68.552510433925903</v>
      </c>
      <c r="AU340" s="222">
        <v>76.410414800459606</v>
      </c>
      <c r="AV340" s="222">
        <v>73.291468903453165</v>
      </c>
      <c r="AW340" s="222">
        <v>81.092142677156005</v>
      </c>
      <c r="AX340" s="222">
        <v>78.494590073645099</v>
      </c>
      <c r="AY340" s="76"/>
      <c r="AZ340" s="77" t="s">
        <v>1259</v>
      </c>
      <c r="BA340" s="77" t="s">
        <v>1271</v>
      </c>
      <c r="BB340" s="78" t="s">
        <v>1261</v>
      </c>
      <c r="BC340" s="76"/>
      <c r="BD340" s="79">
        <f>_xll.VAData($AZ340,BD$2,$BA340,$BB340)</f>
        <v>-34.938359073242481</v>
      </c>
      <c r="BE340" s="79">
        <f>_xll.VAData($AZ340,BE$2,$BA340,$BB340)</f>
        <v>198.75446393346238</v>
      </c>
      <c r="BF340" s="79">
        <f>_xll.VAData($AZ340,BF$2,$BA340,$BB340)</f>
        <v>82.8</v>
      </c>
      <c r="BG340" s="79">
        <f>_xll.VAData($AZ340,BG$2,$BA340,$BB340)</f>
        <v>61.8</v>
      </c>
      <c r="BH340" s="79">
        <f>_xll.VAData($AZ340,BH$2,$BA340,$BB340)</f>
        <v>328</v>
      </c>
      <c r="BI340" s="79">
        <f>_xll.VAData($AZ340,BI$2,$BA340,$BB340)</f>
        <v>-92.6</v>
      </c>
      <c r="BJ340" s="79">
        <f>_xll.VAData($AZ340,BJ$2,$BA340,$BB340)</f>
        <v>77.900000000000006</v>
      </c>
      <c r="BK340" s="79">
        <f>_xll.VAData($AZ340,BK$2,$BA340,$BB340)</f>
        <v>77.900000000000006</v>
      </c>
      <c r="BL340" s="79">
        <f>_xll.VAData($AZ340,BL$2,$BA340,$BB340)</f>
        <v>-33.700000000000003</v>
      </c>
      <c r="BM340" s="79">
        <f>_xll.VAData($AZ340,BM$2,$BA340,$BB340)</f>
        <v>0.1</v>
      </c>
      <c r="BN340" s="79">
        <f>_xll.VAData($AZ340,BN$2,$BA340,$BB340)</f>
        <v>22.8</v>
      </c>
      <c r="BO340" s="79">
        <f>_xll.VAData($AZ340,BO$2,$BA340,$BB340)</f>
        <v>-14.8</v>
      </c>
      <c r="BP340" s="79">
        <f>_xll.VAData($AZ340,BP$2,$BA340,$BB340)</f>
        <v>22.5</v>
      </c>
      <c r="BQ340" s="79">
        <f>_xll.VAData($AZ340,BQ$2,$BA340,$BB340)</f>
        <v>-165.8</v>
      </c>
      <c r="BR340" s="79">
        <f>_xll.VAData($AZ340,BR$2,$BA340,$BB340)</f>
        <v>6.1110153999999897</v>
      </c>
      <c r="BS340" s="79">
        <f>_xll.VAData($AZ340,BS$2,$BA340,$BB340)</f>
        <v>23.1</v>
      </c>
      <c r="BT340" s="79">
        <f>_xll.VAData($AZ340,BT$2,$BA340,$BB340)</f>
        <v>12.1</v>
      </c>
      <c r="BU340" s="79">
        <f>_xll.VAData($AZ340,BU$2,$BA340,$BB340)</f>
        <v>6.1</v>
      </c>
      <c r="BV340" s="79">
        <f>_xll.VAData($AZ340,BV$2,$BA340,$BB340)</f>
        <v>72.86716747385131</v>
      </c>
      <c r="BW340" s="79">
        <f>_xll.VAData($AZ340,BW$2,$BA340,$BB340)</f>
        <v>4.2131085790809797</v>
      </c>
      <c r="BX340" s="79">
        <f>_xll.VAData($AZ340,BX$2,$BA340,$BB340)</f>
        <v>17.73980979301783</v>
      </c>
      <c r="BY340" s="79">
        <f>_xll.VAData($AZ340,BY$2,$BA340,$BB340)</f>
        <v>31.2943531632651</v>
      </c>
    </row>
    <row r="341" spans="2:77">
      <c r="B341" s="74"/>
      <c r="C341" s="72" t="s">
        <v>72</v>
      </c>
      <c r="D341" s="225" t="s">
        <v>1343</v>
      </c>
      <c r="E341" s="226">
        <f>HY!E368</f>
        <v>0</v>
      </c>
      <c r="F341" s="226">
        <f>HY!F368</f>
        <v>0</v>
      </c>
      <c r="G341" s="226">
        <f>HY!G368</f>
        <v>82.8</v>
      </c>
      <c r="H341" s="226">
        <f>HY!H368</f>
        <v>61.8</v>
      </c>
      <c r="I341" s="226">
        <f>HY!I368</f>
        <v>328</v>
      </c>
      <c r="J341" s="226">
        <f>HY!J368</f>
        <v>-92.6</v>
      </c>
      <c r="K341" s="226">
        <f>HY!K368</f>
        <v>77.900000000000006</v>
      </c>
      <c r="L341" s="226">
        <f>HY!L368</f>
        <v>77.900000000000006</v>
      </c>
      <c r="M341" s="226">
        <f>HY!M368</f>
        <v>-33.700000000000003</v>
      </c>
      <c r="N341" s="226">
        <f>HY!N368</f>
        <v>0.10000000000000142</v>
      </c>
      <c r="O341" s="226">
        <f>HY!O368</f>
        <v>22.8</v>
      </c>
      <c r="P341" s="226">
        <f>HY!P368</f>
        <v>-14.825000000000001</v>
      </c>
      <c r="Q341" s="226">
        <f>HY!Q368</f>
        <v>22.5</v>
      </c>
      <c r="R341" s="226">
        <f>HY!R368</f>
        <v>-165.8</v>
      </c>
      <c r="S341" s="226">
        <f>HY!S368</f>
        <v>6.1</v>
      </c>
      <c r="T341" s="226">
        <f>HY!T368</f>
        <v>23.1</v>
      </c>
      <c r="U341" s="226">
        <f>HY!U368</f>
        <v>12.1</v>
      </c>
      <c r="V341" s="226">
        <f>HY!V368</f>
        <v>6.1</v>
      </c>
      <c r="W341" s="226">
        <f>HY!W368</f>
        <v>-27.579991419992471</v>
      </c>
      <c r="X341" s="226">
        <f>HY!X368</f>
        <v>11.030314271929804</v>
      </c>
      <c r="Y341" s="226">
        <f>HY!Y368</f>
        <v>8.0077433616119578</v>
      </c>
      <c r="Z341" s="226">
        <f>HY!Z368</f>
        <v>29.756667714427941</v>
      </c>
      <c r="AA341" s="72"/>
      <c r="AB341" s="76"/>
      <c r="AC341" s="221"/>
      <c r="AD341" s="221"/>
      <c r="AE341" s="221"/>
      <c r="AF341" s="221"/>
      <c r="AG341" s="221"/>
      <c r="AH341" s="221"/>
      <c r="AI341" s="221"/>
      <c r="AJ341" s="221"/>
      <c r="AK341" s="221"/>
      <c r="AL341" s="221"/>
      <c r="AM341" s="221"/>
      <c r="AN341" s="221"/>
      <c r="AO341" s="221"/>
      <c r="AP341" s="221"/>
      <c r="AQ341" s="221"/>
      <c r="AR341" s="221"/>
      <c r="AS341" s="221"/>
      <c r="AT341" s="221"/>
      <c r="AU341" s="221"/>
      <c r="AV341" s="221"/>
      <c r="AW341" s="221"/>
      <c r="AX341" s="221"/>
      <c r="AY341" s="76"/>
      <c r="AZ341" s="77"/>
      <c r="BA341" s="77"/>
      <c r="BB341" s="78"/>
      <c r="BC341" s="76"/>
      <c r="BD341" s="221"/>
      <c r="BE341" s="221"/>
      <c r="BF341" s="221"/>
      <c r="BG341" s="221"/>
      <c r="BH341" s="221"/>
      <c r="BI341" s="221"/>
      <c r="BJ341" s="221"/>
      <c r="BK341" s="221"/>
      <c r="BL341" s="221"/>
      <c r="BM341" s="221"/>
      <c r="BN341" s="221"/>
      <c r="BO341" s="221"/>
      <c r="BP341" s="221"/>
      <c r="BQ341" s="221"/>
      <c r="BR341" s="221"/>
      <c r="BS341" s="221"/>
      <c r="BT341" s="221"/>
      <c r="BU341" s="221"/>
      <c r="BV341" s="221"/>
      <c r="BW341" s="221"/>
      <c r="BX341" s="221"/>
      <c r="BY341" s="221"/>
    </row>
    <row r="342" spans="2:77">
      <c r="B342" s="74"/>
      <c r="C342" s="81" t="s">
        <v>88</v>
      </c>
      <c r="D342" s="72" t="s">
        <v>1344</v>
      </c>
      <c r="E342" s="227" t="str">
        <f t="shared" ref="E342:Z342" si="146">IFERROR(ROUND(E340/E341-1,3),"")</f>
        <v/>
      </c>
      <c r="F342" s="227" t="str">
        <f t="shared" si="146"/>
        <v/>
      </c>
      <c r="G342" s="227">
        <f t="shared" si="146"/>
        <v>0</v>
      </c>
      <c r="H342" s="227">
        <f t="shared" si="146"/>
        <v>0</v>
      </c>
      <c r="I342" s="227">
        <f t="shared" si="146"/>
        <v>0</v>
      </c>
      <c r="J342" s="227">
        <f t="shared" si="146"/>
        <v>0</v>
      </c>
      <c r="K342" s="227">
        <f t="shared" si="146"/>
        <v>0</v>
      </c>
      <c r="L342" s="227">
        <f t="shared" si="146"/>
        <v>0</v>
      </c>
      <c r="M342" s="227">
        <f t="shared" si="146"/>
        <v>0</v>
      </c>
      <c r="N342" s="227">
        <f t="shared" si="146"/>
        <v>0</v>
      </c>
      <c r="O342" s="227">
        <f t="shared" si="146"/>
        <v>0</v>
      </c>
      <c r="P342" s="227">
        <f t="shared" si="146"/>
        <v>-2E-3</v>
      </c>
      <c r="Q342" s="227">
        <f t="shared" si="146"/>
        <v>1.3169999999999999</v>
      </c>
      <c r="R342" s="227">
        <f t="shared" si="146"/>
        <v>-1.379</v>
      </c>
      <c r="S342" s="227">
        <f t="shared" si="146"/>
        <v>10.316000000000001</v>
      </c>
      <c r="T342" s="227">
        <f t="shared" si="146"/>
        <v>1.9730000000000001</v>
      </c>
      <c r="U342" s="227">
        <f t="shared" si="146"/>
        <v>4.8630000000000004</v>
      </c>
      <c r="V342" s="227">
        <f t="shared" si="146"/>
        <v>10.238</v>
      </c>
      <c r="W342" s="227">
        <f t="shared" si="146"/>
        <v>-3.7709999999999999</v>
      </c>
      <c r="X342" s="227">
        <f t="shared" si="146"/>
        <v>5.6449999999999996</v>
      </c>
      <c r="Y342" s="227">
        <f t="shared" si="146"/>
        <v>9.1270000000000007</v>
      </c>
      <c r="Z342" s="227">
        <f t="shared" si="146"/>
        <v>1.6379999999999999</v>
      </c>
      <c r="AA342" s="72"/>
      <c r="AB342" s="76"/>
      <c r="AC342" s="221"/>
      <c r="AD342" s="221"/>
      <c r="AE342" s="221"/>
      <c r="AF342" s="221"/>
      <c r="AG342" s="221"/>
      <c r="AH342" s="221"/>
      <c r="AI342" s="221"/>
      <c r="AJ342" s="221"/>
      <c r="AK342" s="221"/>
      <c r="AL342" s="221"/>
      <c r="AM342" s="221"/>
      <c r="AN342" s="221"/>
      <c r="AO342" s="221"/>
      <c r="AP342" s="221"/>
      <c r="AQ342" s="221"/>
      <c r="AR342" s="221"/>
      <c r="AS342" s="221"/>
      <c r="AT342" s="221"/>
      <c r="AU342" s="221"/>
      <c r="AV342" s="221"/>
      <c r="AW342" s="221"/>
      <c r="AX342" s="221"/>
      <c r="AY342" s="76"/>
      <c r="AZ342" s="77"/>
      <c r="BA342" s="77"/>
      <c r="BB342" s="78"/>
      <c r="BC342" s="76"/>
      <c r="BD342" s="221"/>
      <c r="BE342" s="221"/>
      <c r="BF342" s="221"/>
      <c r="BG342" s="221"/>
      <c r="BH342" s="221"/>
      <c r="BI342" s="221"/>
      <c r="BJ342" s="221"/>
      <c r="BK342" s="221"/>
      <c r="BL342" s="221"/>
      <c r="BM342" s="221"/>
      <c r="BN342" s="221"/>
      <c r="BO342" s="221"/>
      <c r="BP342" s="221"/>
      <c r="BQ342" s="221"/>
      <c r="BR342" s="221"/>
      <c r="BS342" s="221"/>
      <c r="BT342" s="221"/>
      <c r="BU342" s="221"/>
      <c r="BV342" s="221"/>
      <c r="BW342" s="221"/>
      <c r="BX342" s="221"/>
      <c r="BY342" s="221"/>
    </row>
    <row r="343" spans="2:77">
      <c r="B343" s="74"/>
      <c r="C343" s="81"/>
      <c r="D343" s="72"/>
      <c r="AA343" s="72"/>
      <c r="AB343" s="76"/>
      <c r="AC343" s="221"/>
      <c r="AD343" s="221"/>
      <c r="AE343" s="221"/>
      <c r="AF343" s="221"/>
      <c r="AG343" s="221"/>
      <c r="AH343" s="221"/>
      <c r="AI343" s="221"/>
      <c r="AJ343" s="221"/>
      <c r="AK343" s="221"/>
      <c r="AL343" s="221"/>
      <c r="AM343" s="221"/>
      <c r="AN343" s="221"/>
      <c r="AO343" s="221"/>
      <c r="AP343" s="221"/>
      <c r="AQ343" s="221"/>
      <c r="AR343" s="221"/>
      <c r="AS343" s="221"/>
      <c r="AT343" s="221"/>
      <c r="AU343" s="221"/>
      <c r="AV343" s="221"/>
      <c r="AW343" s="221"/>
      <c r="AX343" s="221"/>
      <c r="AY343" s="76"/>
      <c r="AZ343" s="77"/>
      <c r="BA343" s="77"/>
      <c r="BB343" s="78"/>
      <c r="BC343" s="76"/>
      <c r="BD343" s="221"/>
      <c r="BE343" s="221"/>
      <c r="BF343" s="221"/>
      <c r="BG343" s="221"/>
      <c r="BH343" s="221"/>
      <c r="BI343" s="221"/>
      <c r="BJ343" s="221"/>
      <c r="BK343" s="221"/>
      <c r="BL343" s="221"/>
      <c r="BM343" s="221"/>
      <c r="BN343" s="221"/>
      <c r="BO343" s="221"/>
      <c r="BP343" s="221"/>
      <c r="BQ343" s="221"/>
      <c r="BR343" s="221"/>
      <c r="BS343" s="221"/>
      <c r="BT343" s="221"/>
      <c r="BU343" s="221"/>
      <c r="BV343" s="221"/>
      <c r="BW343" s="221"/>
      <c r="BX343" s="221"/>
      <c r="BY343" s="221"/>
    </row>
    <row r="344" spans="2:77">
      <c r="B344" s="74" t="str">
        <f>BA344</f>
        <v>EPS - Basic</v>
      </c>
      <c r="C344" s="72" t="s">
        <v>72</v>
      </c>
      <c r="D344" s="224" t="s">
        <v>1342</v>
      </c>
      <c r="E344" s="223">
        <f t="shared" ref="E344:Z344" si="147">AC344</f>
        <v>13.691639559093</v>
      </c>
      <c r="F344" s="223">
        <f t="shared" si="147"/>
        <v>11.7566767460435</v>
      </c>
      <c r="G344" s="223">
        <f t="shared" si="147"/>
        <v>12.3</v>
      </c>
      <c r="H344" s="223">
        <f t="shared" si="147"/>
        <v>9.1</v>
      </c>
      <c r="I344" s="223">
        <f t="shared" si="147"/>
        <v>49.3</v>
      </c>
      <c r="J344" s="223">
        <f t="shared" si="147"/>
        <v>-13.9</v>
      </c>
      <c r="K344" s="223">
        <f t="shared" si="147"/>
        <v>10.2991436377088</v>
      </c>
      <c r="L344" s="223">
        <f t="shared" si="147"/>
        <v>10.2542205022348</v>
      </c>
      <c r="M344" s="223">
        <f t="shared" si="147"/>
        <v>-4.4487986580934002</v>
      </c>
      <c r="N344" s="223" t="str">
        <f t="shared" si="147"/>
        <v>-</v>
      </c>
      <c r="O344" s="223">
        <f t="shared" si="147"/>
        <v>3</v>
      </c>
      <c r="P344" s="223">
        <f t="shared" si="147"/>
        <v>-1.9</v>
      </c>
      <c r="Q344" s="223">
        <f t="shared" si="147"/>
        <v>6.8590379002492998</v>
      </c>
      <c r="R344" s="223">
        <f t="shared" si="147"/>
        <v>8.2727392255466992</v>
      </c>
      <c r="S344" s="223">
        <f t="shared" si="147"/>
        <v>9.0803361754432004</v>
      </c>
      <c r="T344" s="223">
        <f t="shared" si="147"/>
        <v>9.0344270739321999</v>
      </c>
      <c r="U344" s="223">
        <f t="shared" si="147"/>
        <v>9.3320595812283003</v>
      </c>
      <c r="V344" s="223">
        <f t="shared" si="147"/>
        <v>9.0176331539404995</v>
      </c>
      <c r="W344" s="223">
        <f t="shared" si="147"/>
        <v>10.0512888577166</v>
      </c>
      <c r="X344" s="223">
        <f t="shared" si="147"/>
        <v>9.6410120457928006</v>
      </c>
      <c r="Y344" s="223">
        <f t="shared" si="147"/>
        <v>10.667139429354499</v>
      </c>
      <c r="Z344" s="223">
        <f t="shared" si="147"/>
        <v>10.325448491145</v>
      </c>
      <c r="AA344" s="72"/>
      <c r="AB344" s="76"/>
      <c r="AC344" s="222">
        <v>13.691639559093</v>
      </c>
      <c r="AD344" s="222">
        <v>11.7566767460435</v>
      </c>
      <c r="AE344" s="222">
        <v>12.3</v>
      </c>
      <c r="AF344" s="222">
        <v>9.1</v>
      </c>
      <c r="AG344" s="222">
        <v>49.3</v>
      </c>
      <c r="AH344" s="222">
        <v>-13.9</v>
      </c>
      <c r="AI344" s="222">
        <v>10.2991436377088</v>
      </c>
      <c r="AJ344" s="222">
        <v>10.2542205022348</v>
      </c>
      <c r="AK344" s="222">
        <v>-4.4487986580934002</v>
      </c>
      <c r="AL344" s="222" t="s">
        <v>967</v>
      </c>
      <c r="AM344" s="222">
        <v>3</v>
      </c>
      <c r="AN344" s="222">
        <v>-1.9</v>
      </c>
      <c r="AO344" s="222">
        <v>6.8590379002492998</v>
      </c>
      <c r="AP344" s="222">
        <v>8.2727392255466992</v>
      </c>
      <c r="AQ344" s="222">
        <v>9.0803361754432004</v>
      </c>
      <c r="AR344" s="222">
        <v>9.0344270739321999</v>
      </c>
      <c r="AS344" s="222">
        <v>9.3320595812283003</v>
      </c>
      <c r="AT344" s="222">
        <v>9.0176331539404995</v>
      </c>
      <c r="AU344" s="222">
        <v>10.0512888577166</v>
      </c>
      <c r="AV344" s="222">
        <v>9.6410120457928006</v>
      </c>
      <c r="AW344" s="222">
        <v>10.667139429354499</v>
      </c>
      <c r="AX344" s="222">
        <v>10.325448491145</v>
      </c>
      <c r="AY344" s="76"/>
      <c r="AZ344" s="77" t="s">
        <v>1259</v>
      </c>
      <c r="BA344" s="77" t="s">
        <v>1272</v>
      </c>
      <c r="BB344" s="78" t="s">
        <v>1261</v>
      </c>
      <c r="BC344" s="76"/>
      <c r="BD344" s="79">
        <f>_xll.VAData($AZ344,BD$2,$BA344,$BB344)</f>
        <v>13.531714858116301</v>
      </c>
      <c r="BE344" s="79">
        <f>_xll.VAData($AZ344,BE$2,$BA344,$BB344)</f>
        <v>10.663228974232</v>
      </c>
      <c r="BF344" s="79">
        <f>_xll.VAData($AZ344,BF$2,$BA344,$BB344)</f>
        <v>12.3</v>
      </c>
      <c r="BG344" s="79">
        <f>_xll.VAData($AZ344,BG$2,$BA344,$BB344)</f>
        <v>9.1</v>
      </c>
      <c r="BH344" s="79">
        <f>_xll.VAData($AZ344,BH$2,$BA344,$BB344)</f>
        <v>49.3</v>
      </c>
      <c r="BI344" s="79">
        <f>_xll.VAData($AZ344,BI$2,$BA344,$BB344)</f>
        <v>-13.9</v>
      </c>
      <c r="BJ344" s="79">
        <f>_xll.VAData($AZ344,BJ$2,$BA344,$BB344)</f>
        <v>10.350016042830299</v>
      </c>
      <c r="BK344" s="79">
        <f>_xll.VAData($AZ344,BK$2,$BA344,$BB344)</f>
        <v>10.247233125707201</v>
      </c>
      <c r="BL344" s="79">
        <f>_xll.VAData($AZ344,BL$2,$BA344,$BB344)</f>
        <v>-4.5</v>
      </c>
      <c r="BM344" s="79" t="str">
        <f>_xll.VAData($AZ344,BM$2,$BA344,$BB344)</f>
        <v>-</v>
      </c>
      <c r="BN344" s="79">
        <f>_xll.VAData($AZ344,BN$2,$BA344,$BB344)</f>
        <v>2.9991901831338001</v>
      </c>
      <c r="BO344" s="79">
        <f>_xll.VAData($AZ344,BO$2,$BA344,$BB344)</f>
        <v>-1.9501313361824</v>
      </c>
      <c r="BP344" s="79">
        <f>_xll.VAData($AZ344,BP$2,$BA344,$BB344)</f>
        <v>3</v>
      </c>
      <c r="BQ344" s="79">
        <f>_xll.VAData($AZ344,BQ$2,$BA344,$BB344)</f>
        <v>-21.9</v>
      </c>
      <c r="BR344" s="79">
        <f>_xll.VAData($AZ344,BR$2,$BA344,$BB344)</f>
        <v>0.8</v>
      </c>
      <c r="BS344" s="79">
        <f>_xll.VAData($AZ344,BS$2,$BA344,$BB344)</f>
        <v>3.1</v>
      </c>
      <c r="BT344" s="79">
        <f>_xll.VAData($AZ344,BT$2,$BA344,$BB344)</f>
        <v>1.2</v>
      </c>
      <c r="BU344" s="79">
        <f>_xll.VAData($AZ344,BU$2,$BA344,$BB344)</f>
        <v>0.6</v>
      </c>
      <c r="BV344" s="79">
        <f>_xll.VAData($AZ344,BV$2,$BA344,$BB344)</f>
        <v>6.605941169666</v>
      </c>
      <c r="BW344" s="79">
        <f>_xll.VAData($AZ344,BW$2,$BA344,$BB344)</f>
        <v>0.57505937150849995</v>
      </c>
      <c r="BX344" s="79">
        <f>_xll.VAData($AZ344,BX$2,$BA344,$BB344)</f>
        <v>1.6082433819840001</v>
      </c>
      <c r="BY344" s="79">
        <f>_xll.VAData($AZ344,BY$2,$BA344,$BB344)</f>
        <v>2.8370617811302998</v>
      </c>
    </row>
    <row r="345" spans="2:77">
      <c r="B345" s="74"/>
      <c r="C345" s="72" t="s">
        <v>72</v>
      </c>
      <c r="D345" s="225" t="s">
        <v>1343</v>
      </c>
      <c r="E345" s="226">
        <f>HY!E370</f>
        <v>0</v>
      </c>
      <c r="F345" s="226">
        <f>HY!F370</f>
        <v>0</v>
      </c>
      <c r="G345" s="226">
        <f>HY!G370</f>
        <v>12.3</v>
      </c>
      <c r="H345" s="226">
        <f>HY!H370</f>
        <v>9.0999999999999979</v>
      </c>
      <c r="I345" s="226">
        <f>HY!I370</f>
        <v>49.3</v>
      </c>
      <c r="J345" s="226">
        <f>HY!J370</f>
        <v>-13.899999999999999</v>
      </c>
      <c r="K345" s="226">
        <f>HY!K370</f>
        <v>10.3</v>
      </c>
      <c r="L345" s="226">
        <f>HY!L370</f>
        <v>10.3</v>
      </c>
      <c r="M345" s="226">
        <f>HY!M370</f>
        <v>-4.5</v>
      </c>
      <c r="N345" s="226">
        <f>HY!N370</f>
        <v>9.9999999999999645E-2</v>
      </c>
      <c r="O345" s="226">
        <f>HY!O370</f>
        <v>3</v>
      </c>
      <c r="P345" s="226">
        <f>HY!P370</f>
        <v>-1.9</v>
      </c>
      <c r="Q345" s="226">
        <f>HY!Q370</f>
        <v>3</v>
      </c>
      <c r="R345" s="226">
        <f>HY!R370</f>
        <v>-1.9</v>
      </c>
      <c r="S345" s="226">
        <f>HY!S370</f>
        <v>3</v>
      </c>
      <c r="T345" s="226">
        <f>HY!T370</f>
        <v>0.89999999999999991</v>
      </c>
      <c r="U345" s="226">
        <f>HY!U370</f>
        <v>1.2</v>
      </c>
      <c r="V345" s="226">
        <f>HY!V370</f>
        <v>0.60000000000000009</v>
      </c>
      <c r="W345" s="226">
        <f>HY!W370</f>
        <v>-2.5003277483750517</v>
      </c>
      <c r="X345" s="226">
        <f>HY!X370</f>
        <v>0.99997858691904462</v>
      </c>
      <c r="Y345" s="226">
        <f>HY!Y370</f>
        <v>0.72596044806564919</v>
      </c>
      <c r="Z345" s="226">
        <f>HY!Z370</f>
        <v>2.697659359372655</v>
      </c>
      <c r="AA345" s="72"/>
      <c r="AB345" s="76"/>
      <c r="AC345" s="221"/>
      <c r="AD345" s="221"/>
      <c r="AE345" s="221"/>
      <c r="AF345" s="221"/>
      <c r="AG345" s="221"/>
      <c r="AH345" s="221"/>
      <c r="AI345" s="221"/>
      <c r="AJ345" s="221"/>
      <c r="AK345" s="221"/>
      <c r="AL345" s="221"/>
      <c r="AM345" s="221"/>
      <c r="AN345" s="221"/>
      <c r="AO345" s="221"/>
      <c r="AP345" s="221"/>
      <c r="AQ345" s="221"/>
      <c r="AR345" s="221"/>
      <c r="AS345" s="221"/>
      <c r="AT345" s="221"/>
      <c r="AU345" s="221"/>
      <c r="AV345" s="221"/>
      <c r="AW345" s="221"/>
      <c r="AX345" s="221"/>
      <c r="AY345" s="76"/>
      <c r="AZ345" s="77"/>
      <c r="BA345" s="77"/>
      <c r="BB345" s="78"/>
      <c r="BC345" s="76"/>
      <c r="BD345" s="221"/>
      <c r="BE345" s="221"/>
      <c r="BF345" s="221"/>
      <c r="BG345" s="221"/>
      <c r="BH345" s="221"/>
      <c r="BI345" s="221"/>
      <c r="BJ345" s="221"/>
      <c r="BK345" s="221"/>
      <c r="BL345" s="221"/>
      <c r="BM345" s="221"/>
      <c r="BN345" s="221"/>
      <c r="BO345" s="221"/>
      <c r="BP345" s="221"/>
      <c r="BQ345" s="221"/>
      <c r="BR345" s="221"/>
      <c r="BS345" s="221"/>
      <c r="BT345" s="221"/>
      <c r="BU345" s="221"/>
      <c r="BV345" s="221"/>
      <c r="BW345" s="221"/>
      <c r="BX345" s="221"/>
      <c r="BY345" s="221"/>
    </row>
    <row r="346" spans="2:77">
      <c r="B346" s="74"/>
      <c r="C346" s="81" t="s">
        <v>88</v>
      </c>
      <c r="D346" s="72" t="s">
        <v>1344</v>
      </c>
      <c r="E346" s="227" t="str">
        <f t="shared" ref="E346:Z346" si="148">IFERROR(ROUND(E344/E345-1,3),"")</f>
        <v/>
      </c>
      <c r="F346" s="227" t="str">
        <f t="shared" si="148"/>
        <v/>
      </c>
      <c r="G346" s="227">
        <f t="shared" si="148"/>
        <v>0</v>
      </c>
      <c r="H346" s="227">
        <f t="shared" si="148"/>
        <v>0</v>
      </c>
      <c r="I346" s="227">
        <f t="shared" si="148"/>
        <v>0</v>
      </c>
      <c r="J346" s="227">
        <f t="shared" si="148"/>
        <v>0</v>
      </c>
      <c r="K346" s="227">
        <f t="shared" si="148"/>
        <v>0</v>
      </c>
      <c r="L346" s="227">
        <f t="shared" si="148"/>
        <v>-4.0000000000000001E-3</v>
      </c>
      <c r="M346" s="227">
        <f t="shared" si="148"/>
        <v>-1.0999999999999999E-2</v>
      </c>
      <c r="N346" s="227" t="str">
        <f t="shared" si="148"/>
        <v/>
      </c>
      <c r="O346" s="227">
        <f t="shared" si="148"/>
        <v>0</v>
      </c>
      <c r="P346" s="227">
        <f t="shared" si="148"/>
        <v>0</v>
      </c>
      <c r="Q346" s="227">
        <f t="shared" si="148"/>
        <v>1.286</v>
      </c>
      <c r="R346" s="227">
        <f t="shared" si="148"/>
        <v>-5.3540000000000001</v>
      </c>
      <c r="S346" s="227">
        <f t="shared" si="148"/>
        <v>2.0270000000000001</v>
      </c>
      <c r="T346" s="227">
        <f t="shared" si="148"/>
        <v>9.0380000000000003</v>
      </c>
      <c r="U346" s="227">
        <f t="shared" si="148"/>
        <v>6.7770000000000001</v>
      </c>
      <c r="V346" s="227">
        <f t="shared" si="148"/>
        <v>14.029</v>
      </c>
      <c r="W346" s="227">
        <f t="shared" si="148"/>
        <v>-5.0199999999999996</v>
      </c>
      <c r="X346" s="227">
        <f t="shared" si="148"/>
        <v>8.641</v>
      </c>
      <c r="Y346" s="227">
        <f t="shared" si="148"/>
        <v>13.694000000000001</v>
      </c>
      <c r="Z346" s="227">
        <f t="shared" si="148"/>
        <v>2.8279999999999998</v>
      </c>
      <c r="AA346" s="72"/>
      <c r="AB346" s="76"/>
      <c r="AC346" s="221"/>
      <c r="AD346" s="221"/>
      <c r="AE346" s="221"/>
      <c r="AF346" s="221"/>
      <c r="AG346" s="221"/>
      <c r="AH346" s="221"/>
      <c r="AI346" s="221"/>
      <c r="AJ346" s="221"/>
      <c r="AK346" s="221"/>
      <c r="AL346" s="221"/>
      <c r="AM346" s="221"/>
      <c r="AN346" s="221"/>
      <c r="AO346" s="221"/>
      <c r="AP346" s="221"/>
      <c r="AQ346" s="221"/>
      <c r="AR346" s="221"/>
      <c r="AS346" s="221"/>
      <c r="AT346" s="221"/>
      <c r="AU346" s="221"/>
      <c r="AV346" s="221"/>
      <c r="AW346" s="221"/>
      <c r="AX346" s="221"/>
      <c r="AY346" s="76"/>
      <c r="AZ346" s="77"/>
      <c r="BA346" s="77"/>
      <c r="BB346" s="78"/>
      <c r="BC346" s="76"/>
      <c r="BD346" s="221"/>
      <c r="BE346" s="221"/>
      <c r="BF346" s="221"/>
      <c r="BG346" s="221"/>
      <c r="BH346" s="221"/>
      <c r="BI346" s="221"/>
      <c r="BJ346" s="221"/>
      <c r="BK346" s="221"/>
      <c r="BL346" s="221"/>
      <c r="BM346" s="221"/>
      <c r="BN346" s="221"/>
      <c r="BO346" s="221"/>
      <c r="BP346" s="221"/>
      <c r="BQ346" s="221"/>
      <c r="BR346" s="221"/>
      <c r="BS346" s="221"/>
      <c r="BT346" s="221"/>
      <c r="BU346" s="221"/>
      <c r="BV346" s="221"/>
      <c r="BW346" s="221"/>
      <c r="BX346" s="221"/>
      <c r="BY346" s="221"/>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C4:F8"/>
  <sheetViews>
    <sheetView showGridLines="0" zoomScale="130" zoomScaleNormal="130" workbookViewId="0">
      <selection activeCell="BB290" sqref="BB290"/>
    </sheetView>
  </sheetViews>
  <sheetFormatPr defaultRowHeight="15"/>
  <cols>
    <col min="3" max="3" width="46" customWidth="1"/>
    <col min="4" max="6" width="7.7109375" customWidth="1"/>
  </cols>
  <sheetData>
    <row r="4" spans="3:6">
      <c r="C4" s="159"/>
      <c r="D4" s="159" t="s">
        <v>1247</v>
      </c>
      <c r="E4" s="159" t="s">
        <v>1248</v>
      </c>
      <c r="F4" s="159" t="s">
        <v>1304</v>
      </c>
    </row>
    <row r="5" spans="3:6">
      <c r="C5" s="242" t="s">
        <v>1156</v>
      </c>
      <c r="D5" s="633">
        <v>7.7474142712587071</v>
      </c>
      <c r="E5" s="633">
        <v>6.3758823521798407</v>
      </c>
      <c r="F5" s="633">
        <v>5.8094569281794071</v>
      </c>
    </row>
    <row r="6" spans="3:6">
      <c r="C6" s="242" t="s">
        <v>164</v>
      </c>
      <c r="D6" s="633">
        <v>12.8999940284993</v>
      </c>
      <c r="E6" s="633">
        <v>6.9326851848514588</v>
      </c>
      <c r="F6" s="633">
        <v>5.8094569281794071</v>
      </c>
    </row>
    <row r="7" spans="3:6">
      <c r="C7" s="242"/>
      <c r="D7" s="549"/>
      <c r="E7" s="549"/>
      <c r="F7" s="549"/>
    </row>
    <row r="8" spans="3:6">
      <c r="C8" s="634" t="s">
        <v>1157</v>
      </c>
      <c r="D8" s="549"/>
      <c r="E8" s="549"/>
      <c r="F8" s="54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tabColor rgb="FFFFC000"/>
  </sheetPr>
  <dimension ref="A2:BO587"/>
  <sheetViews>
    <sheetView topLeftCell="A460" workbookViewId="0">
      <selection activeCell="BB290" sqref="BB290"/>
    </sheetView>
  </sheetViews>
  <sheetFormatPr defaultColWidth="0" defaultRowHeight="15" outlineLevelRow="1"/>
  <cols>
    <col min="1" max="1" width="4.28515625" customWidth="1"/>
    <col min="2" max="2" width="9.140625" customWidth="1"/>
    <col min="3" max="3" width="30.5703125" bestFit="1" customWidth="1"/>
    <col min="4" max="4" width="6.7109375" customWidth="1"/>
    <col min="5" max="5" width="2.7109375" customWidth="1"/>
    <col min="6" max="6" width="8.140625" bestFit="1" customWidth="1"/>
    <col min="7" max="26" width="6.7109375" customWidth="1"/>
    <col min="27" max="27" width="2.7109375" customWidth="1"/>
    <col min="28" max="28" width="25.7109375" customWidth="1"/>
    <col min="29" max="29" width="6.7109375" customWidth="1"/>
    <col min="30" max="30" width="2.7109375" customWidth="1"/>
    <col min="31" max="31" width="9.7109375" bestFit="1" customWidth="1"/>
    <col min="32" max="41" width="6.7109375" customWidth="1"/>
    <col min="42" max="42" width="9.140625" customWidth="1"/>
    <col min="43" max="67" width="13" hidden="1" customWidth="1"/>
    <col min="68" max="68" width="9.140625" hidden="1" customWidth="1"/>
    <col min="69" max="16384" width="9.140625" hidden="1"/>
  </cols>
  <sheetData>
    <row r="2" spans="1:42" s="242" customFormat="1" ht="11.25" customHeight="1">
      <c r="C2" s="267" t="s">
        <v>1399</v>
      </c>
      <c r="D2" s="268"/>
      <c r="E2" s="268"/>
      <c r="F2" s="268"/>
      <c r="G2" s="268"/>
      <c r="H2" s="268"/>
      <c r="I2" s="268"/>
      <c r="J2" s="268"/>
      <c r="K2" s="268"/>
      <c r="L2" s="268"/>
      <c r="M2" s="268"/>
      <c r="N2" s="268"/>
      <c r="O2" s="268"/>
      <c r="P2" s="268"/>
      <c r="Q2" s="268"/>
      <c r="R2" s="268"/>
      <c r="S2" s="268"/>
      <c r="T2" s="268"/>
      <c r="U2" s="269"/>
      <c r="V2" s="269"/>
      <c r="W2" s="269"/>
      <c r="X2" s="269"/>
      <c r="Y2" s="269"/>
      <c r="Z2" s="269"/>
      <c r="AA2" s="269"/>
      <c r="AB2" s="269"/>
      <c r="AC2" s="269"/>
      <c r="AD2" s="268"/>
      <c r="AE2" s="268"/>
      <c r="AF2" s="269"/>
      <c r="AG2" s="269"/>
      <c r="AH2" s="269"/>
      <c r="AI2" s="269"/>
      <c r="AJ2" s="269"/>
      <c r="AK2" s="269"/>
      <c r="AL2" s="269"/>
      <c r="AM2" s="269"/>
      <c r="AN2" s="269"/>
      <c r="AO2" s="269"/>
    </row>
    <row r="3" spans="1:42" s="242" customFormat="1" ht="11.25" customHeight="1">
      <c r="D3" s="270"/>
      <c r="E3" s="270"/>
      <c r="F3" s="270"/>
      <c r="G3" s="321" t="s">
        <v>1400</v>
      </c>
      <c r="H3" s="321" t="s">
        <v>1400</v>
      </c>
      <c r="I3" s="321" t="s">
        <v>1243</v>
      </c>
      <c r="J3" s="321" t="s">
        <v>1243</v>
      </c>
      <c r="K3" s="321" t="s">
        <v>1244</v>
      </c>
      <c r="L3" s="321" t="s">
        <v>1244</v>
      </c>
      <c r="M3" s="321" t="s">
        <v>1303</v>
      </c>
      <c r="N3" s="321" t="s">
        <v>1303</v>
      </c>
      <c r="O3" s="321" t="s">
        <v>1249</v>
      </c>
      <c r="P3" s="321" t="s">
        <v>1249</v>
      </c>
      <c r="Q3" s="321" t="s">
        <v>1401</v>
      </c>
      <c r="R3" s="321" t="s">
        <v>1401</v>
      </c>
      <c r="S3" s="321" t="s">
        <v>1402</v>
      </c>
      <c r="T3" s="321" t="s">
        <v>1402</v>
      </c>
      <c r="U3" s="321" t="s">
        <v>1403</v>
      </c>
      <c r="V3" s="321" t="s">
        <v>1403</v>
      </c>
      <c r="W3" s="321" t="s">
        <v>1404</v>
      </c>
      <c r="X3" s="321" t="s">
        <v>1404</v>
      </c>
      <c r="Y3" s="321" t="s">
        <v>1405</v>
      </c>
      <c r="Z3" s="321" t="s">
        <v>1405</v>
      </c>
      <c r="AA3" s="270"/>
      <c r="AB3" s="270"/>
      <c r="AC3" s="270"/>
      <c r="AD3" s="270"/>
      <c r="AE3" s="270"/>
      <c r="AF3" s="270"/>
      <c r="AG3" s="270"/>
      <c r="AH3" s="270"/>
      <c r="AI3" s="270"/>
      <c r="AJ3" s="270"/>
      <c r="AK3" s="270"/>
      <c r="AL3" s="270"/>
      <c r="AM3" s="270"/>
      <c r="AN3" s="270"/>
      <c r="AO3" s="270"/>
      <c r="AP3" s="271"/>
    </row>
    <row r="5" spans="1:42">
      <c r="D5" s="232" t="s">
        <v>1329</v>
      </c>
      <c r="E5" s="232"/>
      <c r="F5" s="232" t="s">
        <v>9</v>
      </c>
      <c r="G5" s="234" t="s">
        <v>1336</v>
      </c>
      <c r="H5" s="233" t="s">
        <v>1337</v>
      </c>
      <c r="I5" s="234" t="s">
        <v>1214</v>
      </c>
      <c r="J5" s="233" t="s">
        <v>1215</v>
      </c>
      <c r="K5" s="234" t="s">
        <v>1216</v>
      </c>
      <c r="L5" s="233" t="s">
        <v>1217</v>
      </c>
      <c r="M5" s="234" t="s">
        <v>1338</v>
      </c>
      <c r="N5" s="233" t="s">
        <v>1219</v>
      </c>
      <c r="O5" s="234" t="s">
        <v>1220</v>
      </c>
      <c r="P5" s="233" t="s">
        <v>1221</v>
      </c>
      <c r="Q5" s="234" t="s">
        <v>1222</v>
      </c>
      <c r="R5" s="233" t="s">
        <v>1223</v>
      </c>
      <c r="S5" s="234" t="s">
        <v>1224</v>
      </c>
      <c r="T5" s="233" t="s">
        <v>1225</v>
      </c>
      <c r="U5" s="234" t="s">
        <v>1339</v>
      </c>
      <c r="V5" s="233" t="s">
        <v>1340</v>
      </c>
      <c r="W5" s="234" t="s">
        <v>1406</v>
      </c>
      <c r="X5" s="233" t="s">
        <v>1407</v>
      </c>
      <c r="Y5" s="234" t="s">
        <v>1408</v>
      </c>
      <c r="Z5" s="233" t="s">
        <v>1409</v>
      </c>
      <c r="AE5" s="232" t="s">
        <v>9</v>
      </c>
      <c r="AF5" s="272" t="s">
        <v>1400</v>
      </c>
      <c r="AG5" s="272" t="s">
        <v>1243</v>
      </c>
      <c r="AH5" s="272" t="s">
        <v>1244</v>
      </c>
      <c r="AI5" s="272" t="s">
        <v>1303</v>
      </c>
      <c r="AJ5" s="272" t="s">
        <v>1249</v>
      </c>
      <c r="AK5" s="272" t="s">
        <v>1401</v>
      </c>
      <c r="AL5" s="272" t="s">
        <v>1402</v>
      </c>
      <c r="AM5" s="272" t="s">
        <v>1403</v>
      </c>
      <c r="AN5" s="272" t="s">
        <v>1404</v>
      </c>
      <c r="AO5" s="272" t="s">
        <v>1405</v>
      </c>
    </row>
    <row r="6" spans="1:42">
      <c r="D6" s="37"/>
      <c r="F6" s="37"/>
      <c r="G6" s="235">
        <v>44196</v>
      </c>
      <c r="H6" s="236">
        <f t="shared" ref="H6:Z6" si="0">EOMONTH(G6,6)</f>
        <v>44377</v>
      </c>
      <c r="I6" s="235">
        <f t="shared" si="0"/>
        <v>44561</v>
      </c>
      <c r="J6" s="236">
        <f t="shared" si="0"/>
        <v>44742</v>
      </c>
      <c r="K6" s="235">
        <f t="shared" si="0"/>
        <v>44926</v>
      </c>
      <c r="L6" s="236">
        <f t="shared" si="0"/>
        <v>45107</v>
      </c>
      <c r="M6" s="235">
        <f t="shared" si="0"/>
        <v>45291</v>
      </c>
      <c r="N6" s="236">
        <f t="shared" si="0"/>
        <v>45473</v>
      </c>
      <c r="O6" s="235">
        <f t="shared" si="0"/>
        <v>45657</v>
      </c>
      <c r="P6" s="236">
        <f t="shared" si="0"/>
        <v>45838</v>
      </c>
      <c r="Q6" s="235">
        <f t="shared" si="0"/>
        <v>46022</v>
      </c>
      <c r="R6" s="236">
        <f t="shared" si="0"/>
        <v>46203</v>
      </c>
      <c r="S6" s="235">
        <f t="shared" si="0"/>
        <v>46387</v>
      </c>
      <c r="T6" s="236">
        <f t="shared" si="0"/>
        <v>46568</v>
      </c>
      <c r="U6" s="235">
        <f t="shared" si="0"/>
        <v>46752</v>
      </c>
      <c r="V6" s="236">
        <f t="shared" si="0"/>
        <v>46934</v>
      </c>
      <c r="W6" s="235">
        <f t="shared" si="0"/>
        <v>47118</v>
      </c>
      <c r="X6" s="236">
        <f t="shared" si="0"/>
        <v>47299</v>
      </c>
      <c r="Y6" s="235">
        <f t="shared" si="0"/>
        <v>47483</v>
      </c>
      <c r="Z6" s="236">
        <f t="shared" si="0"/>
        <v>47664</v>
      </c>
      <c r="AE6" s="37"/>
      <c r="AF6" s="273">
        <v>44377</v>
      </c>
      <c r="AG6" s="273">
        <f t="shared" ref="AG6:AO6" si="1">EOMONTH(AF6,12)</f>
        <v>44742</v>
      </c>
      <c r="AH6" s="273">
        <f t="shared" si="1"/>
        <v>45107</v>
      </c>
      <c r="AI6" s="273">
        <f t="shared" si="1"/>
        <v>45473</v>
      </c>
      <c r="AJ6" s="273">
        <f t="shared" si="1"/>
        <v>45838</v>
      </c>
      <c r="AK6" s="273">
        <f t="shared" si="1"/>
        <v>46203</v>
      </c>
      <c r="AL6" s="273">
        <f t="shared" si="1"/>
        <v>46568</v>
      </c>
      <c r="AM6" s="273">
        <f t="shared" si="1"/>
        <v>46934</v>
      </c>
      <c r="AN6" s="273">
        <f t="shared" si="1"/>
        <v>47299</v>
      </c>
      <c r="AO6" s="273">
        <f t="shared" si="1"/>
        <v>47664</v>
      </c>
    </row>
    <row r="8" spans="1:42" s="274" customFormat="1">
      <c r="A8" s="274" t="s">
        <v>7</v>
      </c>
      <c r="C8" s="275" t="s">
        <v>577</v>
      </c>
    </row>
    <row r="10" spans="1:42">
      <c r="C10" s="208" t="s">
        <v>33</v>
      </c>
    </row>
    <row r="11" spans="1:42">
      <c r="B11" s="111" t="str">
        <f t="shared" ref="B11:B16" si="2">$C$10&amp;C11</f>
        <v>AUCKLANDSlots</v>
      </c>
      <c r="C11" s="49" t="s">
        <v>71</v>
      </c>
      <c r="D11" s="36" t="s">
        <v>72</v>
      </c>
      <c r="F11" s="7"/>
      <c r="G11" s="7">
        <f>HY!K83</f>
        <v>105.096</v>
      </c>
      <c r="H11" s="7">
        <f>HY!L83</f>
        <v>138.50748000000002</v>
      </c>
      <c r="I11" s="7">
        <f>HY!M83</f>
        <v>52.2</v>
      </c>
      <c r="J11" s="7">
        <f>HY!N83</f>
        <v>109.185</v>
      </c>
      <c r="K11" s="7">
        <f>HY!O83</f>
        <v>135.6</v>
      </c>
      <c r="L11" s="7">
        <f>HY!P83</f>
        <v>129.70000000000002</v>
      </c>
      <c r="M11" s="7">
        <f>HY!Q83</f>
        <v>127.9</v>
      </c>
      <c r="N11" s="7">
        <f>HY!R83</f>
        <v>119.79999999999998</v>
      </c>
      <c r="O11" s="7">
        <f>HY!S83</f>
        <v>118.3</v>
      </c>
      <c r="P11" s="7">
        <f>HY!T83</f>
        <v>115.60000000000001</v>
      </c>
      <c r="Q11" s="7">
        <f>HY!U83</f>
        <v>110.9</v>
      </c>
      <c r="R11" s="7">
        <f>HY!V83</f>
        <v>103.1</v>
      </c>
      <c r="S11" s="7">
        <f>HY!W83</f>
        <v>99</v>
      </c>
      <c r="T11" s="7">
        <f>HY!X83</f>
        <v>103</v>
      </c>
      <c r="U11" s="7">
        <f>HY!Y83</f>
        <v>110</v>
      </c>
      <c r="V11" s="7">
        <f>HY!Z83</f>
        <v>108.66499999999999</v>
      </c>
      <c r="W11" s="7">
        <f>HY!AA83</f>
        <v>113.3</v>
      </c>
      <c r="X11" s="7">
        <f>HY!AB83</f>
        <v>111.92495</v>
      </c>
      <c r="Y11" s="7">
        <f>HY!AC83</f>
        <v>116.699</v>
      </c>
      <c r="Z11" s="7">
        <f>HY!AD83</f>
        <v>115.2826985</v>
      </c>
      <c r="AE11" s="7"/>
      <c r="AF11" s="7">
        <f t="shared" ref="AF11:AO16" si="3">SUMIFS($G11:$Z11,$G$3:$Z$3,AF$5)</f>
        <v>243.60348000000002</v>
      </c>
      <c r="AG11" s="7">
        <f t="shared" si="3"/>
        <v>161.38499999999999</v>
      </c>
      <c r="AH11" s="7">
        <f t="shared" si="3"/>
        <v>265.3</v>
      </c>
      <c r="AI11" s="7">
        <f t="shared" si="3"/>
        <v>247.7</v>
      </c>
      <c r="AJ11" s="7">
        <f t="shared" si="3"/>
        <v>233.9</v>
      </c>
      <c r="AK11" s="7">
        <f t="shared" si="3"/>
        <v>214</v>
      </c>
      <c r="AL11" s="7">
        <f t="shared" si="3"/>
        <v>202</v>
      </c>
      <c r="AM11" s="7">
        <f t="shared" si="3"/>
        <v>218.66499999999999</v>
      </c>
      <c r="AN11" s="7">
        <f t="shared" si="3"/>
        <v>225.22494999999998</v>
      </c>
      <c r="AO11" s="7">
        <f t="shared" si="3"/>
        <v>231.98169849999999</v>
      </c>
    </row>
    <row r="12" spans="1:42">
      <c r="B12" s="111" t="str">
        <f t="shared" si="2"/>
        <v>AUCKLANDTables</v>
      </c>
      <c r="C12" s="49" t="s">
        <v>73</v>
      </c>
      <c r="D12" s="36" t="s">
        <v>72</v>
      </c>
      <c r="F12" s="29"/>
      <c r="G12" s="7">
        <f>HY!K84</f>
        <v>54.896999999999998</v>
      </c>
      <c r="H12" s="7">
        <f>HY!L84</f>
        <v>68.036609999999996</v>
      </c>
      <c r="I12" s="7">
        <f>HY!M84</f>
        <v>20.445</v>
      </c>
      <c r="J12" s="7">
        <f>HY!N84</f>
        <v>44.805</v>
      </c>
      <c r="K12" s="7">
        <f>HY!O84</f>
        <v>57.7</v>
      </c>
      <c r="L12" s="7">
        <f>HY!P84</f>
        <v>63.899999999999991</v>
      </c>
      <c r="M12" s="7">
        <f>HY!Q84</f>
        <v>66.400000000000006</v>
      </c>
      <c r="N12" s="7">
        <f>HY!R84</f>
        <v>61.199999999999989</v>
      </c>
      <c r="O12" s="7">
        <f>HY!S84</f>
        <v>57.1</v>
      </c>
      <c r="P12" s="7">
        <f>HY!T84</f>
        <v>57.6</v>
      </c>
      <c r="Q12" s="7">
        <f>HY!U84</f>
        <v>54.5</v>
      </c>
      <c r="R12" s="7">
        <f>HY!V84</f>
        <v>49.900000000000006</v>
      </c>
      <c r="S12" s="7">
        <f>HY!W84</f>
        <v>47</v>
      </c>
      <c r="T12" s="7">
        <f>HY!X84</f>
        <v>48</v>
      </c>
      <c r="U12" s="7">
        <f>HY!Y84</f>
        <v>49</v>
      </c>
      <c r="V12" s="7">
        <f>HY!Z84</f>
        <v>49.92</v>
      </c>
      <c r="W12" s="7">
        <f>HY!AA84</f>
        <v>49.49</v>
      </c>
      <c r="X12" s="7">
        <f>HY!AB84</f>
        <v>50.419200000000004</v>
      </c>
      <c r="Y12" s="7">
        <f>HY!AC84</f>
        <v>49.984900000000003</v>
      </c>
      <c r="Z12" s="7">
        <f>HY!AD84</f>
        <v>50.923392000000007</v>
      </c>
      <c r="AE12" s="29"/>
      <c r="AF12" s="7">
        <f t="shared" si="3"/>
        <v>122.93360999999999</v>
      </c>
      <c r="AG12" s="7">
        <f t="shared" si="3"/>
        <v>65.25</v>
      </c>
      <c r="AH12" s="7">
        <f t="shared" si="3"/>
        <v>121.6</v>
      </c>
      <c r="AI12" s="7">
        <f t="shared" si="3"/>
        <v>127.6</v>
      </c>
      <c r="AJ12" s="7">
        <f t="shared" si="3"/>
        <v>114.7</v>
      </c>
      <c r="AK12" s="7">
        <f t="shared" si="3"/>
        <v>104.4</v>
      </c>
      <c r="AL12" s="7">
        <f t="shared" si="3"/>
        <v>95</v>
      </c>
      <c r="AM12" s="7">
        <f t="shared" si="3"/>
        <v>98.92</v>
      </c>
      <c r="AN12" s="7">
        <f t="shared" si="3"/>
        <v>99.909199999999998</v>
      </c>
      <c r="AO12" s="7">
        <f t="shared" si="3"/>
        <v>100.90829200000002</v>
      </c>
    </row>
    <row r="13" spans="1:42">
      <c r="B13" s="111" t="str">
        <f t="shared" si="2"/>
        <v>AUCKLANDNon Gaming</v>
      </c>
      <c r="C13" s="49" t="s">
        <v>75</v>
      </c>
      <c r="D13" s="36" t="s">
        <v>72</v>
      </c>
      <c r="F13" s="7"/>
      <c r="G13" s="7">
        <f>HY!K86</f>
        <v>46.9</v>
      </c>
      <c r="H13" s="7">
        <f>HY!L86</f>
        <v>44.000000000000007</v>
      </c>
      <c r="I13" s="7">
        <f>HY!M86</f>
        <v>35</v>
      </c>
      <c r="J13" s="7">
        <f>HY!N86</f>
        <v>35.099999999999987</v>
      </c>
      <c r="K13" s="7">
        <f>HY!O86</f>
        <v>58.6</v>
      </c>
      <c r="L13" s="7">
        <f>HY!P86</f>
        <v>65.300000000000011</v>
      </c>
      <c r="M13" s="7">
        <f>HY!Q86</f>
        <v>73.7</v>
      </c>
      <c r="N13" s="7">
        <f>HY!R86</f>
        <v>78.100000000000009</v>
      </c>
      <c r="O13" s="7">
        <f>HY!S86</f>
        <v>77</v>
      </c>
      <c r="P13" s="7">
        <f>HY!T86</f>
        <v>79.400000000000006</v>
      </c>
      <c r="Q13" s="7">
        <f>HY!U86</f>
        <v>83.5</v>
      </c>
      <c r="R13" s="7">
        <f>HY!V86</f>
        <v>97.9</v>
      </c>
      <c r="S13" s="7">
        <f>HY!W86</f>
        <v>107</v>
      </c>
      <c r="T13" s="7">
        <f>HY!X86</f>
        <v>104</v>
      </c>
      <c r="U13" s="7">
        <f>HY!Y86</f>
        <v>110</v>
      </c>
      <c r="V13" s="7">
        <f>HY!Z86</f>
        <v>109.72</v>
      </c>
      <c r="W13" s="7">
        <f>HY!AA86</f>
        <v>114.4</v>
      </c>
      <c r="X13" s="7">
        <f>HY!AB86</f>
        <v>114.1088</v>
      </c>
      <c r="Y13" s="7">
        <f>HY!AC86</f>
        <v>118.976</v>
      </c>
      <c r="Z13" s="7">
        <f>HY!AD86</f>
        <v>118.673152</v>
      </c>
      <c r="AE13" s="7"/>
      <c r="AF13" s="7">
        <f t="shared" si="3"/>
        <v>90.9</v>
      </c>
      <c r="AG13" s="7">
        <f t="shared" si="3"/>
        <v>70.099999999999994</v>
      </c>
      <c r="AH13" s="7">
        <f t="shared" si="3"/>
        <v>123.9</v>
      </c>
      <c r="AI13" s="7">
        <f t="shared" si="3"/>
        <v>151.80000000000001</v>
      </c>
      <c r="AJ13" s="7">
        <f t="shared" si="3"/>
        <v>156.4</v>
      </c>
      <c r="AK13" s="7">
        <f t="shared" si="3"/>
        <v>181.4</v>
      </c>
      <c r="AL13" s="7">
        <f t="shared" si="3"/>
        <v>211</v>
      </c>
      <c r="AM13" s="7">
        <f t="shared" si="3"/>
        <v>219.72</v>
      </c>
      <c r="AN13" s="7">
        <f t="shared" si="3"/>
        <v>228.50880000000001</v>
      </c>
      <c r="AO13" s="7">
        <f t="shared" si="3"/>
        <v>237.64915200000002</v>
      </c>
    </row>
    <row r="14" spans="1:42">
      <c r="B14" s="111" t="str">
        <f t="shared" si="2"/>
        <v>AUCKLANDTotal Domestic Revenue</v>
      </c>
      <c r="C14" s="49" t="s">
        <v>1410</v>
      </c>
      <c r="D14" s="36" t="s">
        <v>72</v>
      </c>
      <c r="F14" s="7"/>
      <c r="G14" s="7">
        <f>HY!K87</f>
        <v>206.893</v>
      </c>
      <c r="H14" s="7">
        <f>HY!L87</f>
        <v>250.54409000000001</v>
      </c>
      <c r="I14" s="7">
        <f>HY!M87</f>
        <v>107.64500000000001</v>
      </c>
      <c r="J14" s="7">
        <f>HY!N87</f>
        <v>189.09</v>
      </c>
      <c r="K14" s="7">
        <f>HY!O87</f>
        <v>258.3</v>
      </c>
      <c r="L14" s="7">
        <f>HY!P87</f>
        <v>259.70000000000005</v>
      </c>
      <c r="M14" s="7">
        <f>HY!Q87</f>
        <v>280.60000000000002</v>
      </c>
      <c r="N14" s="7">
        <f>HY!R87</f>
        <v>266.09999999999997</v>
      </c>
      <c r="O14" s="7">
        <f>HY!S87</f>
        <v>258.3</v>
      </c>
      <c r="P14" s="7">
        <f>HY!T87</f>
        <v>255.99999999999994</v>
      </c>
      <c r="Q14" s="7">
        <f>HY!U87</f>
        <v>248.1</v>
      </c>
      <c r="R14" s="7">
        <f>HY!V87</f>
        <v>250.50000000000003</v>
      </c>
      <c r="S14" s="7">
        <f>HY!W87</f>
        <v>256</v>
      </c>
      <c r="T14" s="7">
        <f>HY!X87</f>
        <v>258</v>
      </c>
      <c r="U14" s="7">
        <f>HY!Y87</f>
        <v>272</v>
      </c>
      <c r="V14" s="7">
        <f>HY!Z87</f>
        <v>271.42499999999995</v>
      </c>
      <c r="W14" s="7">
        <f>HY!AA87</f>
        <v>280.31</v>
      </c>
      <c r="X14" s="7">
        <f>HY!AB87</f>
        <v>279.69775000000004</v>
      </c>
      <c r="Y14" s="7">
        <f>HY!AC87</f>
        <v>288.90469999999999</v>
      </c>
      <c r="Z14" s="7">
        <f>HY!AD87</f>
        <v>288.25383450000004</v>
      </c>
      <c r="AE14" s="7"/>
      <c r="AF14" s="7">
        <f t="shared" si="3"/>
        <v>457.43709000000001</v>
      </c>
      <c r="AG14" s="7">
        <f t="shared" si="3"/>
        <v>296.73500000000001</v>
      </c>
      <c r="AH14" s="7">
        <f t="shared" si="3"/>
        <v>518</v>
      </c>
      <c r="AI14" s="7">
        <f t="shared" si="3"/>
        <v>546.70000000000005</v>
      </c>
      <c r="AJ14" s="7">
        <f t="shared" si="3"/>
        <v>514.29999999999995</v>
      </c>
      <c r="AK14" s="7">
        <f t="shared" si="3"/>
        <v>498.6</v>
      </c>
      <c r="AL14" s="7">
        <f t="shared" si="3"/>
        <v>514</v>
      </c>
      <c r="AM14" s="7">
        <f t="shared" si="3"/>
        <v>543.42499999999995</v>
      </c>
      <c r="AN14" s="7">
        <f t="shared" si="3"/>
        <v>560.00774999999999</v>
      </c>
      <c r="AO14" s="7">
        <f t="shared" si="3"/>
        <v>577.15853450000009</v>
      </c>
    </row>
    <row r="15" spans="1:42">
      <c r="B15" s="111" t="str">
        <f t="shared" si="2"/>
        <v>AUCKLANDTotal Domestic Revenue excl. GST</v>
      </c>
      <c r="C15" s="49" t="s">
        <v>1411</v>
      </c>
      <c r="D15" s="36" t="s">
        <v>72</v>
      </c>
      <c r="F15" s="7"/>
      <c r="G15" s="7" t="e">
        <f>HY!#REF!</f>
        <v>#REF!</v>
      </c>
      <c r="H15" s="7" t="e">
        <f>HY!#REF!</f>
        <v>#REF!</v>
      </c>
      <c r="I15" s="7" t="e">
        <f>HY!#REF!</f>
        <v>#REF!</v>
      </c>
      <c r="J15" s="7" t="e">
        <f>HY!#REF!</f>
        <v>#REF!</v>
      </c>
      <c r="K15" s="7" t="e">
        <f>HY!#REF!</f>
        <v>#REF!</v>
      </c>
      <c r="L15" s="7" t="e">
        <f>HY!#REF!</f>
        <v>#REF!</v>
      </c>
      <c r="M15" s="7" t="e">
        <f>HY!#REF!</f>
        <v>#REF!</v>
      </c>
      <c r="N15" s="7" t="e">
        <f>HY!#REF!</f>
        <v>#REF!</v>
      </c>
      <c r="O15" s="7" t="e">
        <f>HY!#REF!</f>
        <v>#REF!</v>
      </c>
      <c r="P15" s="7" t="e">
        <f>HY!#REF!</f>
        <v>#REF!</v>
      </c>
      <c r="Q15" s="7" t="e">
        <f>HY!#REF!</f>
        <v>#REF!</v>
      </c>
      <c r="R15" s="7" t="e">
        <f>HY!#REF!</f>
        <v>#REF!</v>
      </c>
      <c r="S15" s="7" t="e">
        <f>HY!#REF!</f>
        <v>#REF!</v>
      </c>
      <c r="T15" s="7" t="e">
        <f>HY!#REF!</f>
        <v>#REF!</v>
      </c>
      <c r="U15" s="7" t="e">
        <f>HY!#REF!</f>
        <v>#REF!</v>
      </c>
      <c r="V15" s="7" t="e">
        <f>HY!#REF!</f>
        <v>#REF!</v>
      </c>
      <c r="W15" s="7" t="e">
        <f>HY!#REF!</f>
        <v>#REF!</v>
      </c>
      <c r="X15" s="7" t="e">
        <f>HY!#REF!</f>
        <v>#REF!</v>
      </c>
      <c r="Y15" s="7" t="e">
        <f>HY!#REF!</f>
        <v>#REF!</v>
      </c>
      <c r="Z15" s="7" t="e">
        <f>HY!#REF!</f>
        <v>#REF!</v>
      </c>
      <c r="AE15" s="7"/>
      <c r="AF15" s="7" t="e">
        <f t="shared" si="3"/>
        <v>#REF!</v>
      </c>
      <c r="AG15" s="7" t="e">
        <f t="shared" si="3"/>
        <v>#REF!</v>
      </c>
      <c r="AH15" s="7" t="e">
        <f t="shared" si="3"/>
        <v>#REF!</v>
      </c>
      <c r="AI15" s="7" t="e">
        <f t="shared" si="3"/>
        <v>#REF!</v>
      </c>
      <c r="AJ15" s="7" t="e">
        <f t="shared" si="3"/>
        <v>#REF!</v>
      </c>
      <c r="AK15" s="7" t="e">
        <f t="shared" si="3"/>
        <v>#REF!</v>
      </c>
      <c r="AL15" s="7" t="e">
        <f t="shared" si="3"/>
        <v>#REF!</v>
      </c>
      <c r="AM15" s="7" t="e">
        <f t="shared" si="3"/>
        <v>#REF!</v>
      </c>
      <c r="AN15" s="7" t="e">
        <f t="shared" si="3"/>
        <v>#REF!</v>
      </c>
      <c r="AO15" s="7" t="e">
        <f t="shared" si="3"/>
        <v>#REF!</v>
      </c>
    </row>
    <row r="16" spans="1:42">
      <c r="B16" s="111" t="str">
        <f t="shared" si="2"/>
        <v>AUCKLANDEBITDA excl. IB</v>
      </c>
      <c r="C16" s="49" t="s">
        <v>1412</v>
      </c>
      <c r="D16" s="36" t="s">
        <v>72</v>
      </c>
      <c r="F16" s="7"/>
      <c r="G16" s="7" t="e">
        <f>HY!#REF!</f>
        <v>#REF!</v>
      </c>
      <c r="H16" s="7" t="e">
        <f>HY!#REF!</f>
        <v>#REF!</v>
      </c>
      <c r="I16" s="7" t="e">
        <f>HY!#REF!</f>
        <v>#REF!</v>
      </c>
      <c r="J16" s="7" t="e">
        <f>HY!#REF!</f>
        <v>#REF!</v>
      </c>
      <c r="K16" s="7" t="e">
        <f>HY!#REF!</f>
        <v>#REF!</v>
      </c>
      <c r="L16" s="7" t="e">
        <f>HY!#REF!</f>
        <v>#REF!</v>
      </c>
      <c r="M16" s="7" t="e">
        <f>HY!#REF!</f>
        <v>#REF!</v>
      </c>
      <c r="N16" s="7" t="e">
        <f>HY!#REF!</f>
        <v>#REF!</v>
      </c>
      <c r="O16" s="7" t="e">
        <f>HY!#REF!</f>
        <v>#REF!</v>
      </c>
      <c r="P16" s="7" t="e">
        <f>HY!#REF!</f>
        <v>#REF!</v>
      </c>
      <c r="Q16" s="7" t="e">
        <f>HY!#REF!</f>
        <v>#REF!</v>
      </c>
      <c r="R16" s="7" t="e">
        <f>HY!#REF!</f>
        <v>#REF!</v>
      </c>
      <c r="S16" s="7" t="e">
        <f>HY!#REF!</f>
        <v>#REF!</v>
      </c>
      <c r="T16" s="7" t="e">
        <f>HY!#REF!</f>
        <v>#REF!</v>
      </c>
      <c r="U16" s="7" t="e">
        <f>HY!#REF!</f>
        <v>#REF!</v>
      </c>
      <c r="V16" s="7" t="e">
        <f>HY!#REF!</f>
        <v>#REF!</v>
      </c>
      <c r="W16" s="7" t="e">
        <f>HY!#REF!</f>
        <v>#REF!</v>
      </c>
      <c r="X16" s="7" t="e">
        <f>HY!#REF!</f>
        <v>#REF!</v>
      </c>
      <c r="Y16" s="7" t="e">
        <f>HY!#REF!</f>
        <v>#REF!</v>
      </c>
      <c r="Z16" s="7" t="e">
        <f>HY!#REF!</f>
        <v>#REF!</v>
      </c>
      <c r="AE16" s="7"/>
      <c r="AF16" s="7" t="e">
        <f t="shared" si="3"/>
        <v>#REF!</v>
      </c>
      <c r="AG16" s="7" t="e">
        <f t="shared" si="3"/>
        <v>#REF!</v>
      </c>
      <c r="AH16" s="7" t="e">
        <f t="shared" si="3"/>
        <v>#REF!</v>
      </c>
      <c r="AI16" s="7" t="e">
        <f t="shared" si="3"/>
        <v>#REF!</v>
      </c>
      <c r="AJ16" s="7" t="e">
        <f t="shared" si="3"/>
        <v>#REF!</v>
      </c>
      <c r="AK16" s="7" t="e">
        <f t="shared" si="3"/>
        <v>#REF!</v>
      </c>
      <c r="AL16" s="7" t="e">
        <f t="shared" si="3"/>
        <v>#REF!</v>
      </c>
      <c r="AM16" s="7" t="e">
        <f t="shared" si="3"/>
        <v>#REF!</v>
      </c>
      <c r="AN16" s="7" t="e">
        <f t="shared" si="3"/>
        <v>#REF!</v>
      </c>
      <c r="AO16" s="7" t="e">
        <f t="shared" si="3"/>
        <v>#REF!</v>
      </c>
    </row>
    <row r="17" spans="2:41">
      <c r="B17" s="111"/>
      <c r="C17" s="49"/>
      <c r="D17" s="36"/>
      <c r="F17" s="7"/>
      <c r="G17" s="7"/>
      <c r="H17" s="7"/>
      <c r="I17" s="7"/>
      <c r="J17" s="7"/>
      <c r="K17" s="7"/>
      <c r="L17" s="7"/>
      <c r="M17" s="7"/>
      <c r="N17" s="7"/>
      <c r="O17" s="7"/>
      <c r="P17" s="7"/>
      <c r="Q17" s="7"/>
      <c r="R17" s="7"/>
      <c r="S17" s="7"/>
      <c r="T17" s="7"/>
      <c r="U17" s="7"/>
      <c r="V17" s="7"/>
      <c r="W17" s="7"/>
      <c r="X17" s="7"/>
      <c r="Y17" s="7"/>
      <c r="Z17" s="7"/>
      <c r="AE17" s="7"/>
      <c r="AF17" s="7"/>
      <c r="AG17" s="7"/>
      <c r="AH17" s="7"/>
      <c r="AI17" s="7"/>
      <c r="AJ17" s="7"/>
      <c r="AK17" s="7"/>
      <c r="AL17" s="7"/>
      <c r="AM17" s="7"/>
      <c r="AN17" s="7"/>
      <c r="AO17" s="7"/>
    </row>
    <row r="18" spans="2:41">
      <c r="C18" s="208" t="s">
        <v>1363</v>
      </c>
    </row>
    <row r="19" spans="2:41">
      <c r="B19" s="111" t="str">
        <f t="shared" ref="B19:B24" si="4">$C$18&amp;C19</f>
        <v>HAMILTONSlots</v>
      </c>
      <c r="C19" s="49" t="s">
        <v>71</v>
      </c>
      <c r="D19" s="36" t="s">
        <v>72</v>
      </c>
      <c r="F19" s="7"/>
      <c r="G19" s="7" t="e">
        <f>HY!#REF!</f>
        <v>#REF!</v>
      </c>
      <c r="H19" s="7" t="e">
        <f>HY!#REF!</f>
        <v>#REF!</v>
      </c>
      <c r="I19" s="7" t="e">
        <f>HY!#REF!</f>
        <v>#REF!</v>
      </c>
      <c r="J19" s="7" t="e">
        <f>HY!#REF!</f>
        <v>#REF!</v>
      </c>
      <c r="K19" s="7" t="e">
        <f>HY!#REF!</f>
        <v>#REF!</v>
      </c>
      <c r="L19" s="7" t="e">
        <f>HY!#REF!</f>
        <v>#REF!</v>
      </c>
      <c r="M19" s="7" t="e">
        <f>HY!#REF!</f>
        <v>#REF!</v>
      </c>
      <c r="N19" s="7" t="e">
        <f>HY!#REF!</f>
        <v>#REF!</v>
      </c>
      <c r="O19" s="7" t="e">
        <f>HY!#REF!</f>
        <v>#REF!</v>
      </c>
      <c r="P19" s="7" t="e">
        <f>HY!#REF!</f>
        <v>#REF!</v>
      </c>
      <c r="Q19" s="7" t="e">
        <f>HY!#REF!</f>
        <v>#REF!</v>
      </c>
      <c r="R19" s="7" t="e">
        <f>HY!#REF!</f>
        <v>#REF!</v>
      </c>
      <c r="S19" s="7" t="e">
        <f>HY!#REF!</f>
        <v>#REF!</v>
      </c>
      <c r="T19" s="7" t="e">
        <f>HY!#REF!</f>
        <v>#REF!</v>
      </c>
      <c r="U19" s="7" t="e">
        <f>HY!#REF!</f>
        <v>#REF!</v>
      </c>
      <c r="V19" s="7" t="e">
        <f>HY!#REF!</f>
        <v>#REF!</v>
      </c>
      <c r="W19" s="7" t="e">
        <f>HY!#REF!</f>
        <v>#REF!</v>
      </c>
      <c r="X19" s="7" t="e">
        <f>HY!#REF!</f>
        <v>#REF!</v>
      </c>
      <c r="Y19" s="7" t="e">
        <f>HY!#REF!</f>
        <v>#REF!</v>
      </c>
      <c r="Z19" s="7" t="e">
        <f>HY!#REF!</f>
        <v>#REF!</v>
      </c>
      <c r="AE19" s="7"/>
      <c r="AF19" s="7" t="e">
        <f t="shared" ref="AF19:AO24" si="5">SUMIFS($G19:$Z19,$G$3:$Z$3,AF$5)</f>
        <v>#REF!</v>
      </c>
      <c r="AG19" s="7" t="e">
        <f t="shared" si="5"/>
        <v>#REF!</v>
      </c>
      <c r="AH19" s="7" t="e">
        <f t="shared" si="5"/>
        <v>#REF!</v>
      </c>
      <c r="AI19" s="7" t="e">
        <f t="shared" si="5"/>
        <v>#REF!</v>
      </c>
      <c r="AJ19" s="7" t="e">
        <f t="shared" si="5"/>
        <v>#REF!</v>
      </c>
      <c r="AK19" s="7" t="e">
        <f t="shared" si="5"/>
        <v>#REF!</v>
      </c>
      <c r="AL19" s="7" t="e">
        <f t="shared" si="5"/>
        <v>#REF!</v>
      </c>
      <c r="AM19" s="7" t="e">
        <f t="shared" si="5"/>
        <v>#REF!</v>
      </c>
      <c r="AN19" s="7" t="e">
        <f t="shared" si="5"/>
        <v>#REF!</v>
      </c>
      <c r="AO19" s="7" t="e">
        <f t="shared" si="5"/>
        <v>#REF!</v>
      </c>
    </row>
    <row r="20" spans="2:41">
      <c r="B20" s="111" t="str">
        <f t="shared" si="4"/>
        <v>HAMILTONTables</v>
      </c>
      <c r="C20" s="49" t="s">
        <v>73</v>
      </c>
      <c r="D20" s="36" t="s">
        <v>72</v>
      </c>
      <c r="F20" s="7"/>
      <c r="G20" s="7" t="e">
        <f>HY!#REF!</f>
        <v>#REF!</v>
      </c>
      <c r="H20" s="7" t="e">
        <f>HY!#REF!</f>
        <v>#REF!</v>
      </c>
      <c r="I20" s="7" t="e">
        <f>HY!#REF!</f>
        <v>#REF!</v>
      </c>
      <c r="J20" s="7" t="e">
        <f>HY!#REF!</f>
        <v>#REF!</v>
      </c>
      <c r="K20" s="7" t="e">
        <f>HY!#REF!</f>
        <v>#REF!</v>
      </c>
      <c r="L20" s="7" t="e">
        <f>HY!#REF!</f>
        <v>#REF!</v>
      </c>
      <c r="M20" s="7" t="e">
        <f>HY!#REF!</f>
        <v>#REF!</v>
      </c>
      <c r="N20" s="7" t="e">
        <f>HY!#REF!</f>
        <v>#REF!</v>
      </c>
      <c r="O20" s="7" t="e">
        <f>HY!#REF!</f>
        <v>#REF!</v>
      </c>
      <c r="P20" s="7" t="e">
        <f>HY!#REF!</f>
        <v>#REF!</v>
      </c>
      <c r="Q20" s="7" t="e">
        <f>HY!#REF!</f>
        <v>#REF!</v>
      </c>
      <c r="R20" s="7" t="e">
        <f>HY!#REF!</f>
        <v>#REF!</v>
      </c>
      <c r="S20" s="7" t="e">
        <f>HY!#REF!</f>
        <v>#REF!</v>
      </c>
      <c r="T20" s="7" t="e">
        <f>HY!#REF!</f>
        <v>#REF!</v>
      </c>
      <c r="U20" s="7" t="e">
        <f>HY!#REF!</f>
        <v>#REF!</v>
      </c>
      <c r="V20" s="7" t="e">
        <f>HY!#REF!</f>
        <v>#REF!</v>
      </c>
      <c r="W20" s="7" t="e">
        <f>HY!#REF!</f>
        <v>#REF!</v>
      </c>
      <c r="X20" s="7" t="e">
        <f>HY!#REF!</f>
        <v>#REF!</v>
      </c>
      <c r="Y20" s="7" t="e">
        <f>HY!#REF!</f>
        <v>#REF!</v>
      </c>
      <c r="Z20" s="7" t="e">
        <f>HY!#REF!</f>
        <v>#REF!</v>
      </c>
      <c r="AE20" s="7"/>
      <c r="AF20" s="7" t="e">
        <f t="shared" si="5"/>
        <v>#REF!</v>
      </c>
      <c r="AG20" s="7" t="e">
        <f t="shared" si="5"/>
        <v>#REF!</v>
      </c>
      <c r="AH20" s="7" t="e">
        <f t="shared" si="5"/>
        <v>#REF!</v>
      </c>
      <c r="AI20" s="7" t="e">
        <f t="shared" si="5"/>
        <v>#REF!</v>
      </c>
      <c r="AJ20" s="7" t="e">
        <f t="shared" si="5"/>
        <v>#REF!</v>
      </c>
      <c r="AK20" s="7" t="e">
        <f t="shared" si="5"/>
        <v>#REF!</v>
      </c>
      <c r="AL20" s="7" t="e">
        <f t="shared" si="5"/>
        <v>#REF!</v>
      </c>
      <c r="AM20" s="7" t="e">
        <f t="shared" si="5"/>
        <v>#REF!</v>
      </c>
      <c r="AN20" s="7" t="e">
        <f t="shared" si="5"/>
        <v>#REF!</v>
      </c>
      <c r="AO20" s="7" t="e">
        <f t="shared" si="5"/>
        <v>#REF!</v>
      </c>
    </row>
    <row r="21" spans="2:41">
      <c r="B21" s="111" t="str">
        <f t="shared" si="4"/>
        <v>HAMILTONNon Gaming</v>
      </c>
      <c r="C21" s="49" t="s">
        <v>75</v>
      </c>
      <c r="D21" s="36" t="s">
        <v>72</v>
      </c>
      <c r="F21" s="7"/>
      <c r="G21" s="7" t="e">
        <f>HY!#REF!</f>
        <v>#REF!</v>
      </c>
      <c r="H21" s="7" t="e">
        <f>HY!#REF!</f>
        <v>#REF!</v>
      </c>
      <c r="I21" s="7" t="e">
        <f>HY!#REF!</f>
        <v>#REF!</v>
      </c>
      <c r="J21" s="7" t="e">
        <f>HY!#REF!</f>
        <v>#REF!</v>
      </c>
      <c r="K21" s="7" t="e">
        <f>HY!#REF!</f>
        <v>#REF!</v>
      </c>
      <c r="L21" s="7" t="e">
        <f>HY!#REF!</f>
        <v>#REF!</v>
      </c>
      <c r="M21" s="7" t="e">
        <f>HY!#REF!</f>
        <v>#REF!</v>
      </c>
      <c r="N21" s="7" t="e">
        <f>HY!#REF!</f>
        <v>#REF!</v>
      </c>
      <c r="O21" s="7" t="e">
        <f>HY!#REF!</f>
        <v>#REF!</v>
      </c>
      <c r="P21" s="7" t="e">
        <f>HY!#REF!</f>
        <v>#REF!</v>
      </c>
      <c r="Q21" s="7" t="e">
        <f>HY!#REF!</f>
        <v>#REF!</v>
      </c>
      <c r="R21" s="7" t="e">
        <f>HY!#REF!</f>
        <v>#REF!</v>
      </c>
      <c r="S21" s="7" t="e">
        <f>HY!#REF!</f>
        <v>#REF!</v>
      </c>
      <c r="T21" s="7" t="e">
        <f>HY!#REF!</f>
        <v>#REF!</v>
      </c>
      <c r="U21" s="7" t="e">
        <f>HY!#REF!</f>
        <v>#REF!</v>
      </c>
      <c r="V21" s="7" t="e">
        <f>HY!#REF!</f>
        <v>#REF!</v>
      </c>
      <c r="W21" s="7" t="e">
        <f>HY!#REF!</f>
        <v>#REF!</v>
      </c>
      <c r="X21" s="7" t="e">
        <f>HY!#REF!</f>
        <v>#REF!</v>
      </c>
      <c r="Y21" s="7" t="e">
        <f>HY!#REF!</f>
        <v>#REF!</v>
      </c>
      <c r="Z21" s="7" t="e">
        <f>HY!#REF!</f>
        <v>#REF!</v>
      </c>
      <c r="AE21" s="7"/>
      <c r="AF21" s="7" t="e">
        <f t="shared" si="5"/>
        <v>#REF!</v>
      </c>
      <c r="AG21" s="7" t="e">
        <f t="shared" si="5"/>
        <v>#REF!</v>
      </c>
      <c r="AH21" s="7" t="e">
        <f t="shared" si="5"/>
        <v>#REF!</v>
      </c>
      <c r="AI21" s="7" t="e">
        <f t="shared" si="5"/>
        <v>#REF!</v>
      </c>
      <c r="AJ21" s="7" t="e">
        <f t="shared" si="5"/>
        <v>#REF!</v>
      </c>
      <c r="AK21" s="7" t="e">
        <f t="shared" si="5"/>
        <v>#REF!</v>
      </c>
      <c r="AL21" s="7" t="e">
        <f t="shared" si="5"/>
        <v>#REF!</v>
      </c>
      <c r="AM21" s="7" t="e">
        <f t="shared" si="5"/>
        <v>#REF!</v>
      </c>
      <c r="AN21" s="7" t="e">
        <f t="shared" si="5"/>
        <v>#REF!</v>
      </c>
      <c r="AO21" s="7" t="e">
        <f t="shared" si="5"/>
        <v>#REF!</v>
      </c>
    </row>
    <row r="22" spans="2:41">
      <c r="B22" s="111" t="str">
        <f t="shared" si="4"/>
        <v>HAMILTONTotal Domestic Revenue</v>
      </c>
      <c r="C22" s="49" t="s">
        <v>1410</v>
      </c>
      <c r="D22" s="36" t="s">
        <v>72</v>
      </c>
      <c r="F22" s="7"/>
      <c r="G22" s="7" t="e">
        <f>HY!#REF!</f>
        <v>#REF!</v>
      </c>
      <c r="H22" s="7" t="e">
        <f>HY!#REF!</f>
        <v>#REF!</v>
      </c>
      <c r="I22" s="7" t="e">
        <f>HY!#REF!</f>
        <v>#REF!</v>
      </c>
      <c r="J22" s="7" t="e">
        <f>HY!#REF!</f>
        <v>#REF!</v>
      </c>
      <c r="K22" s="7" t="e">
        <f>HY!#REF!</f>
        <v>#REF!</v>
      </c>
      <c r="L22" s="7" t="e">
        <f>HY!#REF!</f>
        <v>#REF!</v>
      </c>
      <c r="M22" s="7" t="e">
        <f>HY!#REF!</f>
        <v>#REF!</v>
      </c>
      <c r="N22" s="7" t="e">
        <f>HY!#REF!</f>
        <v>#REF!</v>
      </c>
      <c r="O22" s="7" t="e">
        <f>HY!#REF!</f>
        <v>#REF!</v>
      </c>
      <c r="P22" s="7" t="e">
        <f>HY!#REF!</f>
        <v>#REF!</v>
      </c>
      <c r="Q22" s="7" t="e">
        <f>HY!#REF!</f>
        <v>#REF!</v>
      </c>
      <c r="R22" s="7" t="e">
        <f>HY!#REF!</f>
        <v>#REF!</v>
      </c>
      <c r="S22" s="7" t="e">
        <f>HY!#REF!</f>
        <v>#REF!</v>
      </c>
      <c r="T22" s="7" t="e">
        <f>HY!#REF!</f>
        <v>#REF!</v>
      </c>
      <c r="U22" s="7" t="e">
        <f>HY!#REF!</f>
        <v>#REF!</v>
      </c>
      <c r="V22" s="7" t="e">
        <f>HY!#REF!</f>
        <v>#REF!</v>
      </c>
      <c r="W22" s="7" t="e">
        <f>HY!#REF!</f>
        <v>#REF!</v>
      </c>
      <c r="X22" s="7" t="e">
        <f>HY!#REF!</f>
        <v>#REF!</v>
      </c>
      <c r="Y22" s="7" t="e">
        <f>HY!#REF!</f>
        <v>#REF!</v>
      </c>
      <c r="Z22" s="7" t="e">
        <f>HY!#REF!</f>
        <v>#REF!</v>
      </c>
      <c r="AE22" s="7"/>
      <c r="AF22" s="7" t="e">
        <f t="shared" si="5"/>
        <v>#REF!</v>
      </c>
      <c r="AG22" s="7" t="e">
        <f t="shared" si="5"/>
        <v>#REF!</v>
      </c>
      <c r="AH22" s="7" t="e">
        <f t="shared" si="5"/>
        <v>#REF!</v>
      </c>
      <c r="AI22" s="7" t="e">
        <f t="shared" si="5"/>
        <v>#REF!</v>
      </c>
      <c r="AJ22" s="7" t="e">
        <f t="shared" si="5"/>
        <v>#REF!</v>
      </c>
      <c r="AK22" s="7" t="e">
        <f t="shared" si="5"/>
        <v>#REF!</v>
      </c>
      <c r="AL22" s="7" t="e">
        <f t="shared" si="5"/>
        <v>#REF!</v>
      </c>
      <c r="AM22" s="7" t="e">
        <f t="shared" si="5"/>
        <v>#REF!</v>
      </c>
      <c r="AN22" s="7" t="e">
        <f t="shared" si="5"/>
        <v>#REF!</v>
      </c>
      <c r="AO22" s="7" t="e">
        <f t="shared" si="5"/>
        <v>#REF!</v>
      </c>
    </row>
    <row r="23" spans="2:41">
      <c r="B23" s="111" t="str">
        <f t="shared" si="4"/>
        <v>HAMILTONTotal Domestic Revenue excl. GST</v>
      </c>
      <c r="C23" s="49" t="s">
        <v>1411</v>
      </c>
      <c r="D23" s="36" t="s">
        <v>72</v>
      </c>
      <c r="F23" s="7"/>
      <c r="G23" s="7" t="e">
        <f>HY!#REF!</f>
        <v>#REF!</v>
      </c>
      <c r="H23" s="7" t="e">
        <f>HY!#REF!</f>
        <v>#REF!</v>
      </c>
      <c r="I23" s="7" t="e">
        <f>HY!#REF!</f>
        <v>#REF!</v>
      </c>
      <c r="J23" s="7" t="e">
        <f>HY!#REF!</f>
        <v>#REF!</v>
      </c>
      <c r="K23" s="7" t="e">
        <f>HY!#REF!</f>
        <v>#REF!</v>
      </c>
      <c r="L23" s="7" t="e">
        <f>HY!#REF!</f>
        <v>#REF!</v>
      </c>
      <c r="M23" s="7" t="e">
        <f>HY!#REF!</f>
        <v>#REF!</v>
      </c>
      <c r="N23" s="7" t="e">
        <f>HY!#REF!</f>
        <v>#REF!</v>
      </c>
      <c r="O23" s="7" t="e">
        <f>HY!#REF!</f>
        <v>#REF!</v>
      </c>
      <c r="P23" s="7" t="e">
        <f>HY!#REF!</f>
        <v>#REF!</v>
      </c>
      <c r="Q23" s="7" t="e">
        <f>HY!#REF!</f>
        <v>#REF!</v>
      </c>
      <c r="R23" s="7" t="e">
        <f>HY!#REF!</f>
        <v>#REF!</v>
      </c>
      <c r="S23" s="7" t="e">
        <f>HY!#REF!</f>
        <v>#REF!</v>
      </c>
      <c r="T23" s="7" t="e">
        <f>HY!#REF!</f>
        <v>#REF!</v>
      </c>
      <c r="U23" s="7" t="e">
        <f>HY!#REF!</f>
        <v>#REF!</v>
      </c>
      <c r="V23" s="7" t="e">
        <f>HY!#REF!</f>
        <v>#REF!</v>
      </c>
      <c r="W23" s="7" t="e">
        <f>HY!#REF!</f>
        <v>#REF!</v>
      </c>
      <c r="X23" s="7" t="e">
        <f>HY!#REF!</f>
        <v>#REF!</v>
      </c>
      <c r="Y23" s="7" t="e">
        <f>HY!#REF!</f>
        <v>#REF!</v>
      </c>
      <c r="Z23" s="7" t="e">
        <f>HY!#REF!</f>
        <v>#REF!</v>
      </c>
      <c r="AE23" s="7"/>
      <c r="AF23" s="7" t="e">
        <f t="shared" si="5"/>
        <v>#REF!</v>
      </c>
      <c r="AG23" s="7" t="e">
        <f t="shared" si="5"/>
        <v>#REF!</v>
      </c>
      <c r="AH23" s="7" t="e">
        <f t="shared" si="5"/>
        <v>#REF!</v>
      </c>
      <c r="AI23" s="7" t="e">
        <f t="shared" si="5"/>
        <v>#REF!</v>
      </c>
      <c r="AJ23" s="7" t="e">
        <f t="shared" si="5"/>
        <v>#REF!</v>
      </c>
      <c r="AK23" s="7" t="e">
        <f t="shared" si="5"/>
        <v>#REF!</v>
      </c>
      <c r="AL23" s="7" t="e">
        <f t="shared" si="5"/>
        <v>#REF!</v>
      </c>
      <c r="AM23" s="7" t="e">
        <f t="shared" si="5"/>
        <v>#REF!</v>
      </c>
      <c r="AN23" s="7" t="e">
        <f t="shared" si="5"/>
        <v>#REF!</v>
      </c>
      <c r="AO23" s="7" t="e">
        <f t="shared" si="5"/>
        <v>#REF!</v>
      </c>
    </row>
    <row r="24" spans="2:41">
      <c r="B24" s="111" t="str">
        <f t="shared" si="4"/>
        <v>HAMILTONEBITDA excl. IB</v>
      </c>
      <c r="C24" s="49" t="s">
        <v>1412</v>
      </c>
      <c r="D24" s="36" t="s">
        <v>72</v>
      </c>
      <c r="F24" s="7"/>
      <c r="G24" s="7" t="e">
        <f>HY!#REF!</f>
        <v>#REF!</v>
      </c>
      <c r="H24" s="7" t="e">
        <f>HY!#REF!</f>
        <v>#REF!</v>
      </c>
      <c r="I24" s="7" t="e">
        <f>HY!#REF!</f>
        <v>#REF!</v>
      </c>
      <c r="J24" s="7" t="e">
        <f>HY!#REF!</f>
        <v>#REF!</v>
      </c>
      <c r="K24" s="7" t="e">
        <f>HY!#REF!</f>
        <v>#REF!</v>
      </c>
      <c r="L24" s="7" t="e">
        <f>HY!#REF!</f>
        <v>#REF!</v>
      </c>
      <c r="M24" s="7" t="e">
        <f>HY!#REF!</f>
        <v>#REF!</v>
      </c>
      <c r="N24" s="7" t="e">
        <f>HY!#REF!</f>
        <v>#REF!</v>
      </c>
      <c r="O24" s="7" t="e">
        <f>HY!#REF!</f>
        <v>#REF!</v>
      </c>
      <c r="P24" s="7" t="e">
        <f>HY!#REF!</f>
        <v>#REF!</v>
      </c>
      <c r="Q24" s="7" t="e">
        <f>HY!#REF!</f>
        <v>#REF!</v>
      </c>
      <c r="R24" s="7" t="e">
        <f>HY!#REF!</f>
        <v>#REF!</v>
      </c>
      <c r="S24" s="7" t="e">
        <f>HY!#REF!</f>
        <v>#REF!</v>
      </c>
      <c r="T24" s="7" t="e">
        <f>HY!#REF!</f>
        <v>#REF!</v>
      </c>
      <c r="U24" s="7" t="e">
        <f>HY!#REF!</f>
        <v>#REF!</v>
      </c>
      <c r="V24" s="7" t="e">
        <f>HY!#REF!</f>
        <v>#REF!</v>
      </c>
      <c r="W24" s="7" t="e">
        <f>HY!#REF!</f>
        <v>#REF!</v>
      </c>
      <c r="X24" s="7" t="e">
        <f>HY!#REF!</f>
        <v>#REF!</v>
      </c>
      <c r="Y24" s="7" t="e">
        <f>HY!#REF!</f>
        <v>#REF!</v>
      </c>
      <c r="Z24" s="7" t="e">
        <f>HY!#REF!</f>
        <v>#REF!</v>
      </c>
      <c r="AE24" s="7"/>
      <c r="AF24" s="7" t="e">
        <f t="shared" si="5"/>
        <v>#REF!</v>
      </c>
      <c r="AG24" s="7" t="e">
        <f t="shared" si="5"/>
        <v>#REF!</v>
      </c>
      <c r="AH24" s="7" t="e">
        <f t="shared" si="5"/>
        <v>#REF!</v>
      </c>
      <c r="AI24" s="7" t="e">
        <f t="shared" si="5"/>
        <v>#REF!</v>
      </c>
      <c r="AJ24" s="7" t="e">
        <f t="shared" si="5"/>
        <v>#REF!</v>
      </c>
      <c r="AK24" s="7" t="e">
        <f t="shared" si="5"/>
        <v>#REF!</v>
      </c>
      <c r="AL24" s="7" t="e">
        <f t="shared" si="5"/>
        <v>#REF!</v>
      </c>
      <c r="AM24" s="7" t="e">
        <f t="shared" si="5"/>
        <v>#REF!</v>
      </c>
      <c r="AN24" s="7" t="e">
        <f t="shared" si="5"/>
        <v>#REF!</v>
      </c>
      <c r="AO24" s="7" t="e">
        <f t="shared" si="5"/>
        <v>#REF!</v>
      </c>
    </row>
    <row r="26" spans="2:41">
      <c r="C26" s="208" t="s">
        <v>1370</v>
      </c>
    </row>
    <row r="27" spans="2:41">
      <c r="B27" s="111" t="str">
        <f t="shared" ref="B27:B32" si="6">$C$26&amp;C27</f>
        <v>QUEENSTOWNSlots</v>
      </c>
      <c r="C27" s="49" t="s">
        <v>71</v>
      </c>
      <c r="D27" s="36" t="s">
        <v>72</v>
      </c>
      <c r="G27" s="7" t="e">
        <f>HY!#REF!</f>
        <v>#REF!</v>
      </c>
      <c r="H27" s="7" t="e">
        <f>HY!#REF!</f>
        <v>#REF!</v>
      </c>
      <c r="I27" s="7" t="e">
        <f>HY!#REF!</f>
        <v>#REF!</v>
      </c>
      <c r="J27" s="7" t="e">
        <f>HY!#REF!</f>
        <v>#REF!</v>
      </c>
      <c r="K27" s="7" t="e">
        <f>HY!#REF!</f>
        <v>#REF!</v>
      </c>
      <c r="L27" s="7" t="e">
        <f>HY!#REF!</f>
        <v>#REF!</v>
      </c>
      <c r="M27" s="7" t="e">
        <f>HY!#REF!</f>
        <v>#REF!</v>
      </c>
      <c r="N27" s="7" t="e">
        <f>HY!#REF!</f>
        <v>#REF!</v>
      </c>
      <c r="O27" s="7" t="e">
        <f>HY!#REF!</f>
        <v>#REF!</v>
      </c>
      <c r="P27" s="7" t="e">
        <f>HY!#REF!</f>
        <v>#REF!</v>
      </c>
      <c r="Q27" s="7" t="e">
        <f>HY!#REF!</f>
        <v>#REF!</v>
      </c>
      <c r="R27" s="7" t="e">
        <f>HY!#REF!</f>
        <v>#REF!</v>
      </c>
      <c r="S27" s="7" t="e">
        <f>HY!#REF!</f>
        <v>#REF!</v>
      </c>
      <c r="T27" s="7" t="e">
        <f>HY!#REF!</f>
        <v>#REF!</v>
      </c>
      <c r="U27" s="7" t="e">
        <f>HY!#REF!</f>
        <v>#REF!</v>
      </c>
      <c r="V27" s="7" t="e">
        <f>HY!#REF!</f>
        <v>#REF!</v>
      </c>
      <c r="W27" s="7" t="e">
        <f>HY!#REF!</f>
        <v>#REF!</v>
      </c>
      <c r="X27" s="7" t="e">
        <f>HY!#REF!</f>
        <v>#REF!</v>
      </c>
      <c r="Y27" s="7" t="e">
        <f>HY!#REF!</f>
        <v>#REF!</v>
      </c>
      <c r="Z27" s="7" t="e">
        <f>HY!#REF!</f>
        <v>#REF!</v>
      </c>
      <c r="AF27" s="7" t="e">
        <f t="shared" ref="AF27:AO32" si="7">SUMIFS($G27:$Z27,$G$3:$Z$3,AF$5)</f>
        <v>#REF!</v>
      </c>
      <c r="AG27" s="7" t="e">
        <f t="shared" si="7"/>
        <v>#REF!</v>
      </c>
      <c r="AH27" s="7" t="e">
        <f t="shared" si="7"/>
        <v>#REF!</v>
      </c>
      <c r="AI27" s="7" t="e">
        <f t="shared" si="7"/>
        <v>#REF!</v>
      </c>
      <c r="AJ27" s="7" t="e">
        <f t="shared" si="7"/>
        <v>#REF!</v>
      </c>
      <c r="AK27" s="7" t="e">
        <f t="shared" si="7"/>
        <v>#REF!</v>
      </c>
      <c r="AL27" s="7" t="e">
        <f t="shared" si="7"/>
        <v>#REF!</v>
      </c>
      <c r="AM27" s="7" t="e">
        <f t="shared" si="7"/>
        <v>#REF!</v>
      </c>
      <c r="AN27" s="7" t="e">
        <f t="shared" si="7"/>
        <v>#REF!</v>
      </c>
      <c r="AO27" s="7" t="e">
        <f t="shared" si="7"/>
        <v>#REF!</v>
      </c>
    </row>
    <row r="28" spans="2:41">
      <c r="B28" s="111" t="str">
        <f t="shared" si="6"/>
        <v>QUEENSTOWNTables</v>
      </c>
      <c r="C28" s="49" t="s">
        <v>73</v>
      </c>
      <c r="D28" s="36" t="s">
        <v>72</v>
      </c>
      <c r="G28" s="7" t="e">
        <f>HY!#REF!</f>
        <v>#REF!</v>
      </c>
      <c r="H28" s="7" t="e">
        <f>HY!#REF!</f>
        <v>#REF!</v>
      </c>
      <c r="I28" s="7" t="e">
        <f>HY!#REF!</f>
        <v>#REF!</v>
      </c>
      <c r="J28" s="7" t="e">
        <f>HY!#REF!</f>
        <v>#REF!</v>
      </c>
      <c r="K28" s="7" t="e">
        <f>HY!#REF!</f>
        <v>#REF!</v>
      </c>
      <c r="L28" s="7" t="e">
        <f>HY!#REF!</f>
        <v>#REF!</v>
      </c>
      <c r="M28" s="7" t="e">
        <f>HY!#REF!</f>
        <v>#REF!</v>
      </c>
      <c r="N28" s="7" t="e">
        <f>HY!#REF!</f>
        <v>#REF!</v>
      </c>
      <c r="O28" s="7" t="e">
        <f>HY!#REF!</f>
        <v>#REF!</v>
      </c>
      <c r="P28" s="7" t="e">
        <f>HY!#REF!</f>
        <v>#REF!</v>
      </c>
      <c r="Q28" s="7" t="e">
        <f>HY!#REF!</f>
        <v>#REF!</v>
      </c>
      <c r="R28" s="7" t="e">
        <f>HY!#REF!</f>
        <v>#REF!</v>
      </c>
      <c r="S28" s="7" t="e">
        <f>HY!#REF!</f>
        <v>#REF!</v>
      </c>
      <c r="T28" s="7" t="e">
        <f>HY!#REF!</f>
        <v>#REF!</v>
      </c>
      <c r="U28" s="7" t="e">
        <f>HY!#REF!</f>
        <v>#REF!</v>
      </c>
      <c r="V28" s="7" t="e">
        <f>HY!#REF!</f>
        <v>#REF!</v>
      </c>
      <c r="W28" s="7" t="e">
        <f>HY!#REF!</f>
        <v>#REF!</v>
      </c>
      <c r="X28" s="7" t="e">
        <f>HY!#REF!</f>
        <v>#REF!</v>
      </c>
      <c r="Y28" s="7" t="e">
        <f>HY!#REF!</f>
        <v>#REF!</v>
      </c>
      <c r="Z28" s="7" t="e">
        <f>HY!#REF!</f>
        <v>#REF!</v>
      </c>
      <c r="AF28" s="7" t="e">
        <f t="shared" si="7"/>
        <v>#REF!</v>
      </c>
      <c r="AG28" s="7" t="e">
        <f t="shared" si="7"/>
        <v>#REF!</v>
      </c>
      <c r="AH28" s="7" t="e">
        <f t="shared" si="7"/>
        <v>#REF!</v>
      </c>
      <c r="AI28" s="7" t="e">
        <f t="shared" si="7"/>
        <v>#REF!</v>
      </c>
      <c r="AJ28" s="7" t="e">
        <f t="shared" si="7"/>
        <v>#REF!</v>
      </c>
      <c r="AK28" s="7" t="e">
        <f t="shared" si="7"/>
        <v>#REF!</v>
      </c>
      <c r="AL28" s="7" t="e">
        <f t="shared" si="7"/>
        <v>#REF!</v>
      </c>
      <c r="AM28" s="7" t="e">
        <f t="shared" si="7"/>
        <v>#REF!</v>
      </c>
      <c r="AN28" s="7" t="e">
        <f t="shared" si="7"/>
        <v>#REF!</v>
      </c>
      <c r="AO28" s="7" t="e">
        <f t="shared" si="7"/>
        <v>#REF!</v>
      </c>
    </row>
    <row r="29" spans="2:41">
      <c r="B29" s="111" t="str">
        <f t="shared" si="6"/>
        <v>QUEENSTOWNNon Gaming</v>
      </c>
      <c r="C29" s="49" t="s">
        <v>75</v>
      </c>
      <c r="D29" s="36" t="s">
        <v>72</v>
      </c>
      <c r="G29" s="7" t="e">
        <f>HY!#REF!</f>
        <v>#REF!</v>
      </c>
      <c r="H29" s="7" t="e">
        <f>HY!#REF!</f>
        <v>#REF!</v>
      </c>
      <c r="I29" s="7" t="e">
        <f>HY!#REF!</f>
        <v>#REF!</v>
      </c>
      <c r="J29" s="7" t="e">
        <f>HY!#REF!</f>
        <v>#REF!</v>
      </c>
      <c r="K29" s="7" t="e">
        <f>HY!#REF!</f>
        <v>#REF!</v>
      </c>
      <c r="L29" s="7" t="e">
        <f>HY!#REF!</f>
        <v>#REF!</v>
      </c>
      <c r="M29" s="7" t="e">
        <f>HY!#REF!</f>
        <v>#REF!</v>
      </c>
      <c r="N29" s="7" t="e">
        <f>HY!#REF!</f>
        <v>#REF!</v>
      </c>
      <c r="O29" s="7" t="e">
        <f>HY!#REF!</f>
        <v>#REF!</v>
      </c>
      <c r="P29" s="7" t="e">
        <f>HY!#REF!</f>
        <v>#REF!</v>
      </c>
      <c r="Q29" s="7" t="e">
        <f>HY!#REF!</f>
        <v>#REF!</v>
      </c>
      <c r="R29" s="7" t="e">
        <f>HY!#REF!</f>
        <v>#REF!</v>
      </c>
      <c r="S29" s="7" t="e">
        <f>HY!#REF!</f>
        <v>#REF!</v>
      </c>
      <c r="T29" s="7" t="e">
        <f>HY!#REF!</f>
        <v>#REF!</v>
      </c>
      <c r="U29" s="7" t="e">
        <f>HY!#REF!</f>
        <v>#REF!</v>
      </c>
      <c r="V29" s="7" t="e">
        <f>HY!#REF!</f>
        <v>#REF!</v>
      </c>
      <c r="W29" s="7" t="e">
        <f>HY!#REF!</f>
        <v>#REF!</v>
      </c>
      <c r="X29" s="7" t="e">
        <f>HY!#REF!</f>
        <v>#REF!</v>
      </c>
      <c r="Y29" s="7" t="e">
        <f>HY!#REF!</f>
        <v>#REF!</v>
      </c>
      <c r="Z29" s="7" t="e">
        <f>HY!#REF!</f>
        <v>#REF!</v>
      </c>
      <c r="AF29" s="7" t="e">
        <f t="shared" si="7"/>
        <v>#REF!</v>
      </c>
      <c r="AG29" s="7" t="e">
        <f t="shared" si="7"/>
        <v>#REF!</v>
      </c>
      <c r="AH29" s="7" t="e">
        <f t="shared" si="7"/>
        <v>#REF!</v>
      </c>
      <c r="AI29" s="7" t="e">
        <f t="shared" si="7"/>
        <v>#REF!</v>
      </c>
      <c r="AJ29" s="7" t="e">
        <f t="shared" si="7"/>
        <v>#REF!</v>
      </c>
      <c r="AK29" s="7" t="e">
        <f t="shared" si="7"/>
        <v>#REF!</v>
      </c>
      <c r="AL29" s="7" t="e">
        <f t="shared" si="7"/>
        <v>#REF!</v>
      </c>
      <c r="AM29" s="7" t="e">
        <f t="shared" si="7"/>
        <v>#REF!</v>
      </c>
      <c r="AN29" s="7" t="e">
        <f t="shared" si="7"/>
        <v>#REF!</v>
      </c>
      <c r="AO29" s="7" t="e">
        <f t="shared" si="7"/>
        <v>#REF!</v>
      </c>
    </row>
    <row r="30" spans="2:41">
      <c r="B30" s="111" t="str">
        <f t="shared" si="6"/>
        <v>QUEENSTOWNTotal Domestic Revenue</v>
      </c>
      <c r="C30" s="49" t="s">
        <v>1410</v>
      </c>
      <c r="D30" s="36" t="s">
        <v>72</v>
      </c>
      <c r="G30" s="7" t="e">
        <f>HY!#REF!</f>
        <v>#REF!</v>
      </c>
      <c r="H30" s="7" t="e">
        <f>HY!#REF!</f>
        <v>#REF!</v>
      </c>
      <c r="I30" s="7" t="e">
        <f>HY!#REF!</f>
        <v>#REF!</v>
      </c>
      <c r="J30" s="7" t="e">
        <f>HY!#REF!</f>
        <v>#REF!</v>
      </c>
      <c r="K30" s="7" t="e">
        <f>HY!#REF!</f>
        <v>#REF!</v>
      </c>
      <c r="L30" s="7" t="e">
        <f>HY!#REF!</f>
        <v>#REF!</v>
      </c>
      <c r="M30" s="7" t="e">
        <f>HY!#REF!</f>
        <v>#REF!</v>
      </c>
      <c r="N30" s="7" t="e">
        <f>HY!#REF!</f>
        <v>#REF!</v>
      </c>
      <c r="O30" s="7" t="e">
        <f>HY!#REF!</f>
        <v>#REF!</v>
      </c>
      <c r="P30" s="7" t="e">
        <f>HY!#REF!</f>
        <v>#REF!</v>
      </c>
      <c r="Q30" s="7" t="e">
        <f>HY!#REF!</f>
        <v>#REF!</v>
      </c>
      <c r="R30" s="7" t="e">
        <f>HY!#REF!</f>
        <v>#REF!</v>
      </c>
      <c r="S30" s="7" t="e">
        <f>HY!#REF!</f>
        <v>#REF!</v>
      </c>
      <c r="T30" s="7" t="e">
        <f>HY!#REF!</f>
        <v>#REF!</v>
      </c>
      <c r="U30" s="7" t="e">
        <f>HY!#REF!</f>
        <v>#REF!</v>
      </c>
      <c r="V30" s="7" t="e">
        <f>HY!#REF!</f>
        <v>#REF!</v>
      </c>
      <c r="W30" s="7" t="e">
        <f>HY!#REF!</f>
        <v>#REF!</v>
      </c>
      <c r="X30" s="7" t="e">
        <f>HY!#REF!</f>
        <v>#REF!</v>
      </c>
      <c r="Y30" s="7" t="e">
        <f>HY!#REF!</f>
        <v>#REF!</v>
      </c>
      <c r="Z30" s="7" t="e">
        <f>HY!#REF!</f>
        <v>#REF!</v>
      </c>
      <c r="AF30" s="7" t="e">
        <f t="shared" si="7"/>
        <v>#REF!</v>
      </c>
      <c r="AG30" s="7" t="e">
        <f t="shared" si="7"/>
        <v>#REF!</v>
      </c>
      <c r="AH30" s="7" t="e">
        <f t="shared" si="7"/>
        <v>#REF!</v>
      </c>
      <c r="AI30" s="7" t="e">
        <f t="shared" si="7"/>
        <v>#REF!</v>
      </c>
      <c r="AJ30" s="7" t="e">
        <f t="shared" si="7"/>
        <v>#REF!</v>
      </c>
      <c r="AK30" s="7" t="e">
        <f t="shared" si="7"/>
        <v>#REF!</v>
      </c>
      <c r="AL30" s="7" t="e">
        <f t="shared" si="7"/>
        <v>#REF!</v>
      </c>
      <c r="AM30" s="7" t="e">
        <f t="shared" si="7"/>
        <v>#REF!</v>
      </c>
      <c r="AN30" s="7" t="e">
        <f t="shared" si="7"/>
        <v>#REF!</v>
      </c>
      <c r="AO30" s="7" t="e">
        <f t="shared" si="7"/>
        <v>#REF!</v>
      </c>
    </row>
    <row r="31" spans="2:41">
      <c r="B31" s="111" t="str">
        <f t="shared" si="6"/>
        <v>QUEENSTOWNTotal Domestic Revenue excl. GST</v>
      </c>
      <c r="C31" s="49" t="s">
        <v>1411</v>
      </c>
      <c r="D31" s="36" t="s">
        <v>72</v>
      </c>
      <c r="G31" s="7" t="e">
        <f>HY!#REF!</f>
        <v>#REF!</v>
      </c>
      <c r="H31" s="7" t="e">
        <f>HY!#REF!</f>
        <v>#REF!</v>
      </c>
      <c r="I31" s="7" t="e">
        <f>HY!#REF!</f>
        <v>#REF!</v>
      </c>
      <c r="J31" s="7" t="e">
        <f>HY!#REF!</f>
        <v>#REF!</v>
      </c>
      <c r="K31" s="7" t="e">
        <f>HY!#REF!</f>
        <v>#REF!</v>
      </c>
      <c r="L31" s="7" t="e">
        <f>HY!#REF!</f>
        <v>#REF!</v>
      </c>
      <c r="M31" s="7" t="e">
        <f>HY!#REF!</f>
        <v>#REF!</v>
      </c>
      <c r="N31" s="7" t="e">
        <f>HY!#REF!</f>
        <v>#REF!</v>
      </c>
      <c r="O31" s="7" t="e">
        <f>HY!#REF!</f>
        <v>#REF!</v>
      </c>
      <c r="P31" s="7" t="e">
        <f>HY!#REF!</f>
        <v>#REF!</v>
      </c>
      <c r="Q31" s="7" t="e">
        <f>HY!#REF!</f>
        <v>#REF!</v>
      </c>
      <c r="R31" s="7" t="e">
        <f>HY!#REF!</f>
        <v>#REF!</v>
      </c>
      <c r="S31" s="7" t="e">
        <f>HY!#REF!</f>
        <v>#REF!</v>
      </c>
      <c r="T31" s="7" t="e">
        <f>HY!#REF!</f>
        <v>#REF!</v>
      </c>
      <c r="U31" s="7" t="e">
        <f>HY!#REF!</f>
        <v>#REF!</v>
      </c>
      <c r="V31" s="7" t="e">
        <f>HY!#REF!</f>
        <v>#REF!</v>
      </c>
      <c r="W31" s="7" t="e">
        <f>HY!#REF!</f>
        <v>#REF!</v>
      </c>
      <c r="X31" s="7" t="e">
        <f>HY!#REF!</f>
        <v>#REF!</v>
      </c>
      <c r="Y31" s="7" t="e">
        <f>HY!#REF!</f>
        <v>#REF!</v>
      </c>
      <c r="Z31" s="7" t="e">
        <f>HY!#REF!</f>
        <v>#REF!</v>
      </c>
      <c r="AF31" s="7" t="e">
        <f t="shared" si="7"/>
        <v>#REF!</v>
      </c>
      <c r="AG31" s="7" t="e">
        <f t="shared" si="7"/>
        <v>#REF!</v>
      </c>
      <c r="AH31" s="7" t="e">
        <f t="shared" si="7"/>
        <v>#REF!</v>
      </c>
      <c r="AI31" s="7" t="e">
        <f t="shared" si="7"/>
        <v>#REF!</v>
      </c>
      <c r="AJ31" s="7" t="e">
        <f t="shared" si="7"/>
        <v>#REF!</v>
      </c>
      <c r="AK31" s="7" t="e">
        <f t="shared" si="7"/>
        <v>#REF!</v>
      </c>
      <c r="AL31" s="7" t="e">
        <f t="shared" si="7"/>
        <v>#REF!</v>
      </c>
      <c r="AM31" s="7" t="e">
        <f t="shared" si="7"/>
        <v>#REF!</v>
      </c>
      <c r="AN31" s="7" t="e">
        <f t="shared" si="7"/>
        <v>#REF!</v>
      </c>
      <c r="AO31" s="7" t="e">
        <f t="shared" si="7"/>
        <v>#REF!</v>
      </c>
    </row>
    <row r="32" spans="2:41">
      <c r="B32" s="111" t="str">
        <f t="shared" si="6"/>
        <v>QUEENSTOWNEBITDA excl. IB</v>
      </c>
      <c r="C32" s="49" t="s">
        <v>1412</v>
      </c>
      <c r="D32" s="36" t="s">
        <v>72</v>
      </c>
      <c r="G32" s="7" t="e">
        <f>HY!#REF!</f>
        <v>#REF!</v>
      </c>
      <c r="H32" s="7" t="e">
        <f>HY!#REF!</f>
        <v>#REF!</v>
      </c>
      <c r="I32" s="7" t="e">
        <f>HY!#REF!</f>
        <v>#REF!</v>
      </c>
      <c r="J32" s="7" t="e">
        <f>HY!#REF!</f>
        <v>#REF!</v>
      </c>
      <c r="K32" s="7" t="e">
        <f>HY!#REF!</f>
        <v>#REF!</v>
      </c>
      <c r="L32" s="7" t="e">
        <f>HY!#REF!</f>
        <v>#REF!</v>
      </c>
      <c r="M32" s="7" t="e">
        <f>HY!#REF!</f>
        <v>#REF!</v>
      </c>
      <c r="N32" s="7" t="e">
        <f>HY!#REF!</f>
        <v>#REF!</v>
      </c>
      <c r="O32" s="7" t="e">
        <f>HY!#REF!</f>
        <v>#REF!</v>
      </c>
      <c r="P32" s="7" t="e">
        <f>HY!#REF!</f>
        <v>#REF!</v>
      </c>
      <c r="Q32" s="7" t="e">
        <f>HY!#REF!</f>
        <v>#REF!</v>
      </c>
      <c r="R32" s="7" t="e">
        <f>HY!#REF!</f>
        <v>#REF!</v>
      </c>
      <c r="S32" s="7" t="e">
        <f>HY!#REF!</f>
        <v>#REF!</v>
      </c>
      <c r="T32" s="7" t="e">
        <f>HY!#REF!</f>
        <v>#REF!</v>
      </c>
      <c r="U32" s="7" t="e">
        <f>HY!#REF!</f>
        <v>#REF!</v>
      </c>
      <c r="V32" s="7" t="e">
        <f>HY!#REF!</f>
        <v>#REF!</v>
      </c>
      <c r="W32" s="7" t="e">
        <f>HY!#REF!</f>
        <v>#REF!</v>
      </c>
      <c r="X32" s="7" t="e">
        <f>HY!#REF!</f>
        <v>#REF!</v>
      </c>
      <c r="Y32" s="7" t="e">
        <f>HY!#REF!</f>
        <v>#REF!</v>
      </c>
      <c r="Z32" s="7" t="e">
        <f>HY!#REF!</f>
        <v>#REF!</v>
      </c>
      <c r="AF32" s="7" t="e">
        <f t="shared" si="7"/>
        <v>#REF!</v>
      </c>
      <c r="AG32" s="7" t="e">
        <f t="shared" si="7"/>
        <v>#REF!</v>
      </c>
      <c r="AH32" s="7" t="e">
        <f t="shared" si="7"/>
        <v>#REF!</v>
      </c>
      <c r="AI32" s="7" t="e">
        <f t="shared" si="7"/>
        <v>#REF!</v>
      </c>
      <c r="AJ32" s="7" t="e">
        <f t="shared" si="7"/>
        <v>#REF!</v>
      </c>
      <c r="AK32" s="7" t="e">
        <f t="shared" si="7"/>
        <v>#REF!</v>
      </c>
      <c r="AL32" s="7" t="e">
        <f t="shared" si="7"/>
        <v>#REF!</v>
      </c>
      <c r="AM32" s="7" t="e">
        <f t="shared" si="7"/>
        <v>#REF!</v>
      </c>
      <c r="AN32" s="7" t="e">
        <f t="shared" si="7"/>
        <v>#REF!</v>
      </c>
      <c r="AO32" s="7" t="e">
        <f t="shared" si="7"/>
        <v>#REF!</v>
      </c>
    </row>
    <row r="33" spans="2:41">
      <c r="B33" s="111"/>
      <c r="C33" s="49"/>
      <c r="G33" s="7"/>
      <c r="H33" s="7"/>
      <c r="I33" s="7"/>
      <c r="J33" s="7"/>
      <c r="K33" s="7"/>
      <c r="L33" s="7"/>
      <c r="M33" s="7"/>
      <c r="N33" s="7"/>
      <c r="O33" s="7"/>
      <c r="P33" s="7"/>
      <c r="Q33" s="7"/>
      <c r="R33" s="7"/>
      <c r="S33" s="7"/>
      <c r="T33" s="7"/>
      <c r="U33" s="7"/>
      <c r="V33" s="7"/>
      <c r="W33" s="7"/>
      <c r="X33" s="7"/>
      <c r="Y33" s="7"/>
      <c r="Z33" s="7"/>
      <c r="AF33" s="7"/>
      <c r="AG33" s="7"/>
      <c r="AH33" s="7"/>
      <c r="AI33" s="7"/>
      <c r="AJ33" s="7"/>
      <c r="AK33" s="7"/>
      <c r="AL33" s="7"/>
      <c r="AM33" s="7"/>
      <c r="AN33" s="7"/>
      <c r="AO33" s="7"/>
    </row>
    <row r="34" spans="2:41">
      <c r="C34" s="208" t="s">
        <v>42</v>
      </c>
    </row>
    <row r="35" spans="2:41">
      <c r="B35" s="111" t="str">
        <f t="shared" ref="B35:B40" si="8">$C$34&amp;C35</f>
        <v>ADELAIDESlots</v>
      </c>
      <c r="C35" s="49" t="s">
        <v>71</v>
      </c>
      <c r="D35" s="36" t="s">
        <v>90</v>
      </c>
      <c r="F35" s="49"/>
      <c r="G35" s="7">
        <f>HY!K97</f>
        <v>24.87679451467752</v>
      </c>
      <c r="H35" s="7">
        <f>HY!L97</f>
        <v>36.236485485686323</v>
      </c>
      <c r="I35" s="7">
        <f>HY!M97</f>
        <v>32.503937007874008</v>
      </c>
      <c r="J35" s="7">
        <f>HY!N97</f>
        <v>38.597977444803313</v>
      </c>
      <c r="K35" s="7">
        <f>HY!O97</f>
        <v>51.6</v>
      </c>
      <c r="L35" s="7">
        <f>HY!P97</f>
        <v>48.199999999999996</v>
      </c>
      <c r="M35" s="7">
        <f>HY!Q97</f>
        <v>46.6</v>
      </c>
      <c r="N35" s="7">
        <f>HY!R97</f>
        <v>51.300000000000004</v>
      </c>
      <c r="O35" s="7">
        <f>HY!S97</f>
        <v>50.3</v>
      </c>
      <c r="P35" s="7">
        <f>HY!T97</f>
        <v>45.600000000000009</v>
      </c>
      <c r="Q35" s="7">
        <f>HY!U97</f>
        <v>50.2</v>
      </c>
      <c r="R35" s="7">
        <f>HY!V97</f>
        <v>52.8</v>
      </c>
      <c r="S35" s="7">
        <f>HY!W97</f>
        <v>52</v>
      </c>
      <c r="T35" s="7">
        <f>HY!X97</f>
        <v>52</v>
      </c>
      <c r="U35" s="7">
        <f>HY!Y97</f>
        <v>44</v>
      </c>
      <c r="V35" s="7">
        <f>HY!Z97</f>
        <v>44</v>
      </c>
      <c r="W35" s="7">
        <f>HY!AA97</f>
        <v>46.64</v>
      </c>
      <c r="X35" s="7">
        <f>HY!AB97</f>
        <v>46.64</v>
      </c>
      <c r="Y35" s="7">
        <f>HY!AC97</f>
        <v>49.438400000000001</v>
      </c>
      <c r="Z35" s="7">
        <f>HY!AD97</f>
        <v>49.438400000000001</v>
      </c>
      <c r="AF35" s="7">
        <f t="shared" ref="AF35:AO40" si="9">SUMIFS($G35:$Z35,$G$3:$Z$3,AF$5)</f>
        <v>61.113280000363844</v>
      </c>
      <c r="AG35" s="7">
        <f t="shared" si="9"/>
        <v>71.10191445267732</v>
      </c>
      <c r="AH35" s="7">
        <f t="shared" si="9"/>
        <v>99.8</v>
      </c>
      <c r="AI35" s="7">
        <f t="shared" si="9"/>
        <v>97.9</v>
      </c>
      <c r="AJ35" s="7">
        <f t="shared" si="9"/>
        <v>95.9</v>
      </c>
      <c r="AK35" s="7">
        <f t="shared" si="9"/>
        <v>103</v>
      </c>
      <c r="AL35" s="7">
        <f t="shared" si="9"/>
        <v>104</v>
      </c>
      <c r="AM35" s="7">
        <f t="shared" si="9"/>
        <v>88</v>
      </c>
      <c r="AN35" s="7">
        <f t="shared" si="9"/>
        <v>93.28</v>
      </c>
      <c r="AO35" s="7">
        <f t="shared" si="9"/>
        <v>98.876800000000003</v>
      </c>
    </row>
    <row r="36" spans="2:41">
      <c r="B36" s="111" t="str">
        <f t="shared" si="8"/>
        <v>ADELAIDETables</v>
      </c>
      <c r="C36" s="49" t="s">
        <v>73</v>
      </c>
      <c r="D36" s="36" t="s">
        <v>90</v>
      </c>
      <c r="F36" s="49"/>
      <c r="G36" s="7">
        <f>HY!K98</f>
        <v>36.929505035354623</v>
      </c>
      <c r="H36" s="7">
        <f>HY!L98</f>
        <v>39.910483962743633</v>
      </c>
      <c r="I36" s="7">
        <f>HY!M98</f>
        <v>34.110236220472437</v>
      </c>
      <c r="J36" s="7">
        <f>HY!N98</f>
        <v>27.44745062741568</v>
      </c>
      <c r="K36" s="7">
        <f>HY!O98</f>
        <v>39.9</v>
      </c>
      <c r="L36" s="7">
        <f>HY!P98</f>
        <v>30.300000000000004</v>
      </c>
      <c r="M36" s="7">
        <f>HY!Q98</f>
        <v>29.1</v>
      </c>
      <c r="N36" s="7">
        <f>HY!R98</f>
        <v>29</v>
      </c>
      <c r="O36" s="7">
        <f>HY!S98</f>
        <v>30.3</v>
      </c>
      <c r="P36" s="7">
        <f>HY!T98</f>
        <v>27.2</v>
      </c>
      <c r="Q36" s="7">
        <f>HY!U98</f>
        <v>31.4</v>
      </c>
      <c r="R36" s="7">
        <f>HY!V98</f>
        <v>30.1</v>
      </c>
      <c r="S36" s="7">
        <f>HY!W98</f>
        <v>29</v>
      </c>
      <c r="T36" s="7">
        <f>HY!X98</f>
        <v>30.1</v>
      </c>
      <c r="U36" s="7">
        <f>HY!Y98</f>
        <v>25</v>
      </c>
      <c r="V36" s="7">
        <f>HY!Z98</f>
        <v>25</v>
      </c>
      <c r="W36" s="7">
        <f>HY!AA98</f>
        <v>26.5</v>
      </c>
      <c r="X36" s="7">
        <f>HY!AB98</f>
        <v>26.5</v>
      </c>
      <c r="Y36" s="7">
        <f>HY!AC98</f>
        <v>28.09</v>
      </c>
      <c r="Z36" s="7">
        <f>HY!AD98</f>
        <v>28.09</v>
      </c>
      <c r="AF36" s="7">
        <f t="shared" si="9"/>
        <v>76.839988998098249</v>
      </c>
      <c r="AG36" s="7">
        <f t="shared" si="9"/>
        <v>61.557686847888121</v>
      </c>
      <c r="AH36" s="7">
        <f t="shared" si="9"/>
        <v>70.2</v>
      </c>
      <c r="AI36" s="7">
        <f t="shared" si="9"/>
        <v>58.1</v>
      </c>
      <c r="AJ36" s="7">
        <f t="shared" si="9"/>
        <v>57.5</v>
      </c>
      <c r="AK36" s="7">
        <f t="shared" si="9"/>
        <v>61.5</v>
      </c>
      <c r="AL36" s="7">
        <f t="shared" si="9"/>
        <v>59.1</v>
      </c>
      <c r="AM36" s="7">
        <f t="shared" si="9"/>
        <v>50</v>
      </c>
      <c r="AN36" s="7">
        <f t="shared" si="9"/>
        <v>53</v>
      </c>
      <c r="AO36" s="7">
        <f t="shared" si="9"/>
        <v>56.18</v>
      </c>
    </row>
    <row r="37" spans="2:41">
      <c r="B37" s="111" t="str">
        <f t="shared" si="8"/>
        <v>ADELAIDENon Gaming</v>
      </c>
      <c r="C37" s="49" t="s">
        <v>75</v>
      </c>
      <c r="D37" s="36" t="s">
        <v>90</v>
      </c>
      <c r="F37" s="49"/>
      <c r="G37" s="7">
        <f>HY!K100</f>
        <v>25.4</v>
      </c>
      <c r="H37" s="7">
        <f>HY!L100</f>
        <v>23.9</v>
      </c>
      <c r="I37" s="7">
        <f>HY!M100</f>
        <v>23.412073490813651</v>
      </c>
      <c r="J37" s="7">
        <f>HY!N100</f>
        <v>23.720019060729602</v>
      </c>
      <c r="K37" s="7">
        <f>HY!O100</f>
        <v>34.799999999999997</v>
      </c>
      <c r="L37" s="7">
        <f>HY!P100</f>
        <v>36.5</v>
      </c>
      <c r="M37" s="7">
        <f>HY!Q100</f>
        <v>35.799264546831068</v>
      </c>
      <c r="N37" s="7">
        <f>HY!R100</f>
        <v>33.200735453168932</v>
      </c>
      <c r="O37" s="7">
        <f>HY!S100</f>
        <v>38.9</v>
      </c>
      <c r="P37" s="7">
        <f>HY!T100</f>
        <v>33.800000000000004</v>
      </c>
      <c r="Q37" s="7">
        <f>HY!U100</f>
        <v>41.1</v>
      </c>
      <c r="R37" s="7">
        <f>HY!V100</f>
        <v>39.300000000000004</v>
      </c>
      <c r="S37" s="7">
        <f>HY!W100</f>
        <v>42.3</v>
      </c>
      <c r="T37" s="7">
        <f>HY!X100</f>
        <v>40.299999999999997</v>
      </c>
      <c r="U37" s="7">
        <f>HY!Y100</f>
        <v>42.3</v>
      </c>
      <c r="V37" s="7">
        <f>HY!Z100</f>
        <v>40.299999999999997</v>
      </c>
      <c r="W37" s="7">
        <f>HY!AA100</f>
        <v>43.992000000000004</v>
      </c>
      <c r="X37" s="7">
        <f>HY!AB100</f>
        <v>41.911999999999999</v>
      </c>
      <c r="Y37" s="7">
        <f>HY!AC100</f>
        <v>45.75168</v>
      </c>
      <c r="Z37" s="7">
        <f>HY!AD100</f>
        <v>43.588479999999997</v>
      </c>
      <c r="AF37" s="7">
        <f t="shared" si="9"/>
        <v>49.3</v>
      </c>
      <c r="AG37" s="7">
        <f t="shared" si="9"/>
        <v>47.132092551543252</v>
      </c>
      <c r="AH37" s="7">
        <f t="shared" si="9"/>
        <v>71.3</v>
      </c>
      <c r="AI37" s="7">
        <f t="shared" si="9"/>
        <v>69</v>
      </c>
      <c r="AJ37" s="7">
        <f t="shared" si="9"/>
        <v>72.7</v>
      </c>
      <c r="AK37" s="7">
        <f t="shared" si="9"/>
        <v>80.400000000000006</v>
      </c>
      <c r="AL37" s="7">
        <f t="shared" si="9"/>
        <v>82.6</v>
      </c>
      <c r="AM37" s="7">
        <f t="shared" si="9"/>
        <v>82.6</v>
      </c>
      <c r="AN37" s="7">
        <f t="shared" si="9"/>
        <v>85.903999999999996</v>
      </c>
      <c r="AO37" s="7">
        <f t="shared" si="9"/>
        <v>89.340159999999997</v>
      </c>
    </row>
    <row r="38" spans="2:41">
      <c r="B38" s="111" t="str">
        <f t="shared" si="8"/>
        <v>ADELAIDETotal Domestic Revenue</v>
      </c>
      <c r="C38" s="49" t="s">
        <v>1410</v>
      </c>
      <c r="D38" s="36" t="s">
        <v>90</v>
      </c>
      <c r="F38" s="49"/>
      <c r="G38" s="7">
        <f>HY!K101</f>
        <v>87.206299550032142</v>
      </c>
      <c r="H38" s="7">
        <f>HY!L101</f>
        <v>100.04696944842996</v>
      </c>
      <c r="I38" s="7">
        <f>HY!M101</f>
        <v>90.026246719160099</v>
      </c>
      <c r="J38" s="7">
        <f>HY!N101</f>
        <v>89.765447132948594</v>
      </c>
      <c r="K38" s="7">
        <f>HY!O101</f>
        <v>129.89999999999998</v>
      </c>
      <c r="L38" s="7">
        <f>HY!P101</f>
        <v>119.9</v>
      </c>
      <c r="M38" s="7">
        <f>HY!Q101</f>
        <v>116.79926454683107</v>
      </c>
      <c r="N38" s="7">
        <f>HY!R101</f>
        <v>119.90073545316895</v>
      </c>
      <c r="O38" s="7">
        <f>HY!S101</f>
        <v>123.2</v>
      </c>
      <c r="P38" s="7">
        <f>HY!T101</f>
        <v>108.8</v>
      </c>
      <c r="Q38" s="7">
        <f>HY!U101</f>
        <v>124.5</v>
      </c>
      <c r="R38" s="7">
        <f>HY!V101</f>
        <v>122.1</v>
      </c>
      <c r="S38" s="7">
        <f>HY!W101</f>
        <v>125</v>
      </c>
      <c r="T38" s="7">
        <f>HY!X101</f>
        <v>124.1</v>
      </c>
      <c r="U38" s="7">
        <f>HY!Y101</f>
        <v>113</v>
      </c>
      <c r="V38" s="7">
        <f>HY!Z101</f>
        <v>111.068</v>
      </c>
      <c r="W38" s="7">
        <f>HY!AA101</f>
        <v>118.9</v>
      </c>
      <c r="X38" s="7">
        <f>HY!AB101</f>
        <v>116.89071999999999</v>
      </c>
      <c r="Y38" s="7">
        <f>HY!AC101</f>
        <v>125.11879999999999</v>
      </c>
      <c r="Z38" s="7">
        <f>HY!AD101</f>
        <v>123.0291488</v>
      </c>
      <c r="AF38" s="7">
        <f t="shared" si="9"/>
        <v>187.25326899846209</v>
      </c>
      <c r="AG38" s="7">
        <f t="shared" si="9"/>
        <v>179.79169385210869</v>
      </c>
      <c r="AH38" s="7">
        <f t="shared" si="9"/>
        <v>249.79999999999998</v>
      </c>
      <c r="AI38" s="7">
        <f t="shared" si="9"/>
        <v>236.70000000000002</v>
      </c>
      <c r="AJ38" s="7">
        <f t="shared" si="9"/>
        <v>232</v>
      </c>
      <c r="AK38" s="7">
        <f t="shared" si="9"/>
        <v>246.6</v>
      </c>
      <c r="AL38" s="7">
        <f t="shared" si="9"/>
        <v>249.1</v>
      </c>
      <c r="AM38" s="7">
        <f t="shared" si="9"/>
        <v>224.06799999999998</v>
      </c>
      <c r="AN38" s="7">
        <f t="shared" si="9"/>
        <v>235.79071999999999</v>
      </c>
      <c r="AO38" s="7">
        <f t="shared" si="9"/>
        <v>248.14794879999999</v>
      </c>
    </row>
    <row r="39" spans="2:41">
      <c r="B39" s="111" t="str">
        <f t="shared" si="8"/>
        <v>ADELAIDETotal Domestic Revenue excl. GST</v>
      </c>
      <c r="C39" s="49" t="s">
        <v>1411</v>
      </c>
      <c r="D39" s="36" t="s">
        <v>90</v>
      </c>
      <c r="F39" s="49"/>
      <c r="G39" s="7" t="e">
        <f>HY!#REF!</f>
        <v>#REF!</v>
      </c>
      <c r="H39" s="7" t="e">
        <f>HY!#REF!</f>
        <v>#REF!</v>
      </c>
      <c r="I39" s="7" t="e">
        <f>HY!#REF!</f>
        <v>#REF!</v>
      </c>
      <c r="J39" s="7" t="e">
        <f>HY!#REF!</f>
        <v>#REF!</v>
      </c>
      <c r="K39" s="7" t="e">
        <f>HY!#REF!</f>
        <v>#REF!</v>
      </c>
      <c r="L39" s="7" t="e">
        <f>HY!#REF!</f>
        <v>#REF!</v>
      </c>
      <c r="M39" s="7" t="e">
        <f>HY!#REF!</f>
        <v>#REF!</v>
      </c>
      <c r="N39" s="7" t="e">
        <f>HY!#REF!</f>
        <v>#REF!</v>
      </c>
      <c r="O39" s="7" t="e">
        <f>HY!#REF!</f>
        <v>#REF!</v>
      </c>
      <c r="P39" s="7" t="e">
        <f>HY!#REF!</f>
        <v>#REF!</v>
      </c>
      <c r="Q39" s="7" t="e">
        <f>HY!#REF!</f>
        <v>#REF!</v>
      </c>
      <c r="R39" s="7" t="e">
        <f>HY!#REF!</f>
        <v>#REF!</v>
      </c>
      <c r="S39" s="7" t="e">
        <f>HY!#REF!</f>
        <v>#REF!</v>
      </c>
      <c r="T39" s="7" t="e">
        <f>HY!#REF!</f>
        <v>#REF!</v>
      </c>
      <c r="U39" s="7" t="e">
        <f>HY!#REF!</f>
        <v>#REF!</v>
      </c>
      <c r="V39" s="7" t="e">
        <f>HY!#REF!</f>
        <v>#REF!</v>
      </c>
      <c r="W39" s="7" t="e">
        <f>HY!#REF!</f>
        <v>#REF!</v>
      </c>
      <c r="X39" s="7" t="e">
        <f>HY!#REF!</f>
        <v>#REF!</v>
      </c>
      <c r="Y39" s="7" t="e">
        <f>HY!#REF!</f>
        <v>#REF!</v>
      </c>
      <c r="Z39" s="7" t="e">
        <f>HY!#REF!</f>
        <v>#REF!</v>
      </c>
      <c r="AF39" s="7" t="e">
        <f t="shared" si="9"/>
        <v>#REF!</v>
      </c>
      <c r="AG39" s="7" t="e">
        <f t="shared" si="9"/>
        <v>#REF!</v>
      </c>
      <c r="AH39" s="7" t="e">
        <f t="shared" si="9"/>
        <v>#REF!</v>
      </c>
      <c r="AI39" s="7" t="e">
        <f t="shared" si="9"/>
        <v>#REF!</v>
      </c>
      <c r="AJ39" s="7" t="e">
        <f t="shared" si="9"/>
        <v>#REF!</v>
      </c>
      <c r="AK39" s="7" t="e">
        <f t="shared" si="9"/>
        <v>#REF!</v>
      </c>
      <c r="AL39" s="7" t="e">
        <f t="shared" si="9"/>
        <v>#REF!</v>
      </c>
      <c r="AM39" s="7" t="e">
        <f t="shared" si="9"/>
        <v>#REF!</v>
      </c>
      <c r="AN39" s="7" t="e">
        <f t="shared" si="9"/>
        <v>#REF!</v>
      </c>
      <c r="AO39" s="7" t="e">
        <f t="shared" si="9"/>
        <v>#REF!</v>
      </c>
    </row>
    <row r="40" spans="2:41">
      <c r="B40" s="111" t="str">
        <f t="shared" si="8"/>
        <v>ADELAIDEEBITDA excl. IB</v>
      </c>
      <c r="C40" s="49" t="s">
        <v>1412</v>
      </c>
      <c r="D40" s="36" t="s">
        <v>90</v>
      </c>
      <c r="G40" s="7" t="e">
        <f>HY!#REF!</f>
        <v>#REF!</v>
      </c>
      <c r="H40" s="7" t="e">
        <f>HY!#REF!</f>
        <v>#REF!</v>
      </c>
      <c r="I40" s="7" t="e">
        <f>HY!#REF!</f>
        <v>#REF!</v>
      </c>
      <c r="J40" s="7" t="e">
        <f>HY!#REF!</f>
        <v>#REF!</v>
      </c>
      <c r="K40" s="7" t="e">
        <f>HY!#REF!</f>
        <v>#REF!</v>
      </c>
      <c r="L40" s="7" t="e">
        <f>HY!#REF!</f>
        <v>#REF!</v>
      </c>
      <c r="M40" s="7" t="e">
        <f>HY!#REF!</f>
        <v>#REF!</v>
      </c>
      <c r="N40" s="7" t="e">
        <f>HY!#REF!</f>
        <v>#REF!</v>
      </c>
      <c r="O40" s="7" t="e">
        <f>HY!#REF!</f>
        <v>#REF!</v>
      </c>
      <c r="P40" s="7" t="e">
        <f>HY!#REF!</f>
        <v>#REF!</v>
      </c>
      <c r="Q40" s="7" t="e">
        <f>HY!#REF!</f>
        <v>#REF!</v>
      </c>
      <c r="R40" s="7" t="e">
        <f>HY!#REF!</f>
        <v>#REF!</v>
      </c>
      <c r="S40" s="7" t="e">
        <f>HY!#REF!</f>
        <v>#REF!</v>
      </c>
      <c r="T40" s="7" t="e">
        <f>HY!#REF!</f>
        <v>#REF!</v>
      </c>
      <c r="U40" s="7" t="e">
        <f>HY!#REF!</f>
        <v>#REF!</v>
      </c>
      <c r="V40" s="7" t="e">
        <f>HY!#REF!</f>
        <v>#REF!</v>
      </c>
      <c r="W40" s="7" t="e">
        <f>HY!#REF!</f>
        <v>#REF!</v>
      </c>
      <c r="X40" s="7" t="e">
        <f>HY!#REF!</f>
        <v>#REF!</v>
      </c>
      <c r="Y40" s="7" t="e">
        <f>HY!#REF!</f>
        <v>#REF!</v>
      </c>
      <c r="Z40" s="7" t="e">
        <f>HY!#REF!</f>
        <v>#REF!</v>
      </c>
      <c r="AF40" s="7" t="e">
        <f t="shared" si="9"/>
        <v>#REF!</v>
      </c>
      <c r="AG40" s="7" t="e">
        <f t="shared" si="9"/>
        <v>#REF!</v>
      </c>
      <c r="AH40" s="7" t="e">
        <f t="shared" si="9"/>
        <v>#REF!</v>
      </c>
      <c r="AI40" s="7" t="e">
        <f t="shared" si="9"/>
        <v>#REF!</v>
      </c>
      <c r="AJ40" s="7" t="e">
        <f t="shared" si="9"/>
        <v>#REF!</v>
      </c>
      <c r="AK40" s="7" t="e">
        <f t="shared" si="9"/>
        <v>#REF!</v>
      </c>
      <c r="AL40" s="7" t="e">
        <f t="shared" si="9"/>
        <v>#REF!</v>
      </c>
      <c r="AM40" s="7" t="e">
        <f t="shared" si="9"/>
        <v>#REF!</v>
      </c>
      <c r="AN40" s="7" t="e">
        <f t="shared" si="9"/>
        <v>#REF!</v>
      </c>
      <c r="AO40" s="7" t="e">
        <f t="shared" si="9"/>
        <v>#REF!</v>
      </c>
    </row>
    <row r="41" spans="2:41">
      <c r="B41" s="111"/>
      <c r="C41" s="49"/>
      <c r="G41" s="7"/>
      <c r="H41" s="7"/>
      <c r="I41" s="7"/>
      <c r="J41" s="7"/>
      <c r="K41" s="7"/>
      <c r="L41" s="7"/>
      <c r="M41" s="7"/>
      <c r="N41" s="7"/>
      <c r="O41" s="7"/>
      <c r="P41" s="7"/>
      <c r="Q41" s="7"/>
      <c r="R41" s="7"/>
      <c r="S41" s="7"/>
      <c r="T41" s="7"/>
      <c r="U41" s="7"/>
      <c r="V41" s="7"/>
      <c r="W41" s="7"/>
      <c r="X41" s="7"/>
      <c r="Y41" s="7"/>
      <c r="Z41" s="7"/>
      <c r="AF41" s="7"/>
      <c r="AG41" s="7"/>
      <c r="AH41" s="7"/>
      <c r="AI41" s="7"/>
      <c r="AJ41" s="7"/>
      <c r="AK41" s="7"/>
      <c r="AL41" s="7"/>
      <c r="AM41" s="7"/>
      <c r="AN41" s="7"/>
      <c r="AO41" s="7"/>
    </row>
    <row r="42" spans="2:41">
      <c r="C42" s="208" t="s">
        <v>1413</v>
      </c>
    </row>
    <row r="43" spans="2:41">
      <c r="B43" s="111" t="str">
        <f>$C$42&amp;C43</f>
        <v>VIPTurnover</v>
      </c>
      <c r="C43" s="49" t="s">
        <v>1414</v>
      </c>
      <c r="D43" s="36" t="s">
        <v>72</v>
      </c>
      <c r="F43" s="49"/>
      <c r="G43" s="7" t="e">
        <f>HY!#REF!</f>
        <v>#REF!</v>
      </c>
      <c r="H43" s="7" t="e">
        <f>HY!#REF!</f>
        <v>#REF!</v>
      </c>
      <c r="I43" s="7" t="e">
        <f>HY!#REF!</f>
        <v>#REF!</v>
      </c>
      <c r="J43" s="7" t="e">
        <f>HY!#REF!</f>
        <v>#REF!</v>
      </c>
      <c r="K43" s="7" t="e">
        <f>HY!#REF!</f>
        <v>#REF!</v>
      </c>
      <c r="L43" s="7" t="e">
        <f>HY!#REF!</f>
        <v>#REF!</v>
      </c>
      <c r="M43" s="7" t="e">
        <f>HY!#REF!</f>
        <v>#REF!</v>
      </c>
      <c r="N43" s="7" t="e">
        <f>HY!#REF!</f>
        <v>#REF!</v>
      </c>
      <c r="O43" s="7" t="e">
        <f>HY!#REF!</f>
        <v>#REF!</v>
      </c>
      <c r="P43" s="7" t="e">
        <f>HY!#REF!</f>
        <v>#REF!</v>
      </c>
      <c r="Q43" s="7" t="e">
        <f>HY!#REF!</f>
        <v>#REF!</v>
      </c>
      <c r="R43" s="7" t="e">
        <f>HY!#REF!</f>
        <v>#REF!</v>
      </c>
      <c r="S43" s="7" t="e">
        <f>HY!#REF!</f>
        <v>#REF!</v>
      </c>
      <c r="T43" s="7" t="e">
        <f>HY!#REF!</f>
        <v>#REF!</v>
      </c>
      <c r="U43" s="7" t="e">
        <f>HY!#REF!</f>
        <v>#REF!</v>
      </c>
      <c r="V43" s="7" t="e">
        <f>HY!#REF!</f>
        <v>#REF!</v>
      </c>
      <c r="W43" s="7" t="e">
        <f>HY!#REF!</f>
        <v>#REF!</v>
      </c>
      <c r="X43" s="7" t="e">
        <f>HY!#REF!</f>
        <v>#REF!</v>
      </c>
      <c r="Y43" s="7" t="e">
        <f>HY!#REF!</f>
        <v>#REF!</v>
      </c>
      <c r="Z43" s="7" t="e">
        <f>HY!#REF!</f>
        <v>#REF!</v>
      </c>
      <c r="AF43" s="7" t="e">
        <f t="shared" ref="AF43:AO47" si="10">SUMIFS($G43:$Z43,$G$3:$Z$3,AF$5)</f>
        <v>#REF!</v>
      </c>
      <c r="AG43" s="7" t="e">
        <f t="shared" si="10"/>
        <v>#REF!</v>
      </c>
      <c r="AH43" s="7" t="e">
        <f t="shared" si="10"/>
        <v>#REF!</v>
      </c>
      <c r="AI43" s="7" t="e">
        <f t="shared" si="10"/>
        <v>#REF!</v>
      </c>
      <c r="AJ43" s="7" t="e">
        <f t="shared" si="10"/>
        <v>#REF!</v>
      </c>
      <c r="AK43" s="7" t="e">
        <f t="shared" si="10"/>
        <v>#REF!</v>
      </c>
      <c r="AL43" s="7" t="e">
        <f t="shared" si="10"/>
        <v>#REF!</v>
      </c>
      <c r="AM43" s="7" t="e">
        <f t="shared" si="10"/>
        <v>#REF!</v>
      </c>
      <c r="AN43" s="7" t="e">
        <f t="shared" si="10"/>
        <v>#REF!</v>
      </c>
      <c r="AO43" s="7" t="e">
        <f t="shared" si="10"/>
        <v>#REF!</v>
      </c>
    </row>
    <row r="44" spans="2:41">
      <c r="B44" s="111" t="str">
        <f>$C$42&amp;C44</f>
        <v>VIPReported Revenue</v>
      </c>
      <c r="C44" s="49" t="s">
        <v>163</v>
      </c>
      <c r="D44" s="36" t="s">
        <v>72</v>
      </c>
      <c r="F44" s="49"/>
      <c r="G44" s="7" t="e">
        <f>HY!#REF!</f>
        <v>#REF!</v>
      </c>
      <c r="H44" s="7" t="e">
        <f>HY!#REF!</f>
        <v>#REF!</v>
      </c>
      <c r="I44" s="7" t="e">
        <f>HY!#REF!</f>
        <v>#REF!</v>
      </c>
      <c r="J44" s="7" t="e">
        <f>HY!#REF!</f>
        <v>#REF!</v>
      </c>
      <c r="K44" s="7" t="e">
        <f>HY!#REF!</f>
        <v>#REF!</v>
      </c>
      <c r="L44" s="7" t="e">
        <f>HY!#REF!</f>
        <v>#REF!</v>
      </c>
      <c r="M44" s="7" t="e">
        <f>HY!#REF!</f>
        <v>#REF!</v>
      </c>
      <c r="N44" s="7" t="e">
        <f>HY!#REF!</f>
        <v>#REF!</v>
      </c>
      <c r="O44" s="7" t="e">
        <f>HY!#REF!</f>
        <v>#REF!</v>
      </c>
      <c r="P44" s="7" t="e">
        <f>HY!#REF!</f>
        <v>#REF!</v>
      </c>
      <c r="Q44" s="7" t="e">
        <f>HY!#REF!</f>
        <v>#REF!</v>
      </c>
      <c r="R44" s="7" t="e">
        <f>HY!#REF!</f>
        <v>#REF!</v>
      </c>
      <c r="S44" s="7" t="e">
        <f>HY!#REF!</f>
        <v>#REF!</v>
      </c>
      <c r="T44" s="7" t="e">
        <f>HY!#REF!</f>
        <v>#REF!</v>
      </c>
      <c r="U44" s="7" t="e">
        <f>HY!#REF!</f>
        <v>#REF!</v>
      </c>
      <c r="V44" s="7" t="e">
        <f>HY!#REF!</f>
        <v>#REF!</v>
      </c>
      <c r="W44" s="7" t="e">
        <f>HY!#REF!</f>
        <v>#REF!</v>
      </c>
      <c r="X44" s="7" t="e">
        <f>HY!#REF!</f>
        <v>#REF!</v>
      </c>
      <c r="Y44" s="7" t="e">
        <f>HY!#REF!</f>
        <v>#REF!</v>
      </c>
      <c r="Z44" s="7" t="e">
        <f>HY!#REF!</f>
        <v>#REF!</v>
      </c>
      <c r="AF44" s="7" t="e">
        <f t="shared" si="10"/>
        <v>#REF!</v>
      </c>
      <c r="AG44" s="7" t="e">
        <f t="shared" si="10"/>
        <v>#REF!</v>
      </c>
      <c r="AH44" s="7" t="e">
        <f t="shared" si="10"/>
        <v>#REF!</v>
      </c>
      <c r="AI44" s="7" t="e">
        <f t="shared" si="10"/>
        <v>#REF!</v>
      </c>
      <c r="AJ44" s="7" t="e">
        <f t="shared" si="10"/>
        <v>#REF!</v>
      </c>
      <c r="AK44" s="7" t="e">
        <f t="shared" si="10"/>
        <v>#REF!</v>
      </c>
      <c r="AL44" s="7" t="e">
        <f t="shared" si="10"/>
        <v>#REF!</v>
      </c>
      <c r="AM44" s="7" t="e">
        <f t="shared" si="10"/>
        <v>#REF!</v>
      </c>
      <c r="AN44" s="7" t="e">
        <f t="shared" si="10"/>
        <v>#REF!</v>
      </c>
      <c r="AO44" s="7" t="e">
        <f t="shared" si="10"/>
        <v>#REF!</v>
      </c>
    </row>
    <row r="45" spans="2:41">
      <c r="B45" s="111" t="str">
        <f>$C$42&amp;C45</f>
        <v>VIPNormalised Revenue</v>
      </c>
      <c r="C45" s="49" t="s">
        <v>221</v>
      </c>
      <c r="D45" s="36" t="s">
        <v>72</v>
      </c>
      <c r="F45" s="49"/>
      <c r="G45" s="7" t="e">
        <f>HY!#REF!</f>
        <v>#REF!</v>
      </c>
      <c r="H45" s="7" t="e">
        <f>HY!#REF!</f>
        <v>#REF!</v>
      </c>
      <c r="I45" s="7" t="e">
        <f>HY!#REF!</f>
        <v>#REF!</v>
      </c>
      <c r="J45" s="7" t="e">
        <f>HY!#REF!</f>
        <v>#REF!</v>
      </c>
      <c r="K45" s="7" t="e">
        <f>HY!#REF!</f>
        <v>#REF!</v>
      </c>
      <c r="L45" s="7" t="e">
        <f>HY!#REF!</f>
        <v>#REF!</v>
      </c>
      <c r="M45" s="7" t="e">
        <f>HY!#REF!</f>
        <v>#REF!</v>
      </c>
      <c r="N45" s="7" t="e">
        <f>HY!#REF!</f>
        <v>#REF!</v>
      </c>
      <c r="O45" s="7" t="e">
        <f>HY!#REF!</f>
        <v>#REF!</v>
      </c>
      <c r="P45" s="7" t="e">
        <f>HY!#REF!</f>
        <v>#REF!</v>
      </c>
      <c r="Q45" s="7" t="e">
        <f>HY!#REF!</f>
        <v>#REF!</v>
      </c>
      <c r="R45" s="7" t="e">
        <f>HY!#REF!</f>
        <v>#REF!</v>
      </c>
      <c r="S45" s="7" t="e">
        <f>HY!#REF!</f>
        <v>#REF!</v>
      </c>
      <c r="T45" s="7" t="e">
        <f>HY!#REF!</f>
        <v>#REF!</v>
      </c>
      <c r="U45" s="7" t="e">
        <f>HY!#REF!</f>
        <v>#REF!</v>
      </c>
      <c r="V45" s="7" t="e">
        <f>HY!#REF!</f>
        <v>#REF!</v>
      </c>
      <c r="W45" s="7" t="e">
        <f>HY!#REF!</f>
        <v>#REF!</v>
      </c>
      <c r="X45" s="7" t="e">
        <f>HY!#REF!</f>
        <v>#REF!</v>
      </c>
      <c r="Y45" s="7" t="e">
        <f>HY!#REF!</f>
        <v>#REF!</v>
      </c>
      <c r="Z45" s="7" t="e">
        <f>HY!#REF!</f>
        <v>#REF!</v>
      </c>
      <c r="AF45" s="7" t="e">
        <f t="shared" si="10"/>
        <v>#REF!</v>
      </c>
      <c r="AG45" s="7" t="e">
        <f t="shared" si="10"/>
        <v>#REF!</v>
      </c>
      <c r="AH45" s="7" t="e">
        <f t="shared" si="10"/>
        <v>#REF!</v>
      </c>
      <c r="AI45" s="7" t="e">
        <f t="shared" si="10"/>
        <v>#REF!</v>
      </c>
      <c r="AJ45" s="7" t="e">
        <f t="shared" si="10"/>
        <v>#REF!</v>
      </c>
      <c r="AK45" s="7" t="e">
        <f t="shared" si="10"/>
        <v>#REF!</v>
      </c>
      <c r="AL45" s="7" t="e">
        <f t="shared" si="10"/>
        <v>#REF!</v>
      </c>
      <c r="AM45" s="7" t="e">
        <f t="shared" si="10"/>
        <v>#REF!</v>
      </c>
      <c r="AN45" s="7" t="e">
        <f t="shared" si="10"/>
        <v>#REF!</v>
      </c>
      <c r="AO45" s="7" t="e">
        <f t="shared" si="10"/>
        <v>#REF!</v>
      </c>
    </row>
    <row r="46" spans="2:41">
      <c r="B46" s="111" t="str">
        <f>$C$42&amp;C46</f>
        <v>VIPReported EBITDA</v>
      </c>
      <c r="C46" s="49" t="s">
        <v>164</v>
      </c>
      <c r="D46" s="36" t="s">
        <v>72</v>
      </c>
      <c r="F46" s="49"/>
      <c r="G46" s="7" t="e">
        <f>HY!#REF!</f>
        <v>#REF!</v>
      </c>
      <c r="H46" s="7" t="e">
        <f>HY!#REF!</f>
        <v>#REF!</v>
      </c>
      <c r="I46" s="7" t="e">
        <f>HY!#REF!</f>
        <v>#REF!</v>
      </c>
      <c r="J46" s="7" t="e">
        <f>HY!#REF!</f>
        <v>#REF!</v>
      </c>
      <c r="K46" s="7" t="e">
        <f>HY!#REF!</f>
        <v>#REF!</v>
      </c>
      <c r="L46" s="7" t="e">
        <f>HY!#REF!</f>
        <v>#REF!</v>
      </c>
      <c r="M46" s="7" t="e">
        <f>HY!#REF!</f>
        <v>#REF!</v>
      </c>
      <c r="N46" s="7" t="e">
        <f>HY!#REF!</f>
        <v>#REF!</v>
      </c>
      <c r="O46" s="7" t="e">
        <f>HY!#REF!</f>
        <v>#REF!</v>
      </c>
      <c r="P46" s="7" t="e">
        <f>HY!#REF!</f>
        <v>#REF!</v>
      </c>
      <c r="Q46" s="7" t="e">
        <f>HY!#REF!</f>
        <v>#REF!</v>
      </c>
      <c r="R46" s="7" t="e">
        <f>HY!#REF!</f>
        <v>#REF!</v>
      </c>
      <c r="S46" s="7" t="e">
        <f>HY!#REF!</f>
        <v>#REF!</v>
      </c>
      <c r="T46" s="7" t="e">
        <f>HY!#REF!</f>
        <v>#REF!</v>
      </c>
      <c r="U46" s="7" t="e">
        <f>HY!#REF!</f>
        <v>#REF!</v>
      </c>
      <c r="V46" s="7" t="e">
        <f>HY!#REF!</f>
        <v>#REF!</v>
      </c>
      <c r="W46" s="7" t="e">
        <f>HY!#REF!</f>
        <v>#REF!</v>
      </c>
      <c r="X46" s="7" t="e">
        <f>HY!#REF!</f>
        <v>#REF!</v>
      </c>
      <c r="Y46" s="7" t="e">
        <f>HY!#REF!</f>
        <v>#REF!</v>
      </c>
      <c r="Z46" s="7" t="e">
        <f>HY!#REF!</f>
        <v>#REF!</v>
      </c>
      <c r="AF46" s="7" t="e">
        <f t="shared" si="10"/>
        <v>#REF!</v>
      </c>
      <c r="AG46" s="7" t="e">
        <f t="shared" si="10"/>
        <v>#REF!</v>
      </c>
      <c r="AH46" s="7" t="e">
        <f t="shared" si="10"/>
        <v>#REF!</v>
      </c>
      <c r="AI46" s="7" t="e">
        <f t="shared" si="10"/>
        <v>#REF!</v>
      </c>
      <c r="AJ46" s="7" t="e">
        <f t="shared" si="10"/>
        <v>#REF!</v>
      </c>
      <c r="AK46" s="7" t="e">
        <f t="shared" si="10"/>
        <v>#REF!</v>
      </c>
      <c r="AL46" s="7" t="e">
        <f t="shared" si="10"/>
        <v>#REF!</v>
      </c>
      <c r="AM46" s="7" t="e">
        <f t="shared" si="10"/>
        <v>#REF!</v>
      </c>
      <c r="AN46" s="7" t="e">
        <f t="shared" si="10"/>
        <v>#REF!</v>
      </c>
      <c r="AO46" s="7" t="e">
        <f t="shared" si="10"/>
        <v>#REF!</v>
      </c>
    </row>
    <row r="47" spans="2:41">
      <c r="B47" s="111" t="str">
        <f>$C$42&amp;C47</f>
        <v>VIPNormalised EBITDA</v>
      </c>
      <c r="C47" s="49" t="s">
        <v>1415</v>
      </c>
      <c r="D47" s="36" t="s">
        <v>72</v>
      </c>
      <c r="F47" s="49"/>
      <c r="G47" s="7" t="e">
        <f>HY!#REF!</f>
        <v>#REF!</v>
      </c>
      <c r="H47" s="7" t="e">
        <f>HY!#REF!</f>
        <v>#REF!</v>
      </c>
      <c r="I47" s="7" t="e">
        <f>HY!#REF!</f>
        <v>#REF!</v>
      </c>
      <c r="J47" s="7" t="e">
        <f>HY!#REF!</f>
        <v>#REF!</v>
      </c>
      <c r="K47" s="7" t="e">
        <f>HY!#REF!</f>
        <v>#REF!</v>
      </c>
      <c r="L47" s="7" t="e">
        <f>HY!#REF!</f>
        <v>#REF!</v>
      </c>
      <c r="M47" s="7" t="e">
        <f>HY!#REF!</f>
        <v>#REF!</v>
      </c>
      <c r="N47" s="7" t="e">
        <f>HY!#REF!</f>
        <v>#REF!</v>
      </c>
      <c r="O47" s="7" t="e">
        <f>HY!#REF!</f>
        <v>#REF!</v>
      </c>
      <c r="P47" s="7" t="e">
        <f>HY!#REF!</f>
        <v>#REF!</v>
      </c>
      <c r="Q47" s="7" t="e">
        <f>HY!#REF!</f>
        <v>#REF!</v>
      </c>
      <c r="R47" s="7" t="e">
        <f>HY!#REF!</f>
        <v>#REF!</v>
      </c>
      <c r="S47" s="7" t="e">
        <f>HY!#REF!</f>
        <v>#REF!</v>
      </c>
      <c r="T47" s="7" t="e">
        <f>HY!#REF!</f>
        <v>#REF!</v>
      </c>
      <c r="U47" s="7" t="e">
        <f>HY!#REF!</f>
        <v>#REF!</v>
      </c>
      <c r="V47" s="7" t="e">
        <f>HY!#REF!</f>
        <v>#REF!</v>
      </c>
      <c r="W47" s="7" t="e">
        <f>HY!#REF!</f>
        <v>#REF!</v>
      </c>
      <c r="X47" s="7" t="e">
        <f>HY!#REF!</f>
        <v>#REF!</v>
      </c>
      <c r="Y47" s="7" t="e">
        <f>HY!#REF!</f>
        <v>#REF!</v>
      </c>
      <c r="Z47" s="7" t="e">
        <f>HY!#REF!</f>
        <v>#REF!</v>
      </c>
      <c r="AF47" s="7" t="e">
        <f t="shared" si="10"/>
        <v>#REF!</v>
      </c>
      <c r="AG47" s="7" t="e">
        <f t="shared" si="10"/>
        <v>#REF!</v>
      </c>
      <c r="AH47" s="7" t="e">
        <f t="shared" si="10"/>
        <v>#REF!</v>
      </c>
      <c r="AI47" s="7" t="e">
        <f t="shared" si="10"/>
        <v>#REF!</v>
      </c>
      <c r="AJ47" s="7" t="e">
        <f t="shared" si="10"/>
        <v>#REF!</v>
      </c>
      <c r="AK47" s="7" t="e">
        <f t="shared" si="10"/>
        <v>#REF!</v>
      </c>
      <c r="AL47" s="7" t="e">
        <f t="shared" si="10"/>
        <v>#REF!</v>
      </c>
      <c r="AM47" s="7" t="e">
        <f t="shared" si="10"/>
        <v>#REF!</v>
      </c>
      <c r="AN47" s="7" t="e">
        <f t="shared" si="10"/>
        <v>#REF!</v>
      </c>
      <c r="AO47" s="7" t="e">
        <f t="shared" si="10"/>
        <v>#REF!</v>
      </c>
    </row>
    <row r="49" spans="2:41">
      <c r="C49" s="208" t="s">
        <v>129</v>
      </c>
    </row>
    <row r="50" spans="2:41">
      <c r="B50" s="111" t="str">
        <f>$C$49&amp;C50</f>
        <v>SKYCITY ONLINEGaming Revenue - net of Jackpot &amp; Bonusing</v>
      </c>
      <c r="C50" s="49" t="s">
        <v>130</v>
      </c>
      <c r="D50" s="36" t="s">
        <v>72</v>
      </c>
      <c r="F50" s="49"/>
      <c r="G50" s="7">
        <f>HY!K278</f>
        <v>0</v>
      </c>
      <c r="H50" s="7">
        <f>HY!L278</f>
        <v>0</v>
      </c>
      <c r="I50" s="7">
        <f>HY!M278</f>
        <v>17.3</v>
      </c>
      <c r="J50" s="7">
        <f>HY!N278</f>
        <v>14.7</v>
      </c>
      <c r="K50" s="7">
        <f>HY!O278</f>
        <v>15.4</v>
      </c>
      <c r="L50" s="7">
        <f>HY!P278</f>
        <v>14.9</v>
      </c>
      <c r="M50" s="7">
        <f>HY!Q278</f>
        <v>11.8</v>
      </c>
      <c r="N50" s="7">
        <f>HY!R278</f>
        <v>8.5</v>
      </c>
      <c r="O50" s="7">
        <f>HY!S278</f>
        <v>0</v>
      </c>
      <c r="P50" s="7">
        <f>HY!T278</f>
        <v>0</v>
      </c>
      <c r="Q50" s="7">
        <f>HY!U278</f>
        <v>0</v>
      </c>
      <c r="R50" s="7">
        <f>HY!V278</f>
        <v>0</v>
      </c>
      <c r="S50" s="7">
        <f>HY!W278</f>
        <v>0</v>
      </c>
      <c r="T50" s="7">
        <f>HY!X278</f>
        <v>0</v>
      </c>
      <c r="U50" s="7">
        <f>HY!Y278</f>
        <v>0</v>
      </c>
      <c r="V50" s="7">
        <f>HY!Z278</f>
        <v>0</v>
      </c>
      <c r="W50" s="7">
        <f>HY!AA278</f>
        <v>0</v>
      </c>
      <c r="X50" s="7">
        <f>HY!AB278</f>
        <v>0</v>
      </c>
      <c r="Y50" s="7">
        <f>HY!AC278</f>
        <v>0</v>
      </c>
      <c r="Z50" s="7">
        <f>HY!AD278</f>
        <v>0</v>
      </c>
      <c r="AF50" s="7">
        <f t="shared" ref="AF50:AO54" si="11">SUMIFS($G50:$Z50,$G$3:$Z$3,AF$5)</f>
        <v>0</v>
      </c>
      <c r="AG50" s="7">
        <f t="shared" si="11"/>
        <v>32</v>
      </c>
      <c r="AH50" s="7">
        <f t="shared" si="11"/>
        <v>30.3</v>
      </c>
      <c r="AI50" s="7">
        <f t="shared" si="11"/>
        <v>20.3</v>
      </c>
      <c r="AJ50" s="7">
        <f t="shared" si="11"/>
        <v>0</v>
      </c>
      <c r="AK50" s="7">
        <f t="shared" si="11"/>
        <v>0</v>
      </c>
      <c r="AL50" s="7">
        <f t="shared" si="11"/>
        <v>0</v>
      </c>
      <c r="AM50" s="7">
        <f t="shared" si="11"/>
        <v>0</v>
      </c>
      <c r="AN50" s="7">
        <f t="shared" si="11"/>
        <v>0</v>
      </c>
      <c r="AO50" s="7">
        <f t="shared" si="11"/>
        <v>0</v>
      </c>
    </row>
    <row r="51" spans="2:41">
      <c r="B51" s="111" t="str">
        <f>$C$49&amp;C51</f>
        <v>SKYCITY ONLINEGaming Revenue - Attributable to SkyCity</v>
      </c>
      <c r="C51" s="49" t="s">
        <v>135</v>
      </c>
      <c r="D51" s="36" t="s">
        <v>72</v>
      </c>
      <c r="F51" s="49"/>
      <c r="G51" s="7">
        <f>HY!K287</f>
        <v>7.5</v>
      </c>
      <c r="H51" s="7">
        <f>HY!L287</f>
        <v>5.6</v>
      </c>
      <c r="I51" s="7">
        <f>HY!M287</f>
        <v>9.3000000000000007</v>
      </c>
      <c r="J51" s="7">
        <f>HY!N287</f>
        <v>7.5999999999999979</v>
      </c>
      <c r="K51" s="7">
        <f>HY!O287</f>
        <v>7.9</v>
      </c>
      <c r="L51" s="7">
        <f>HY!P287</f>
        <v>7.5</v>
      </c>
      <c r="M51" s="7">
        <f>HY!Q287</f>
        <v>5.6</v>
      </c>
      <c r="N51" s="7">
        <f>HY!R287</f>
        <v>3.7000000000000011</v>
      </c>
      <c r="O51" s="7">
        <f>HY!S287</f>
        <v>2.1</v>
      </c>
      <c r="P51" s="7">
        <f>HY!T287</f>
        <v>1.9999999999999996</v>
      </c>
      <c r="Q51" s="7">
        <f>HY!U287</f>
        <v>1.6</v>
      </c>
      <c r="R51" s="7">
        <f>HY!V287</f>
        <v>1.1999999999999997</v>
      </c>
      <c r="S51" s="7">
        <f>HY!W287</f>
        <v>1</v>
      </c>
      <c r="T51" s="7">
        <f>HY!X287</f>
        <v>2</v>
      </c>
      <c r="U51" s="7">
        <f>HY!Y287</f>
        <v>5</v>
      </c>
      <c r="V51" s="7">
        <f>HY!Z287</f>
        <v>10</v>
      </c>
      <c r="W51" s="7">
        <f>HY!AA287</f>
        <v>12</v>
      </c>
      <c r="X51" s="7">
        <f>HY!AB287</f>
        <v>12</v>
      </c>
      <c r="Y51" s="7">
        <f>HY!AC287</f>
        <v>14.399999999999999</v>
      </c>
      <c r="Z51" s="7">
        <f>HY!AD287</f>
        <v>14.399999999999999</v>
      </c>
      <c r="AF51" s="7">
        <f t="shared" si="11"/>
        <v>13.1</v>
      </c>
      <c r="AG51" s="7">
        <f t="shared" si="11"/>
        <v>16.899999999999999</v>
      </c>
      <c r="AH51" s="7">
        <f t="shared" si="11"/>
        <v>15.4</v>
      </c>
      <c r="AI51" s="7">
        <f t="shared" si="11"/>
        <v>9.3000000000000007</v>
      </c>
      <c r="AJ51" s="7">
        <f t="shared" si="11"/>
        <v>4.0999999999999996</v>
      </c>
      <c r="AK51" s="7">
        <f t="shared" si="11"/>
        <v>2.8</v>
      </c>
      <c r="AL51" s="7">
        <f t="shared" si="11"/>
        <v>3</v>
      </c>
      <c r="AM51" s="7">
        <f t="shared" si="11"/>
        <v>15</v>
      </c>
      <c r="AN51" s="7">
        <f t="shared" si="11"/>
        <v>24</v>
      </c>
      <c r="AO51" s="7">
        <f t="shared" si="11"/>
        <v>28.799999999999997</v>
      </c>
    </row>
    <row r="52" spans="2:41">
      <c r="B52" s="111" t="str">
        <f>$C$49&amp;C52</f>
        <v>SKYCITY ONLINEExpenses</v>
      </c>
      <c r="C52" s="49" t="s">
        <v>136</v>
      </c>
      <c r="D52" s="36" t="s">
        <v>72</v>
      </c>
      <c r="F52" s="49"/>
      <c r="G52" s="7">
        <f>HY!K290</f>
        <v>-2.1</v>
      </c>
      <c r="H52" s="7">
        <f>HY!L290</f>
        <v>-1.9999999999999996</v>
      </c>
      <c r="I52" s="7">
        <f>HY!M290</f>
        <v>-2.2999999999999998</v>
      </c>
      <c r="J52" s="7">
        <f>HY!N290</f>
        <v>-1.7999999999999998</v>
      </c>
      <c r="K52" s="7">
        <f>HY!O290</f>
        <v>-2.2000000000000002</v>
      </c>
      <c r="L52" s="7">
        <f>HY!P290</f>
        <v>-2.3999999999999995</v>
      </c>
      <c r="M52" s="7">
        <f>HY!Q290</f>
        <v>-2.6</v>
      </c>
      <c r="N52" s="7">
        <f>HY!R290</f>
        <v>-3.1999999999999997</v>
      </c>
      <c r="O52" s="7">
        <f>HY!S290</f>
        <v>-3.2</v>
      </c>
      <c r="P52" s="7">
        <f>HY!T290</f>
        <v>-2.7</v>
      </c>
      <c r="Q52" s="7">
        <f>HY!U290</f>
        <v>-3.8</v>
      </c>
      <c r="R52" s="7">
        <f>HY!V290</f>
        <v>-5.3999999999999995</v>
      </c>
      <c r="S52" s="7">
        <f>HY!W290</f>
        <v>-7</v>
      </c>
      <c r="T52" s="7">
        <f>HY!X290</f>
        <v>-9</v>
      </c>
      <c r="U52" s="7">
        <f>HY!Y290</f>
        <v>-10</v>
      </c>
      <c r="V52" s="7">
        <f>HY!Z290</f>
        <v>-10</v>
      </c>
      <c r="W52" s="7">
        <f>HY!AA290</f>
        <v>-7.1999999999999993</v>
      </c>
      <c r="X52" s="7">
        <f>HY!AB290</f>
        <v>-7.1999999999999993</v>
      </c>
      <c r="Y52" s="7">
        <f>HY!AC290</f>
        <v>-8.6399999999999988</v>
      </c>
      <c r="Z52" s="7">
        <f>HY!AD290</f>
        <v>-8.6399999999999988</v>
      </c>
      <c r="AF52" s="7">
        <f t="shared" si="11"/>
        <v>-4.0999999999999996</v>
      </c>
      <c r="AG52" s="7">
        <f t="shared" si="11"/>
        <v>-4.0999999999999996</v>
      </c>
      <c r="AH52" s="7">
        <f t="shared" si="11"/>
        <v>-4.5999999999999996</v>
      </c>
      <c r="AI52" s="7">
        <f t="shared" si="11"/>
        <v>-5.8</v>
      </c>
      <c r="AJ52" s="7">
        <f t="shared" si="11"/>
        <v>-5.9</v>
      </c>
      <c r="AK52" s="7">
        <f t="shared" si="11"/>
        <v>-9.1999999999999993</v>
      </c>
      <c r="AL52" s="7">
        <f t="shared" si="11"/>
        <v>-16</v>
      </c>
      <c r="AM52" s="7">
        <f t="shared" si="11"/>
        <v>-20</v>
      </c>
      <c r="AN52" s="7">
        <f t="shared" si="11"/>
        <v>-14.399999999999999</v>
      </c>
      <c r="AO52" s="7">
        <f t="shared" si="11"/>
        <v>-17.279999999999998</v>
      </c>
    </row>
    <row r="53" spans="2:41">
      <c r="B53" s="111" t="str">
        <f>$C$49&amp;C53</f>
        <v>SKYCITY ONLINEEBITDA</v>
      </c>
      <c r="C53" s="49" t="s">
        <v>26</v>
      </c>
      <c r="D53" s="36" t="s">
        <v>72</v>
      </c>
      <c r="F53" s="49"/>
      <c r="G53" s="7">
        <f>HY!K293</f>
        <v>5.4</v>
      </c>
      <c r="H53" s="7">
        <f>HY!L293</f>
        <v>3.6999999999999993</v>
      </c>
      <c r="I53" s="7">
        <f>HY!M293</f>
        <v>7</v>
      </c>
      <c r="J53" s="7">
        <f>HY!N293</f>
        <v>5.9</v>
      </c>
      <c r="K53" s="7">
        <f>HY!O293</f>
        <v>5.6</v>
      </c>
      <c r="L53" s="7">
        <f>HY!P293</f>
        <v>5.0999999999999996</v>
      </c>
      <c r="M53" s="7">
        <f>HY!Q293</f>
        <v>3</v>
      </c>
      <c r="N53" s="7">
        <f>HY!R293</f>
        <v>0.60000000000000009</v>
      </c>
      <c r="O53" s="7">
        <f>HY!S293</f>
        <v>-1.1000000000000001</v>
      </c>
      <c r="P53" s="7">
        <f>HY!T293</f>
        <v>-0.7</v>
      </c>
      <c r="Q53" s="7">
        <f>HY!U293</f>
        <v>-2.1</v>
      </c>
      <c r="R53" s="7">
        <f>HY!V293</f>
        <v>-4.3000000000000007</v>
      </c>
      <c r="S53" s="7">
        <f>HY!W293</f>
        <v>-6</v>
      </c>
      <c r="T53" s="7">
        <f>HY!X293</f>
        <v>-7</v>
      </c>
      <c r="U53" s="7">
        <f>HY!Y293</f>
        <v>-5</v>
      </c>
      <c r="V53" s="7">
        <f>HY!Z293</f>
        <v>0</v>
      </c>
      <c r="W53" s="7">
        <f>HY!AA293</f>
        <v>4.8000000000000007</v>
      </c>
      <c r="X53" s="7">
        <f>HY!AB293</f>
        <v>4.8000000000000007</v>
      </c>
      <c r="Y53" s="7">
        <f>HY!AC293</f>
        <v>5.76</v>
      </c>
      <c r="Z53" s="7">
        <f>HY!AD293</f>
        <v>5.76</v>
      </c>
      <c r="AF53" s="7">
        <f t="shared" si="11"/>
        <v>9.1</v>
      </c>
      <c r="AG53" s="7">
        <f t="shared" si="11"/>
        <v>12.9</v>
      </c>
      <c r="AH53" s="7">
        <f t="shared" si="11"/>
        <v>10.7</v>
      </c>
      <c r="AI53" s="7">
        <f t="shared" si="11"/>
        <v>3.6</v>
      </c>
      <c r="AJ53" s="7">
        <f t="shared" si="11"/>
        <v>-1.8</v>
      </c>
      <c r="AK53" s="7">
        <f t="shared" si="11"/>
        <v>-6.4</v>
      </c>
      <c r="AL53" s="7">
        <f t="shared" si="11"/>
        <v>-13</v>
      </c>
      <c r="AM53" s="7">
        <f t="shared" si="11"/>
        <v>-5</v>
      </c>
      <c r="AN53" s="7">
        <f t="shared" si="11"/>
        <v>9.6000000000000014</v>
      </c>
      <c r="AO53" s="7">
        <f t="shared" si="11"/>
        <v>11.52</v>
      </c>
    </row>
    <row r="54" spans="2:41">
      <c r="B54" s="111" t="str">
        <f>$C$49&amp;C54</f>
        <v>SKYCITY ONLINEEBITDA - incl. Equity Earnings</v>
      </c>
      <c r="C54" s="49" t="s">
        <v>139</v>
      </c>
      <c r="D54" s="36" t="s">
        <v>72</v>
      </c>
      <c r="F54" s="49"/>
      <c r="G54" s="7">
        <f>HY!K299</f>
        <v>5.4</v>
      </c>
      <c r="H54" s="7">
        <f>HY!L299</f>
        <v>3.6999999999999993</v>
      </c>
      <c r="I54" s="7">
        <f>HY!M299</f>
        <v>7</v>
      </c>
      <c r="J54" s="7">
        <f>HY!N299</f>
        <v>5.9</v>
      </c>
      <c r="K54" s="7">
        <f>HY!O299</f>
        <v>6</v>
      </c>
      <c r="L54" s="7">
        <f>HY!P299</f>
        <v>5.8000000000000007</v>
      </c>
      <c r="M54" s="7">
        <f>HY!Q299</f>
        <v>5.9</v>
      </c>
      <c r="N54" s="7">
        <f>HY!R299</f>
        <v>5.9</v>
      </c>
      <c r="O54" s="7">
        <f>HY!S299</f>
        <v>0</v>
      </c>
      <c r="P54" s="7">
        <f>HY!T299</f>
        <v>0</v>
      </c>
      <c r="Q54" s="7">
        <f>HY!U299</f>
        <v>0</v>
      </c>
      <c r="R54" s="7">
        <f>HY!V299</f>
        <v>0</v>
      </c>
      <c r="S54" s="7">
        <f>HY!W299</f>
        <v>0</v>
      </c>
      <c r="T54" s="7">
        <f>HY!X299</f>
        <v>0</v>
      </c>
      <c r="U54" s="7">
        <f>HY!Y299</f>
        <v>0</v>
      </c>
      <c r="V54" s="7">
        <f>HY!Z299</f>
        <v>0</v>
      </c>
      <c r="W54" s="7">
        <f>HY!AA299</f>
        <v>0</v>
      </c>
      <c r="X54" s="7">
        <f>HY!AB299</f>
        <v>0</v>
      </c>
      <c r="Y54" s="7">
        <f>HY!AC299</f>
        <v>0</v>
      </c>
      <c r="Z54" s="7">
        <f>HY!AD299</f>
        <v>0</v>
      </c>
      <c r="AF54" s="7">
        <f t="shared" si="11"/>
        <v>9.1</v>
      </c>
      <c r="AG54" s="7">
        <f t="shared" si="11"/>
        <v>12.9</v>
      </c>
      <c r="AH54" s="7">
        <f t="shared" si="11"/>
        <v>11.8</v>
      </c>
      <c r="AI54" s="7">
        <f t="shared" si="11"/>
        <v>11.8</v>
      </c>
      <c r="AJ54" s="7">
        <f t="shared" si="11"/>
        <v>0</v>
      </c>
      <c r="AK54" s="7">
        <f t="shared" si="11"/>
        <v>0</v>
      </c>
      <c r="AL54" s="7">
        <f t="shared" si="11"/>
        <v>0</v>
      </c>
      <c r="AM54" s="7">
        <f t="shared" si="11"/>
        <v>0</v>
      </c>
      <c r="AN54" s="7">
        <f t="shared" si="11"/>
        <v>0</v>
      </c>
      <c r="AO54" s="7">
        <f t="shared" si="11"/>
        <v>0</v>
      </c>
    </row>
    <row r="56" spans="2:41">
      <c r="C56" s="208" t="s">
        <v>1416</v>
      </c>
    </row>
    <row r="57" spans="2:41">
      <c r="B57" s="111" t="str">
        <f t="shared" ref="B57:B64" si="12">$C$56&amp;C57</f>
        <v>SEGMENTS - REVENUEAuckland</v>
      </c>
      <c r="C57" s="49" t="s">
        <v>70</v>
      </c>
      <c r="D57" s="36" t="s">
        <v>72</v>
      </c>
      <c r="F57" s="49"/>
      <c r="G57" s="7" t="e">
        <f>HY!#REF!</f>
        <v>#REF!</v>
      </c>
      <c r="H57" s="7" t="e">
        <f>HY!#REF!</f>
        <v>#REF!</v>
      </c>
      <c r="I57" s="7" t="e">
        <f>HY!#REF!</f>
        <v>#REF!</v>
      </c>
      <c r="J57" s="7" t="e">
        <f>HY!#REF!</f>
        <v>#REF!</v>
      </c>
      <c r="K57" s="7" t="e">
        <f>HY!#REF!</f>
        <v>#REF!</v>
      </c>
      <c r="L57" s="7" t="e">
        <f>HY!#REF!</f>
        <v>#REF!</v>
      </c>
      <c r="M57" s="7" t="e">
        <f>HY!#REF!</f>
        <v>#REF!</v>
      </c>
      <c r="N57" s="7" t="e">
        <f>HY!#REF!</f>
        <v>#REF!</v>
      </c>
      <c r="O57" s="7" t="e">
        <f>HY!#REF!</f>
        <v>#REF!</v>
      </c>
      <c r="P57" s="7" t="e">
        <f>HY!#REF!</f>
        <v>#REF!</v>
      </c>
      <c r="Q57" s="7" t="e">
        <f>HY!#REF!</f>
        <v>#REF!</v>
      </c>
      <c r="R57" s="7" t="e">
        <f>HY!#REF!</f>
        <v>#REF!</v>
      </c>
      <c r="S57" s="7" t="e">
        <f>HY!#REF!</f>
        <v>#REF!</v>
      </c>
      <c r="T57" s="7" t="e">
        <f>HY!#REF!</f>
        <v>#REF!</v>
      </c>
      <c r="U57" s="7" t="e">
        <f>HY!#REF!</f>
        <v>#REF!</v>
      </c>
      <c r="V57" s="7" t="e">
        <f>HY!#REF!</f>
        <v>#REF!</v>
      </c>
      <c r="W57" s="7" t="e">
        <f>HY!#REF!</f>
        <v>#REF!</v>
      </c>
      <c r="X57" s="7" t="e">
        <f>HY!#REF!</f>
        <v>#REF!</v>
      </c>
      <c r="Y57" s="7" t="e">
        <f>HY!#REF!</f>
        <v>#REF!</v>
      </c>
      <c r="Z57" s="7" t="e">
        <f>HY!#REF!</f>
        <v>#REF!</v>
      </c>
      <c r="AF57" s="7" t="e">
        <f t="shared" ref="AF57:AO64" si="13">SUMIFS($G57:$Z57,$G$3:$Z$3,AF$5)</f>
        <v>#REF!</v>
      </c>
      <c r="AG57" s="7" t="e">
        <f t="shared" si="13"/>
        <v>#REF!</v>
      </c>
      <c r="AH57" s="7" t="e">
        <f t="shared" si="13"/>
        <v>#REF!</v>
      </c>
      <c r="AI57" s="7" t="e">
        <f t="shared" si="13"/>
        <v>#REF!</v>
      </c>
      <c r="AJ57" s="7" t="e">
        <f t="shared" si="13"/>
        <v>#REF!</v>
      </c>
      <c r="AK57" s="7" t="e">
        <f t="shared" si="13"/>
        <v>#REF!</v>
      </c>
      <c r="AL57" s="7" t="e">
        <f t="shared" si="13"/>
        <v>#REF!</v>
      </c>
      <c r="AM57" s="7" t="e">
        <f t="shared" si="13"/>
        <v>#REF!</v>
      </c>
      <c r="AN57" s="7" t="e">
        <f t="shared" si="13"/>
        <v>#REF!</v>
      </c>
      <c r="AO57" s="7" t="e">
        <f t="shared" si="13"/>
        <v>#REF!</v>
      </c>
    </row>
    <row r="58" spans="2:41">
      <c r="B58" s="111" t="str">
        <f t="shared" si="12"/>
        <v>SEGMENTS - REVENUEHamilton</v>
      </c>
      <c r="C58" s="49" t="s">
        <v>1284</v>
      </c>
      <c r="D58" s="36" t="s">
        <v>72</v>
      </c>
      <c r="F58" s="49"/>
      <c r="G58" s="7" t="e">
        <f>HY!#REF!</f>
        <v>#REF!</v>
      </c>
      <c r="H58" s="7" t="e">
        <f>HY!#REF!</f>
        <v>#REF!</v>
      </c>
      <c r="I58" s="7" t="e">
        <f>HY!#REF!</f>
        <v>#REF!</v>
      </c>
      <c r="J58" s="7" t="e">
        <f>HY!#REF!</f>
        <v>#REF!</v>
      </c>
      <c r="K58" s="7" t="e">
        <f>HY!#REF!</f>
        <v>#REF!</v>
      </c>
      <c r="L58" s="7" t="e">
        <f>HY!#REF!</f>
        <v>#REF!</v>
      </c>
      <c r="M58" s="7" t="e">
        <f>HY!#REF!</f>
        <v>#REF!</v>
      </c>
      <c r="N58" s="7" t="e">
        <f>HY!#REF!</f>
        <v>#REF!</v>
      </c>
      <c r="O58" s="7" t="e">
        <f>HY!#REF!</f>
        <v>#REF!</v>
      </c>
      <c r="P58" s="7" t="e">
        <f>HY!#REF!</f>
        <v>#REF!</v>
      </c>
      <c r="Q58" s="7" t="e">
        <f>HY!#REF!</f>
        <v>#REF!</v>
      </c>
      <c r="R58" s="7" t="e">
        <f>HY!#REF!</f>
        <v>#REF!</v>
      </c>
      <c r="S58" s="7" t="e">
        <f>HY!#REF!</f>
        <v>#REF!</v>
      </c>
      <c r="T58" s="7" t="e">
        <f>HY!#REF!</f>
        <v>#REF!</v>
      </c>
      <c r="U58" s="7" t="e">
        <f>HY!#REF!</f>
        <v>#REF!</v>
      </c>
      <c r="V58" s="7" t="e">
        <f>HY!#REF!</f>
        <v>#REF!</v>
      </c>
      <c r="W58" s="7" t="e">
        <f>HY!#REF!</f>
        <v>#REF!</v>
      </c>
      <c r="X58" s="7" t="e">
        <f>HY!#REF!</f>
        <v>#REF!</v>
      </c>
      <c r="Y58" s="7" t="e">
        <f>HY!#REF!</f>
        <v>#REF!</v>
      </c>
      <c r="Z58" s="7" t="e">
        <f>HY!#REF!</f>
        <v>#REF!</v>
      </c>
      <c r="AF58" s="7" t="e">
        <f t="shared" si="13"/>
        <v>#REF!</v>
      </c>
      <c r="AG58" s="7" t="e">
        <f t="shared" si="13"/>
        <v>#REF!</v>
      </c>
      <c r="AH58" s="7" t="e">
        <f t="shared" si="13"/>
        <v>#REF!</v>
      </c>
      <c r="AI58" s="7" t="e">
        <f t="shared" si="13"/>
        <v>#REF!</v>
      </c>
      <c r="AJ58" s="7" t="e">
        <f t="shared" si="13"/>
        <v>#REF!</v>
      </c>
      <c r="AK58" s="7" t="e">
        <f t="shared" si="13"/>
        <v>#REF!</v>
      </c>
      <c r="AL58" s="7" t="e">
        <f t="shared" si="13"/>
        <v>#REF!</v>
      </c>
      <c r="AM58" s="7" t="e">
        <f t="shared" si="13"/>
        <v>#REF!</v>
      </c>
      <c r="AN58" s="7" t="e">
        <f t="shared" si="13"/>
        <v>#REF!</v>
      </c>
      <c r="AO58" s="7" t="e">
        <f t="shared" si="13"/>
        <v>#REF!</v>
      </c>
    </row>
    <row r="59" spans="2:41">
      <c r="B59" s="111" t="str">
        <f t="shared" si="12"/>
        <v>SEGMENTS - REVENUEQueenstown</v>
      </c>
      <c r="C59" s="49" t="s">
        <v>1417</v>
      </c>
      <c r="D59" s="36" t="s">
        <v>72</v>
      </c>
      <c r="F59" s="49"/>
      <c r="G59" s="7" t="e">
        <f>HY!#REF!</f>
        <v>#REF!</v>
      </c>
      <c r="H59" s="7" t="e">
        <f>HY!#REF!</f>
        <v>#REF!</v>
      </c>
      <c r="I59" s="7" t="e">
        <f>HY!#REF!</f>
        <v>#REF!</v>
      </c>
      <c r="J59" s="7" t="e">
        <f>HY!#REF!</f>
        <v>#REF!</v>
      </c>
      <c r="K59" s="7" t="e">
        <f>HY!#REF!</f>
        <v>#REF!</v>
      </c>
      <c r="L59" s="7" t="e">
        <f>HY!#REF!</f>
        <v>#REF!</v>
      </c>
      <c r="M59" s="7" t="e">
        <f>HY!#REF!</f>
        <v>#REF!</v>
      </c>
      <c r="N59" s="7" t="e">
        <f>HY!#REF!</f>
        <v>#REF!</v>
      </c>
      <c r="O59" s="7" t="e">
        <f>HY!#REF!</f>
        <v>#REF!</v>
      </c>
      <c r="P59" s="7" t="e">
        <f>HY!#REF!</f>
        <v>#REF!</v>
      </c>
      <c r="Q59" s="7" t="e">
        <f>HY!#REF!</f>
        <v>#REF!</v>
      </c>
      <c r="R59" s="7" t="e">
        <f>HY!#REF!</f>
        <v>#REF!</v>
      </c>
      <c r="S59" s="7" t="e">
        <f>HY!#REF!</f>
        <v>#REF!</v>
      </c>
      <c r="T59" s="7" t="e">
        <f>HY!#REF!</f>
        <v>#REF!</v>
      </c>
      <c r="U59" s="7" t="e">
        <f>HY!#REF!</f>
        <v>#REF!</v>
      </c>
      <c r="V59" s="7" t="e">
        <f>HY!#REF!</f>
        <v>#REF!</v>
      </c>
      <c r="W59" s="7" t="e">
        <f>HY!#REF!</f>
        <v>#REF!</v>
      </c>
      <c r="X59" s="7" t="e">
        <f>HY!#REF!</f>
        <v>#REF!</v>
      </c>
      <c r="Y59" s="7" t="e">
        <f>HY!#REF!</f>
        <v>#REF!</v>
      </c>
      <c r="Z59" s="7" t="e">
        <f>HY!#REF!</f>
        <v>#REF!</v>
      </c>
      <c r="AF59" s="7" t="e">
        <f t="shared" si="13"/>
        <v>#REF!</v>
      </c>
      <c r="AG59" s="7" t="e">
        <f t="shared" si="13"/>
        <v>#REF!</v>
      </c>
      <c r="AH59" s="7" t="e">
        <f t="shared" si="13"/>
        <v>#REF!</v>
      </c>
      <c r="AI59" s="7" t="e">
        <f t="shared" si="13"/>
        <v>#REF!</v>
      </c>
      <c r="AJ59" s="7" t="e">
        <f t="shared" si="13"/>
        <v>#REF!</v>
      </c>
      <c r="AK59" s="7" t="e">
        <f t="shared" si="13"/>
        <v>#REF!</v>
      </c>
      <c r="AL59" s="7" t="e">
        <f t="shared" si="13"/>
        <v>#REF!</v>
      </c>
      <c r="AM59" s="7" t="e">
        <f t="shared" si="13"/>
        <v>#REF!</v>
      </c>
      <c r="AN59" s="7" t="e">
        <f t="shared" si="13"/>
        <v>#REF!</v>
      </c>
      <c r="AO59" s="7" t="e">
        <f t="shared" si="13"/>
        <v>#REF!</v>
      </c>
    </row>
    <row r="60" spans="2:41">
      <c r="B60" s="111" t="str">
        <f t="shared" si="12"/>
        <v>SEGMENTS - REVENUEAdelaide (NZ$)</v>
      </c>
      <c r="C60" s="49" t="s">
        <v>1418</v>
      </c>
      <c r="D60" s="36" t="s">
        <v>72</v>
      </c>
      <c r="F60" s="49"/>
      <c r="G60" s="7" t="e">
        <f>HY!#REF!</f>
        <v>#REF!</v>
      </c>
      <c r="H60" s="7" t="e">
        <f>HY!#REF!</f>
        <v>#REF!</v>
      </c>
      <c r="I60" s="7" t="e">
        <f>HY!#REF!</f>
        <v>#REF!</v>
      </c>
      <c r="J60" s="7" t="e">
        <f>HY!#REF!</f>
        <v>#REF!</v>
      </c>
      <c r="K60" s="7" t="e">
        <f>HY!#REF!</f>
        <v>#REF!</v>
      </c>
      <c r="L60" s="7" t="e">
        <f>HY!#REF!</f>
        <v>#REF!</v>
      </c>
      <c r="M60" s="7" t="e">
        <f>HY!#REF!</f>
        <v>#REF!</v>
      </c>
      <c r="N60" s="7" t="e">
        <f>HY!#REF!</f>
        <v>#REF!</v>
      </c>
      <c r="O60" s="7" t="e">
        <f>HY!#REF!</f>
        <v>#REF!</v>
      </c>
      <c r="P60" s="7" t="e">
        <f>HY!#REF!</f>
        <v>#REF!</v>
      </c>
      <c r="Q60" s="7" t="e">
        <f>HY!#REF!</f>
        <v>#REF!</v>
      </c>
      <c r="R60" s="7" t="e">
        <f>HY!#REF!</f>
        <v>#REF!</v>
      </c>
      <c r="S60" s="7" t="e">
        <f>HY!#REF!</f>
        <v>#REF!</v>
      </c>
      <c r="T60" s="7" t="e">
        <f>HY!#REF!</f>
        <v>#REF!</v>
      </c>
      <c r="U60" s="7" t="e">
        <f>HY!#REF!</f>
        <v>#REF!</v>
      </c>
      <c r="V60" s="7" t="e">
        <f>HY!#REF!</f>
        <v>#REF!</v>
      </c>
      <c r="W60" s="7" t="e">
        <f>HY!#REF!</f>
        <v>#REF!</v>
      </c>
      <c r="X60" s="7" t="e">
        <f>HY!#REF!</f>
        <v>#REF!</v>
      </c>
      <c r="Y60" s="7" t="e">
        <f>HY!#REF!</f>
        <v>#REF!</v>
      </c>
      <c r="Z60" s="7" t="e">
        <f>HY!#REF!</f>
        <v>#REF!</v>
      </c>
      <c r="AF60" s="7" t="e">
        <f t="shared" si="13"/>
        <v>#REF!</v>
      </c>
      <c r="AG60" s="7" t="e">
        <f t="shared" si="13"/>
        <v>#REF!</v>
      </c>
      <c r="AH60" s="7" t="e">
        <f t="shared" si="13"/>
        <v>#REF!</v>
      </c>
      <c r="AI60" s="7" t="e">
        <f t="shared" si="13"/>
        <v>#REF!</v>
      </c>
      <c r="AJ60" s="7" t="e">
        <f t="shared" si="13"/>
        <v>#REF!</v>
      </c>
      <c r="AK60" s="7" t="e">
        <f t="shared" si="13"/>
        <v>#REF!</v>
      </c>
      <c r="AL60" s="7" t="e">
        <f t="shared" si="13"/>
        <v>#REF!</v>
      </c>
      <c r="AM60" s="7" t="e">
        <f t="shared" si="13"/>
        <v>#REF!</v>
      </c>
      <c r="AN60" s="7" t="e">
        <f t="shared" si="13"/>
        <v>#REF!</v>
      </c>
      <c r="AO60" s="7" t="e">
        <f t="shared" si="13"/>
        <v>#REF!</v>
      </c>
    </row>
    <row r="61" spans="2:41">
      <c r="B61" s="111" t="str">
        <f t="shared" si="12"/>
        <v>SEGMENTS - REVENUEVIP - normalised</v>
      </c>
      <c r="C61" s="49" t="s">
        <v>1419</v>
      </c>
      <c r="D61" s="36" t="s">
        <v>72</v>
      </c>
      <c r="F61" s="49"/>
      <c r="G61" s="7" t="e">
        <f>HY!#REF!</f>
        <v>#REF!</v>
      </c>
      <c r="H61" s="7" t="e">
        <f>HY!#REF!</f>
        <v>#REF!</v>
      </c>
      <c r="I61" s="7" t="e">
        <f>HY!#REF!</f>
        <v>#REF!</v>
      </c>
      <c r="J61" s="7" t="e">
        <f>HY!#REF!</f>
        <v>#REF!</v>
      </c>
      <c r="K61" s="7" t="e">
        <f>HY!#REF!</f>
        <v>#REF!</v>
      </c>
      <c r="L61" s="7" t="e">
        <f>HY!#REF!</f>
        <v>#REF!</v>
      </c>
      <c r="M61" s="7" t="e">
        <f>HY!#REF!</f>
        <v>#REF!</v>
      </c>
      <c r="N61" s="7" t="e">
        <f>HY!#REF!</f>
        <v>#REF!</v>
      </c>
      <c r="O61" s="7" t="e">
        <f>HY!#REF!</f>
        <v>#REF!</v>
      </c>
      <c r="P61" s="7" t="e">
        <f>HY!#REF!</f>
        <v>#REF!</v>
      </c>
      <c r="Q61" s="7" t="e">
        <f>HY!#REF!</f>
        <v>#REF!</v>
      </c>
      <c r="R61" s="7" t="e">
        <f>HY!#REF!</f>
        <v>#REF!</v>
      </c>
      <c r="S61" s="7" t="e">
        <f>HY!#REF!</f>
        <v>#REF!</v>
      </c>
      <c r="T61" s="7" t="e">
        <f>HY!#REF!</f>
        <v>#REF!</v>
      </c>
      <c r="U61" s="7" t="e">
        <f>HY!#REF!</f>
        <v>#REF!</v>
      </c>
      <c r="V61" s="7" t="e">
        <f>HY!#REF!</f>
        <v>#REF!</v>
      </c>
      <c r="W61" s="7" t="e">
        <f>HY!#REF!</f>
        <v>#REF!</v>
      </c>
      <c r="X61" s="7" t="e">
        <f>HY!#REF!</f>
        <v>#REF!</v>
      </c>
      <c r="Y61" s="7" t="e">
        <f>HY!#REF!</f>
        <v>#REF!</v>
      </c>
      <c r="Z61" s="7" t="e">
        <f>HY!#REF!</f>
        <v>#REF!</v>
      </c>
      <c r="AF61" s="7" t="e">
        <f t="shared" si="13"/>
        <v>#REF!</v>
      </c>
      <c r="AG61" s="7" t="e">
        <f t="shared" si="13"/>
        <v>#REF!</v>
      </c>
      <c r="AH61" s="7" t="e">
        <f t="shared" si="13"/>
        <v>#REF!</v>
      </c>
      <c r="AI61" s="7" t="e">
        <f t="shared" si="13"/>
        <v>#REF!</v>
      </c>
      <c r="AJ61" s="7" t="e">
        <f t="shared" si="13"/>
        <v>#REF!</v>
      </c>
      <c r="AK61" s="7" t="e">
        <f t="shared" si="13"/>
        <v>#REF!</v>
      </c>
      <c r="AL61" s="7" t="e">
        <f t="shared" si="13"/>
        <v>#REF!</v>
      </c>
      <c r="AM61" s="7" t="e">
        <f t="shared" si="13"/>
        <v>#REF!</v>
      </c>
      <c r="AN61" s="7" t="e">
        <f t="shared" si="13"/>
        <v>#REF!</v>
      </c>
      <c r="AO61" s="7" t="e">
        <f t="shared" si="13"/>
        <v>#REF!</v>
      </c>
    </row>
    <row r="62" spans="2:41">
      <c r="B62" s="111" t="str">
        <f t="shared" si="12"/>
        <v>SEGMENTS - REVENUEOnline (from segments)</v>
      </c>
      <c r="C62" s="49" t="s">
        <v>149</v>
      </c>
      <c r="D62" s="36" t="s">
        <v>72</v>
      </c>
      <c r="F62" s="49"/>
      <c r="G62" s="7" t="e">
        <f>HY!#REF!</f>
        <v>#REF!</v>
      </c>
      <c r="H62" s="7" t="e">
        <f>HY!#REF!</f>
        <v>#REF!</v>
      </c>
      <c r="I62" s="7" t="e">
        <f>HY!#REF!</f>
        <v>#REF!</v>
      </c>
      <c r="J62" s="7" t="e">
        <f>HY!#REF!</f>
        <v>#REF!</v>
      </c>
      <c r="K62" s="7" t="e">
        <f>HY!#REF!</f>
        <v>#REF!</v>
      </c>
      <c r="L62" s="7" t="e">
        <f>HY!#REF!</f>
        <v>#REF!</v>
      </c>
      <c r="M62" s="7" t="e">
        <f>HY!#REF!</f>
        <v>#REF!</v>
      </c>
      <c r="N62" s="7" t="e">
        <f>HY!#REF!</f>
        <v>#REF!</v>
      </c>
      <c r="O62" s="7" t="e">
        <f>HY!#REF!</f>
        <v>#REF!</v>
      </c>
      <c r="P62" s="7" t="e">
        <f>HY!#REF!</f>
        <v>#REF!</v>
      </c>
      <c r="Q62" s="7" t="e">
        <f>HY!#REF!</f>
        <v>#REF!</v>
      </c>
      <c r="R62" s="7" t="e">
        <f>HY!#REF!</f>
        <v>#REF!</v>
      </c>
      <c r="S62" s="7" t="e">
        <f>HY!#REF!</f>
        <v>#REF!</v>
      </c>
      <c r="T62" s="7" t="e">
        <f>HY!#REF!</f>
        <v>#REF!</v>
      </c>
      <c r="U62" s="7" t="e">
        <f>HY!#REF!</f>
        <v>#REF!</v>
      </c>
      <c r="V62" s="7" t="e">
        <f>HY!#REF!</f>
        <v>#REF!</v>
      </c>
      <c r="W62" s="7" t="e">
        <f>HY!#REF!</f>
        <v>#REF!</v>
      </c>
      <c r="X62" s="7" t="e">
        <f>HY!#REF!</f>
        <v>#REF!</v>
      </c>
      <c r="Y62" s="7" t="e">
        <f>HY!#REF!</f>
        <v>#REF!</v>
      </c>
      <c r="Z62" s="7" t="e">
        <f>HY!#REF!</f>
        <v>#REF!</v>
      </c>
      <c r="AF62" s="7" t="e">
        <f t="shared" si="13"/>
        <v>#REF!</v>
      </c>
      <c r="AG62" s="7" t="e">
        <f t="shared" si="13"/>
        <v>#REF!</v>
      </c>
      <c r="AH62" s="7" t="e">
        <f t="shared" si="13"/>
        <v>#REF!</v>
      </c>
      <c r="AI62" s="7" t="e">
        <f t="shared" si="13"/>
        <v>#REF!</v>
      </c>
      <c r="AJ62" s="7" t="e">
        <f t="shared" si="13"/>
        <v>#REF!</v>
      </c>
      <c r="AK62" s="7" t="e">
        <f t="shared" si="13"/>
        <v>#REF!</v>
      </c>
      <c r="AL62" s="7" t="e">
        <f t="shared" si="13"/>
        <v>#REF!</v>
      </c>
      <c r="AM62" s="7" t="e">
        <f t="shared" si="13"/>
        <v>#REF!</v>
      </c>
      <c r="AN62" s="7" t="e">
        <f t="shared" si="13"/>
        <v>#REF!</v>
      </c>
      <c r="AO62" s="7" t="e">
        <f t="shared" si="13"/>
        <v>#REF!</v>
      </c>
    </row>
    <row r="63" spans="2:41">
      <c r="B63" s="111" t="str">
        <f t="shared" si="12"/>
        <v>SEGMENTS - REVENUEOther (balancing) incl esports</v>
      </c>
      <c r="C63" s="49" t="s">
        <v>1420</v>
      </c>
      <c r="D63" s="36" t="s">
        <v>72</v>
      </c>
      <c r="F63" s="49"/>
      <c r="G63" s="7" t="e">
        <f>HY!#REF!</f>
        <v>#REF!</v>
      </c>
      <c r="H63" s="7" t="e">
        <f>HY!#REF!</f>
        <v>#REF!</v>
      </c>
      <c r="I63" s="7" t="e">
        <f>HY!#REF!</f>
        <v>#REF!</v>
      </c>
      <c r="J63" s="7" t="e">
        <f>HY!#REF!</f>
        <v>#REF!</v>
      </c>
      <c r="K63" s="7" t="e">
        <f>HY!#REF!</f>
        <v>#REF!</v>
      </c>
      <c r="L63" s="7" t="e">
        <f>HY!#REF!</f>
        <v>#REF!</v>
      </c>
      <c r="M63" s="7" t="e">
        <f>HY!#REF!</f>
        <v>#REF!</v>
      </c>
      <c r="N63" s="7" t="e">
        <f>HY!#REF!</f>
        <v>#REF!</v>
      </c>
      <c r="O63" s="7" t="e">
        <f>HY!#REF!</f>
        <v>#REF!</v>
      </c>
      <c r="P63" s="7" t="e">
        <f>HY!#REF!</f>
        <v>#REF!</v>
      </c>
      <c r="Q63" s="7" t="e">
        <f>HY!#REF!</f>
        <v>#REF!</v>
      </c>
      <c r="R63" s="7" t="e">
        <f>HY!#REF!</f>
        <v>#REF!</v>
      </c>
      <c r="S63" s="7" t="e">
        <f>HY!#REF!</f>
        <v>#REF!</v>
      </c>
      <c r="T63" s="7" t="e">
        <f>HY!#REF!</f>
        <v>#REF!</v>
      </c>
      <c r="U63" s="7" t="e">
        <f>HY!#REF!</f>
        <v>#REF!</v>
      </c>
      <c r="V63" s="7" t="e">
        <f>HY!#REF!</f>
        <v>#REF!</v>
      </c>
      <c r="W63" s="7" t="e">
        <f>HY!#REF!</f>
        <v>#REF!</v>
      </c>
      <c r="X63" s="7" t="e">
        <f>HY!#REF!</f>
        <v>#REF!</v>
      </c>
      <c r="Y63" s="7" t="e">
        <f>HY!#REF!</f>
        <v>#REF!</v>
      </c>
      <c r="Z63" s="7" t="e">
        <f>HY!#REF!</f>
        <v>#REF!</v>
      </c>
      <c r="AF63" s="7" t="e">
        <f t="shared" si="13"/>
        <v>#REF!</v>
      </c>
      <c r="AG63" s="7" t="e">
        <f t="shared" si="13"/>
        <v>#REF!</v>
      </c>
      <c r="AH63" s="7" t="e">
        <f t="shared" si="13"/>
        <v>#REF!</v>
      </c>
      <c r="AI63" s="7" t="e">
        <f t="shared" si="13"/>
        <v>#REF!</v>
      </c>
      <c r="AJ63" s="7" t="e">
        <f t="shared" si="13"/>
        <v>#REF!</v>
      </c>
      <c r="AK63" s="7" t="e">
        <f t="shared" si="13"/>
        <v>#REF!</v>
      </c>
      <c r="AL63" s="7" t="e">
        <f t="shared" si="13"/>
        <v>#REF!</v>
      </c>
      <c r="AM63" s="7" t="e">
        <f t="shared" si="13"/>
        <v>#REF!</v>
      </c>
      <c r="AN63" s="7" t="e">
        <f t="shared" si="13"/>
        <v>#REF!</v>
      </c>
      <c r="AO63" s="7" t="e">
        <f t="shared" si="13"/>
        <v>#REF!</v>
      </c>
    </row>
    <row r="64" spans="2:41">
      <c r="B64" s="111" t="str">
        <f t="shared" si="12"/>
        <v>SEGMENTS - REVENUENormalised  Revenue</v>
      </c>
      <c r="C64" s="49" t="s">
        <v>146</v>
      </c>
      <c r="D64" s="36" t="s">
        <v>72</v>
      </c>
      <c r="F64" s="49"/>
      <c r="G64" s="7" t="e">
        <f>HY!#REF!</f>
        <v>#REF!</v>
      </c>
      <c r="H64" s="7" t="e">
        <f>HY!#REF!</f>
        <v>#REF!</v>
      </c>
      <c r="I64" s="7" t="e">
        <f>HY!#REF!</f>
        <v>#REF!</v>
      </c>
      <c r="J64" s="7" t="e">
        <f>HY!#REF!</f>
        <v>#REF!</v>
      </c>
      <c r="K64" s="7" t="e">
        <f>HY!#REF!</f>
        <v>#REF!</v>
      </c>
      <c r="L64" s="7" t="e">
        <f>HY!#REF!</f>
        <v>#REF!</v>
      </c>
      <c r="M64" s="7" t="e">
        <f>HY!#REF!</f>
        <v>#REF!</v>
      </c>
      <c r="N64" s="7" t="e">
        <f>HY!#REF!</f>
        <v>#REF!</v>
      </c>
      <c r="O64" s="7" t="e">
        <f>HY!#REF!</f>
        <v>#REF!</v>
      </c>
      <c r="P64" s="7" t="e">
        <f>HY!#REF!</f>
        <v>#REF!</v>
      </c>
      <c r="Q64" s="7" t="e">
        <f>HY!#REF!</f>
        <v>#REF!</v>
      </c>
      <c r="R64" s="7" t="e">
        <f>HY!#REF!</f>
        <v>#REF!</v>
      </c>
      <c r="S64" s="7" t="e">
        <f>HY!#REF!</f>
        <v>#REF!</v>
      </c>
      <c r="T64" s="7" t="e">
        <f>HY!#REF!</f>
        <v>#REF!</v>
      </c>
      <c r="U64" s="7" t="e">
        <f>HY!#REF!</f>
        <v>#REF!</v>
      </c>
      <c r="V64" s="7" t="e">
        <f>HY!#REF!</f>
        <v>#REF!</v>
      </c>
      <c r="W64" s="7" t="e">
        <f>HY!#REF!</f>
        <v>#REF!</v>
      </c>
      <c r="X64" s="7" t="e">
        <f>HY!#REF!</f>
        <v>#REF!</v>
      </c>
      <c r="Y64" s="7" t="e">
        <f>HY!#REF!</f>
        <v>#REF!</v>
      </c>
      <c r="Z64" s="7" t="e">
        <f>HY!#REF!</f>
        <v>#REF!</v>
      </c>
      <c r="AF64" s="7" t="e">
        <f t="shared" si="13"/>
        <v>#REF!</v>
      </c>
      <c r="AG64" s="7" t="e">
        <f t="shared" si="13"/>
        <v>#REF!</v>
      </c>
      <c r="AH64" s="7" t="e">
        <f t="shared" si="13"/>
        <v>#REF!</v>
      </c>
      <c r="AI64" s="7" t="e">
        <f t="shared" si="13"/>
        <v>#REF!</v>
      </c>
      <c r="AJ64" s="7" t="e">
        <f t="shared" si="13"/>
        <v>#REF!</v>
      </c>
      <c r="AK64" s="7" t="e">
        <f t="shared" si="13"/>
        <v>#REF!</v>
      </c>
      <c r="AL64" s="7" t="e">
        <f t="shared" si="13"/>
        <v>#REF!</v>
      </c>
      <c r="AM64" s="7" t="e">
        <f t="shared" si="13"/>
        <v>#REF!</v>
      </c>
      <c r="AN64" s="7" t="e">
        <f t="shared" si="13"/>
        <v>#REF!</v>
      </c>
      <c r="AO64" s="7" t="e">
        <f t="shared" si="13"/>
        <v>#REF!</v>
      </c>
    </row>
    <row r="66" spans="2:41">
      <c r="C66" s="208" t="s">
        <v>1421</v>
      </c>
    </row>
    <row r="67" spans="2:41">
      <c r="B67" s="111" t="str">
        <f t="shared" ref="B67:B76" si="14">$C$66&amp;C67</f>
        <v>SEGMENTS - EBITDAAuckland</v>
      </c>
      <c r="C67" s="49" t="s">
        <v>70</v>
      </c>
      <c r="D67" s="36" t="s">
        <v>72</v>
      </c>
      <c r="F67" s="49"/>
      <c r="G67" s="7" t="e">
        <f>HY!#REF!</f>
        <v>#REF!</v>
      </c>
      <c r="H67" s="7" t="e">
        <f>HY!#REF!</f>
        <v>#REF!</v>
      </c>
      <c r="I67" s="7" t="e">
        <f>HY!#REF!</f>
        <v>#REF!</v>
      </c>
      <c r="J67" s="7" t="e">
        <f>HY!#REF!</f>
        <v>#REF!</v>
      </c>
      <c r="K67" s="7" t="e">
        <f>HY!#REF!</f>
        <v>#REF!</v>
      </c>
      <c r="L67" s="7" t="e">
        <f>HY!#REF!</f>
        <v>#REF!</v>
      </c>
      <c r="M67" s="7" t="e">
        <f>HY!#REF!</f>
        <v>#REF!</v>
      </c>
      <c r="N67" s="7" t="e">
        <f>HY!#REF!</f>
        <v>#REF!</v>
      </c>
      <c r="O67" s="7" t="e">
        <f>HY!#REF!</f>
        <v>#REF!</v>
      </c>
      <c r="P67" s="7" t="e">
        <f>HY!#REF!</f>
        <v>#REF!</v>
      </c>
      <c r="Q67" s="7" t="e">
        <f>HY!#REF!</f>
        <v>#REF!</v>
      </c>
      <c r="R67" s="7" t="e">
        <f>HY!#REF!</f>
        <v>#REF!</v>
      </c>
      <c r="S67" s="7" t="e">
        <f>HY!#REF!</f>
        <v>#REF!</v>
      </c>
      <c r="T67" s="7" t="e">
        <f>HY!#REF!</f>
        <v>#REF!</v>
      </c>
      <c r="U67" s="7" t="e">
        <f>HY!#REF!</f>
        <v>#REF!</v>
      </c>
      <c r="V67" s="7" t="e">
        <f>HY!#REF!</f>
        <v>#REF!</v>
      </c>
      <c r="W67" s="7" t="e">
        <f>HY!#REF!</f>
        <v>#REF!</v>
      </c>
      <c r="X67" s="7" t="e">
        <f>HY!#REF!</f>
        <v>#REF!</v>
      </c>
      <c r="Y67" s="7" t="e">
        <f>HY!#REF!</f>
        <v>#REF!</v>
      </c>
      <c r="Z67" s="7" t="e">
        <f>HY!#REF!</f>
        <v>#REF!</v>
      </c>
      <c r="AF67" s="7" t="e">
        <f t="shared" ref="AF67:AO76" si="15">SUMIFS($G67:$Z67,$G$3:$Z$3,AF$5)</f>
        <v>#REF!</v>
      </c>
      <c r="AG67" s="7" t="e">
        <f t="shared" si="15"/>
        <v>#REF!</v>
      </c>
      <c r="AH67" s="7" t="e">
        <f t="shared" si="15"/>
        <v>#REF!</v>
      </c>
      <c r="AI67" s="7" t="e">
        <f t="shared" si="15"/>
        <v>#REF!</v>
      </c>
      <c r="AJ67" s="7" t="e">
        <f t="shared" si="15"/>
        <v>#REF!</v>
      </c>
      <c r="AK67" s="7" t="e">
        <f t="shared" si="15"/>
        <v>#REF!</v>
      </c>
      <c r="AL67" s="7" t="e">
        <f t="shared" si="15"/>
        <v>#REF!</v>
      </c>
      <c r="AM67" s="7" t="e">
        <f t="shared" si="15"/>
        <v>#REF!</v>
      </c>
      <c r="AN67" s="7" t="e">
        <f t="shared" si="15"/>
        <v>#REF!</v>
      </c>
      <c r="AO67" s="7" t="e">
        <f t="shared" si="15"/>
        <v>#REF!</v>
      </c>
    </row>
    <row r="68" spans="2:41">
      <c r="B68" s="111" t="str">
        <f t="shared" si="14"/>
        <v>SEGMENTS - EBITDAHamilton</v>
      </c>
      <c r="C68" s="49" t="s">
        <v>1284</v>
      </c>
      <c r="D68" s="36" t="s">
        <v>72</v>
      </c>
      <c r="F68" s="49"/>
      <c r="G68" s="7" t="e">
        <f>HY!#REF!</f>
        <v>#REF!</v>
      </c>
      <c r="H68" s="7" t="e">
        <f>HY!#REF!</f>
        <v>#REF!</v>
      </c>
      <c r="I68" s="7" t="e">
        <f>HY!#REF!</f>
        <v>#REF!</v>
      </c>
      <c r="J68" s="7" t="e">
        <f>HY!#REF!</f>
        <v>#REF!</v>
      </c>
      <c r="K68" s="7" t="e">
        <f>HY!#REF!</f>
        <v>#REF!</v>
      </c>
      <c r="L68" s="7" t="e">
        <f>HY!#REF!</f>
        <v>#REF!</v>
      </c>
      <c r="M68" s="7" t="e">
        <f>HY!#REF!</f>
        <v>#REF!</v>
      </c>
      <c r="N68" s="7" t="e">
        <f>HY!#REF!</f>
        <v>#REF!</v>
      </c>
      <c r="O68" s="7" t="e">
        <f>HY!#REF!</f>
        <v>#REF!</v>
      </c>
      <c r="P68" s="7" t="e">
        <f>HY!#REF!</f>
        <v>#REF!</v>
      </c>
      <c r="Q68" s="7" t="e">
        <f>HY!#REF!</f>
        <v>#REF!</v>
      </c>
      <c r="R68" s="7" t="e">
        <f>HY!#REF!</f>
        <v>#REF!</v>
      </c>
      <c r="S68" s="7" t="e">
        <f>HY!#REF!</f>
        <v>#REF!</v>
      </c>
      <c r="T68" s="7" t="e">
        <f>HY!#REF!</f>
        <v>#REF!</v>
      </c>
      <c r="U68" s="7" t="e">
        <f>HY!#REF!</f>
        <v>#REF!</v>
      </c>
      <c r="V68" s="7" t="e">
        <f>HY!#REF!</f>
        <v>#REF!</v>
      </c>
      <c r="W68" s="7" t="e">
        <f>HY!#REF!</f>
        <v>#REF!</v>
      </c>
      <c r="X68" s="7" t="e">
        <f>HY!#REF!</f>
        <v>#REF!</v>
      </c>
      <c r="Y68" s="7" t="e">
        <f>HY!#REF!</f>
        <v>#REF!</v>
      </c>
      <c r="Z68" s="7" t="e">
        <f>HY!#REF!</f>
        <v>#REF!</v>
      </c>
      <c r="AF68" s="7" t="e">
        <f t="shared" si="15"/>
        <v>#REF!</v>
      </c>
      <c r="AG68" s="7" t="e">
        <f t="shared" si="15"/>
        <v>#REF!</v>
      </c>
      <c r="AH68" s="7" t="e">
        <f t="shared" si="15"/>
        <v>#REF!</v>
      </c>
      <c r="AI68" s="7" t="e">
        <f t="shared" si="15"/>
        <v>#REF!</v>
      </c>
      <c r="AJ68" s="7" t="e">
        <f t="shared" si="15"/>
        <v>#REF!</v>
      </c>
      <c r="AK68" s="7" t="e">
        <f t="shared" si="15"/>
        <v>#REF!</v>
      </c>
      <c r="AL68" s="7" t="e">
        <f t="shared" si="15"/>
        <v>#REF!</v>
      </c>
      <c r="AM68" s="7" t="e">
        <f t="shared" si="15"/>
        <v>#REF!</v>
      </c>
      <c r="AN68" s="7" t="e">
        <f t="shared" si="15"/>
        <v>#REF!</v>
      </c>
      <c r="AO68" s="7" t="e">
        <f t="shared" si="15"/>
        <v>#REF!</v>
      </c>
    </row>
    <row r="69" spans="2:41">
      <c r="B69" s="111" t="str">
        <f t="shared" si="14"/>
        <v>SEGMENTS - EBITDAQueenstown</v>
      </c>
      <c r="C69" s="49" t="s">
        <v>1417</v>
      </c>
      <c r="D69" s="36" t="s">
        <v>72</v>
      </c>
      <c r="F69" s="49"/>
      <c r="G69" s="7" t="e">
        <f>HY!#REF!</f>
        <v>#REF!</v>
      </c>
      <c r="H69" s="7" t="e">
        <f>HY!#REF!</f>
        <v>#REF!</v>
      </c>
      <c r="I69" s="7" t="e">
        <f>HY!#REF!</f>
        <v>#REF!</v>
      </c>
      <c r="J69" s="7" t="e">
        <f>HY!#REF!</f>
        <v>#REF!</v>
      </c>
      <c r="K69" s="7" t="e">
        <f>HY!#REF!</f>
        <v>#REF!</v>
      </c>
      <c r="L69" s="7" t="e">
        <f>HY!#REF!</f>
        <v>#REF!</v>
      </c>
      <c r="M69" s="7" t="e">
        <f>HY!#REF!</f>
        <v>#REF!</v>
      </c>
      <c r="N69" s="7" t="e">
        <f>HY!#REF!</f>
        <v>#REF!</v>
      </c>
      <c r="O69" s="7" t="e">
        <f>HY!#REF!</f>
        <v>#REF!</v>
      </c>
      <c r="P69" s="7" t="e">
        <f>HY!#REF!</f>
        <v>#REF!</v>
      </c>
      <c r="Q69" s="7" t="e">
        <f>HY!#REF!</f>
        <v>#REF!</v>
      </c>
      <c r="R69" s="7" t="e">
        <f>HY!#REF!</f>
        <v>#REF!</v>
      </c>
      <c r="S69" s="7" t="e">
        <f>HY!#REF!</f>
        <v>#REF!</v>
      </c>
      <c r="T69" s="7" t="e">
        <f>HY!#REF!</f>
        <v>#REF!</v>
      </c>
      <c r="U69" s="7" t="e">
        <f>HY!#REF!</f>
        <v>#REF!</v>
      </c>
      <c r="V69" s="7" t="e">
        <f>HY!#REF!</f>
        <v>#REF!</v>
      </c>
      <c r="W69" s="7" t="e">
        <f>HY!#REF!</f>
        <v>#REF!</v>
      </c>
      <c r="X69" s="7" t="e">
        <f>HY!#REF!</f>
        <v>#REF!</v>
      </c>
      <c r="Y69" s="7" t="e">
        <f>HY!#REF!</f>
        <v>#REF!</v>
      </c>
      <c r="Z69" s="7" t="e">
        <f>HY!#REF!</f>
        <v>#REF!</v>
      </c>
      <c r="AF69" s="7" t="e">
        <f t="shared" si="15"/>
        <v>#REF!</v>
      </c>
      <c r="AG69" s="7" t="e">
        <f t="shared" si="15"/>
        <v>#REF!</v>
      </c>
      <c r="AH69" s="7" t="e">
        <f t="shared" si="15"/>
        <v>#REF!</v>
      </c>
      <c r="AI69" s="7" t="e">
        <f t="shared" si="15"/>
        <v>#REF!</v>
      </c>
      <c r="AJ69" s="7" t="e">
        <f t="shared" si="15"/>
        <v>#REF!</v>
      </c>
      <c r="AK69" s="7" t="e">
        <f t="shared" si="15"/>
        <v>#REF!</v>
      </c>
      <c r="AL69" s="7" t="e">
        <f t="shared" si="15"/>
        <v>#REF!</v>
      </c>
      <c r="AM69" s="7" t="e">
        <f t="shared" si="15"/>
        <v>#REF!</v>
      </c>
      <c r="AN69" s="7" t="e">
        <f t="shared" si="15"/>
        <v>#REF!</v>
      </c>
      <c r="AO69" s="7" t="e">
        <f t="shared" si="15"/>
        <v>#REF!</v>
      </c>
    </row>
    <row r="70" spans="2:41">
      <c r="B70" s="111" t="str">
        <f t="shared" si="14"/>
        <v>SEGMENTS - EBITDAAdelaide (NZ$)</v>
      </c>
      <c r="C70" s="49" t="s">
        <v>1418</v>
      </c>
      <c r="D70" s="36" t="s">
        <v>72</v>
      </c>
      <c r="F70" s="49"/>
      <c r="G70" s="7" t="e">
        <f>HY!#REF!</f>
        <v>#REF!</v>
      </c>
      <c r="H70" s="7" t="e">
        <f>HY!#REF!</f>
        <v>#REF!</v>
      </c>
      <c r="I70" s="7" t="e">
        <f>HY!#REF!</f>
        <v>#REF!</v>
      </c>
      <c r="J70" s="7" t="e">
        <f>HY!#REF!</f>
        <v>#REF!</v>
      </c>
      <c r="K70" s="7" t="e">
        <f>HY!#REF!</f>
        <v>#REF!</v>
      </c>
      <c r="L70" s="7" t="e">
        <f>HY!#REF!</f>
        <v>#REF!</v>
      </c>
      <c r="M70" s="7" t="e">
        <f>HY!#REF!</f>
        <v>#REF!</v>
      </c>
      <c r="N70" s="7" t="e">
        <f>HY!#REF!</f>
        <v>#REF!</v>
      </c>
      <c r="O70" s="7" t="e">
        <f>HY!#REF!</f>
        <v>#REF!</v>
      </c>
      <c r="P70" s="7" t="e">
        <f>HY!#REF!</f>
        <v>#REF!</v>
      </c>
      <c r="Q70" s="7" t="e">
        <f>HY!#REF!</f>
        <v>#REF!</v>
      </c>
      <c r="R70" s="7" t="e">
        <f>HY!#REF!</f>
        <v>#REF!</v>
      </c>
      <c r="S70" s="7" t="e">
        <f>HY!#REF!</f>
        <v>#REF!</v>
      </c>
      <c r="T70" s="7" t="e">
        <f>HY!#REF!</f>
        <v>#REF!</v>
      </c>
      <c r="U70" s="7" t="e">
        <f>HY!#REF!</f>
        <v>#REF!</v>
      </c>
      <c r="V70" s="7" t="e">
        <f>HY!#REF!</f>
        <v>#REF!</v>
      </c>
      <c r="W70" s="7" t="e">
        <f>HY!#REF!</f>
        <v>#REF!</v>
      </c>
      <c r="X70" s="7" t="e">
        <f>HY!#REF!</f>
        <v>#REF!</v>
      </c>
      <c r="Y70" s="7" t="e">
        <f>HY!#REF!</f>
        <v>#REF!</v>
      </c>
      <c r="Z70" s="7" t="e">
        <f>HY!#REF!</f>
        <v>#REF!</v>
      </c>
      <c r="AF70" s="7" t="e">
        <f t="shared" si="15"/>
        <v>#REF!</v>
      </c>
      <c r="AG70" s="7" t="e">
        <f t="shared" si="15"/>
        <v>#REF!</v>
      </c>
      <c r="AH70" s="7" t="e">
        <f t="shared" si="15"/>
        <v>#REF!</v>
      </c>
      <c r="AI70" s="7" t="e">
        <f t="shared" si="15"/>
        <v>#REF!</v>
      </c>
      <c r="AJ70" s="7" t="e">
        <f t="shared" si="15"/>
        <v>#REF!</v>
      </c>
      <c r="AK70" s="7" t="e">
        <f t="shared" si="15"/>
        <v>#REF!</v>
      </c>
      <c r="AL70" s="7" t="e">
        <f t="shared" si="15"/>
        <v>#REF!</v>
      </c>
      <c r="AM70" s="7" t="e">
        <f t="shared" si="15"/>
        <v>#REF!</v>
      </c>
      <c r="AN70" s="7" t="e">
        <f t="shared" si="15"/>
        <v>#REF!</v>
      </c>
      <c r="AO70" s="7" t="e">
        <f t="shared" si="15"/>
        <v>#REF!</v>
      </c>
    </row>
    <row r="71" spans="2:41">
      <c r="B71" s="111" t="str">
        <f t="shared" si="14"/>
        <v>SEGMENTS - EBITDAVIP - normalised</v>
      </c>
      <c r="C71" s="49" t="s">
        <v>1419</v>
      </c>
      <c r="D71" s="36" t="s">
        <v>72</v>
      </c>
      <c r="F71" s="49"/>
      <c r="G71" s="7" t="e">
        <f>HY!#REF!</f>
        <v>#REF!</v>
      </c>
      <c r="H71" s="7" t="e">
        <f>HY!#REF!</f>
        <v>#REF!</v>
      </c>
      <c r="I71" s="7" t="e">
        <f>HY!#REF!</f>
        <v>#REF!</v>
      </c>
      <c r="J71" s="7" t="e">
        <f>HY!#REF!</f>
        <v>#REF!</v>
      </c>
      <c r="K71" s="7" t="e">
        <f>HY!#REF!</f>
        <v>#REF!</v>
      </c>
      <c r="L71" s="7" t="e">
        <f>HY!#REF!</f>
        <v>#REF!</v>
      </c>
      <c r="M71" s="7" t="e">
        <f>HY!#REF!</f>
        <v>#REF!</v>
      </c>
      <c r="N71" s="7" t="e">
        <f>HY!#REF!</f>
        <v>#REF!</v>
      </c>
      <c r="O71" s="7" t="e">
        <f>HY!#REF!</f>
        <v>#REF!</v>
      </c>
      <c r="P71" s="7" t="e">
        <f>HY!#REF!</f>
        <v>#REF!</v>
      </c>
      <c r="Q71" s="7" t="e">
        <f>HY!#REF!</f>
        <v>#REF!</v>
      </c>
      <c r="R71" s="7" t="e">
        <f>HY!#REF!</f>
        <v>#REF!</v>
      </c>
      <c r="S71" s="7" t="e">
        <f>HY!#REF!</f>
        <v>#REF!</v>
      </c>
      <c r="T71" s="7" t="e">
        <f>HY!#REF!</f>
        <v>#REF!</v>
      </c>
      <c r="U71" s="7" t="e">
        <f>HY!#REF!</f>
        <v>#REF!</v>
      </c>
      <c r="V71" s="7" t="e">
        <f>HY!#REF!</f>
        <v>#REF!</v>
      </c>
      <c r="W71" s="7" t="e">
        <f>HY!#REF!</f>
        <v>#REF!</v>
      </c>
      <c r="X71" s="7" t="e">
        <f>HY!#REF!</f>
        <v>#REF!</v>
      </c>
      <c r="Y71" s="7" t="e">
        <f>HY!#REF!</f>
        <v>#REF!</v>
      </c>
      <c r="Z71" s="7" t="e">
        <f>HY!#REF!</f>
        <v>#REF!</v>
      </c>
      <c r="AF71" s="7" t="e">
        <f t="shared" si="15"/>
        <v>#REF!</v>
      </c>
      <c r="AG71" s="7" t="e">
        <f t="shared" si="15"/>
        <v>#REF!</v>
      </c>
      <c r="AH71" s="7" t="e">
        <f t="shared" si="15"/>
        <v>#REF!</v>
      </c>
      <c r="AI71" s="7" t="e">
        <f t="shared" si="15"/>
        <v>#REF!</v>
      </c>
      <c r="AJ71" s="7" t="e">
        <f t="shared" si="15"/>
        <v>#REF!</v>
      </c>
      <c r="AK71" s="7" t="e">
        <f t="shared" si="15"/>
        <v>#REF!</v>
      </c>
      <c r="AL71" s="7" t="e">
        <f t="shared" si="15"/>
        <v>#REF!</v>
      </c>
      <c r="AM71" s="7" t="e">
        <f t="shared" si="15"/>
        <v>#REF!</v>
      </c>
      <c r="AN71" s="7" t="e">
        <f t="shared" si="15"/>
        <v>#REF!</v>
      </c>
      <c r="AO71" s="7" t="e">
        <f t="shared" si="15"/>
        <v>#REF!</v>
      </c>
    </row>
    <row r="72" spans="2:41">
      <c r="B72" s="111" t="str">
        <f t="shared" si="14"/>
        <v>SEGMENTS - EBITDAOnline (from segments)</v>
      </c>
      <c r="C72" s="49" t="s">
        <v>149</v>
      </c>
      <c r="D72" s="36" t="s">
        <v>72</v>
      </c>
      <c r="F72" s="49"/>
      <c r="G72" s="7" t="e">
        <f>HY!#REF!</f>
        <v>#REF!</v>
      </c>
      <c r="H72" s="7" t="e">
        <f>HY!#REF!</f>
        <v>#REF!</v>
      </c>
      <c r="I72" s="7" t="e">
        <f>HY!#REF!</f>
        <v>#REF!</v>
      </c>
      <c r="J72" s="7" t="e">
        <f>HY!#REF!</f>
        <v>#REF!</v>
      </c>
      <c r="K72" s="7" t="e">
        <f>HY!#REF!</f>
        <v>#REF!</v>
      </c>
      <c r="L72" s="7" t="e">
        <f>HY!#REF!</f>
        <v>#REF!</v>
      </c>
      <c r="M72" s="7" t="e">
        <f>HY!#REF!</f>
        <v>#REF!</v>
      </c>
      <c r="N72" s="7" t="e">
        <f>HY!#REF!</f>
        <v>#REF!</v>
      </c>
      <c r="O72" s="7" t="e">
        <f>HY!#REF!</f>
        <v>#REF!</v>
      </c>
      <c r="P72" s="7" t="e">
        <f>HY!#REF!</f>
        <v>#REF!</v>
      </c>
      <c r="Q72" s="7" t="e">
        <f>HY!#REF!</f>
        <v>#REF!</v>
      </c>
      <c r="R72" s="7" t="e">
        <f>HY!#REF!</f>
        <v>#REF!</v>
      </c>
      <c r="S72" s="7" t="e">
        <f>HY!#REF!</f>
        <v>#REF!</v>
      </c>
      <c r="T72" s="7" t="e">
        <f>HY!#REF!</f>
        <v>#REF!</v>
      </c>
      <c r="U72" s="7" t="e">
        <f>HY!#REF!</f>
        <v>#REF!</v>
      </c>
      <c r="V72" s="7" t="e">
        <f>HY!#REF!</f>
        <v>#REF!</v>
      </c>
      <c r="W72" s="7" t="e">
        <f>HY!#REF!</f>
        <v>#REF!</v>
      </c>
      <c r="X72" s="7" t="e">
        <f>HY!#REF!</f>
        <v>#REF!</v>
      </c>
      <c r="Y72" s="7" t="e">
        <f>HY!#REF!</f>
        <v>#REF!</v>
      </c>
      <c r="Z72" s="7" t="e">
        <f>HY!#REF!</f>
        <v>#REF!</v>
      </c>
      <c r="AF72" s="7" t="e">
        <f t="shared" si="15"/>
        <v>#REF!</v>
      </c>
      <c r="AG72" s="7" t="e">
        <f t="shared" si="15"/>
        <v>#REF!</v>
      </c>
      <c r="AH72" s="7" t="e">
        <f t="shared" si="15"/>
        <v>#REF!</v>
      </c>
      <c r="AI72" s="7" t="e">
        <f t="shared" si="15"/>
        <v>#REF!</v>
      </c>
      <c r="AJ72" s="7" t="e">
        <f t="shared" si="15"/>
        <v>#REF!</v>
      </c>
      <c r="AK72" s="7" t="e">
        <f t="shared" si="15"/>
        <v>#REF!</v>
      </c>
      <c r="AL72" s="7" t="e">
        <f t="shared" si="15"/>
        <v>#REF!</v>
      </c>
      <c r="AM72" s="7" t="e">
        <f t="shared" si="15"/>
        <v>#REF!</v>
      </c>
      <c r="AN72" s="7" t="e">
        <f t="shared" si="15"/>
        <v>#REF!</v>
      </c>
      <c r="AO72" s="7" t="e">
        <f t="shared" si="15"/>
        <v>#REF!</v>
      </c>
    </row>
    <row r="73" spans="2:41">
      <c r="B73" s="111" t="str">
        <f t="shared" si="14"/>
        <v>SEGMENTS - EBITDACorporate Costs</v>
      </c>
      <c r="C73" s="49" t="s">
        <v>147</v>
      </c>
      <c r="D73" s="36" t="s">
        <v>72</v>
      </c>
      <c r="F73" s="49"/>
      <c r="G73" s="7" t="e">
        <f>HY!#REF!</f>
        <v>#REF!</v>
      </c>
      <c r="H73" s="7" t="e">
        <f>HY!#REF!</f>
        <v>#REF!</v>
      </c>
      <c r="I73" s="7" t="e">
        <f>HY!#REF!</f>
        <v>#REF!</v>
      </c>
      <c r="J73" s="7" t="e">
        <f>HY!#REF!</f>
        <v>#REF!</v>
      </c>
      <c r="K73" s="7" t="e">
        <f>HY!#REF!</f>
        <v>#REF!</v>
      </c>
      <c r="L73" s="7" t="e">
        <f>HY!#REF!</f>
        <v>#REF!</v>
      </c>
      <c r="M73" s="7" t="e">
        <f>HY!#REF!</f>
        <v>#REF!</v>
      </c>
      <c r="N73" s="7" t="e">
        <f>HY!#REF!</f>
        <v>#REF!</v>
      </c>
      <c r="O73" s="7" t="e">
        <f>HY!#REF!</f>
        <v>#REF!</v>
      </c>
      <c r="P73" s="7" t="e">
        <f>HY!#REF!</f>
        <v>#REF!</v>
      </c>
      <c r="Q73" s="7" t="e">
        <f>HY!#REF!</f>
        <v>#REF!</v>
      </c>
      <c r="R73" s="7" t="e">
        <f>HY!#REF!</f>
        <v>#REF!</v>
      </c>
      <c r="S73" s="7" t="e">
        <f>HY!#REF!</f>
        <v>#REF!</v>
      </c>
      <c r="T73" s="7" t="e">
        <f>HY!#REF!</f>
        <v>#REF!</v>
      </c>
      <c r="U73" s="7" t="e">
        <f>HY!#REF!</f>
        <v>#REF!</v>
      </c>
      <c r="V73" s="7" t="e">
        <f>HY!#REF!</f>
        <v>#REF!</v>
      </c>
      <c r="W73" s="7" t="e">
        <f>HY!#REF!</f>
        <v>#REF!</v>
      </c>
      <c r="X73" s="7" t="e">
        <f>HY!#REF!</f>
        <v>#REF!</v>
      </c>
      <c r="Y73" s="7" t="e">
        <f>HY!#REF!</f>
        <v>#REF!</v>
      </c>
      <c r="Z73" s="7" t="e">
        <f>HY!#REF!</f>
        <v>#REF!</v>
      </c>
      <c r="AF73" s="7" t="e">
        <f t="shared" si="15"/>
        <v>#REF!</v>
      </c>
      <c r="AG73" s="7" t="e">
        <f t="shared" si="15"/>
        <v>#REF!</v>
      </c>
      <c r="AH73" s="7" t="e">
        <f t="shared" si="15"/>
        <v>#REF!</v>
      </c>
      <c r="AI73" s="7" t="e">
        <f t="shared" si="15"/>
        <v>#REF!</v>
      </c>
      <c r="AJ73" s="7" t="e">
        <f t="shared" si="15"/>
        <v>#REF!</v>
      </c>
      <c r="AK73" s="7" t="e">
        <f t="shared" si="15"/>
        <v>#REF!</v>
      </c>
      <c r="AL73" s="7" t="e">
        <f t="shared" si="15"/>
        <v>#REF!</v>
      </c>
      <c r="AM73" s="7" t="e">
        <f t="shared" si="15"/>
        <v>#REF!</v>
      </c>
      <c r="AN73" s="7" t="e">
        <f t="shared" si="15"/>
        <v>#REF!</v>
      </c>
      <c r="AO73" s="7" t="e">
        <f t="shared" si="15"/>
        <v>#REF!</v>
      </c>
    </row>
    <row r="74" spans="2:41">
      <c r="B74" s="111" t="str">
        <f t="shared" si="14"/>
        <v>SEGMENTS - EBITDAOther Listed Costs (eg. NZICC)</v>
      </c>
      <c r="C74" s="49" t="s">
        <v>1422</v>
      </c>
      <c r="D74" s="36" t="s">
        <v>72</v>
      </c>
      <c r="F74" s="49"/>
      <c r="G74" s="7" t="e">
        <f>HY!#REF!</f>
        <v>#REF!</v>
      </c>
      <c r="H74" s="7" t="e">
        <f>HY!#REF!</f>
        <v>#REF!</v>
      </c>
      <c r="I74" s="7" t="e">
        <f>HY!#REF!</f>
        <v>#REF!</v>
      </c>
      <c r="J74" s="7" t="e">
        <f>HY!#REF!</f>
        <v>#REF!</v>
      </c>
      <c r="K74" s="7" t="e">
        <f>HY!#REF!</f>
        <v>#REF!</v>
      </c>
      <c r="L74" s="7" t="e">
        <f>HY!#REF!</f>
        <v>#REF!</v>
      </c>
      <c r="M74" s="7" t="e">
        <f>HY!#REF!</f>
        <v>#REF!</v>
      </c>
      <c r="N74" s="7" t="e">
        <f>HY!#REF!</f>
        <v>#REF!</v>
      </c>
      <c r="O74" s="7" t="e">
        <f>HY!#REF!</f>
        <v>#REF!</v>
      </c>
      <c r="P74" s="7" t="e">
        <f>HY!#REF!</f>
        <v>#REF!</v>
      </c>
      <c r="Q74" s="7" t="e">
        <f>HY!#REF!</f>
        <v>#REF!</v>
      </c>
      <c r="R74" s="7" t="e">
        <f>HY!#REF!</f>
        <v>#REF!</v>
      </c>
      <c r="S74" s="7" t="e">
        <f>HY!#REF!</f>
        <v>#REF!</v>
      </c>
      <c r="T74" s="7" t="e">
        <f>HY!#REF!</f>
        <v>#REF!</v>
      </c>
      <c r="U74" s="7" t="e">
        <f>HY!#REF!</f>
        <v>#REF!</v>
      </c>
      <c r="V74" s="7" t="e">
        <f>HY!#REF!</f>
        <v>#REF!</v>
      </c>
      <c r="W74" s="7" t="e">
        <f>HY!#REF!</f>
        <v>#REF!</v>
      </c>
      <c r="X74" s="7" t="e">
        <f>HY!#REF!</f>
        <v>#REF!</v>
      </c>
      <c r="Y74" s="7" t="e">
        <f>HY!#REF!</f>
        <v>#REF!</v>
      </c>
      <c r="Z74" s="7" t="e">
        <f>HY!#REF!</f>
        <v>#REF!</v>
      </c>
      <c r="AF74" s="7" t="e">
        <f t="shared" si="15"/>
        <v>#REF!</v>
      </c>
      <c r="AG74" s="7" t="e">
        <f t="shared" si="15"/>
        <v>#REF!</v>
      </c>
      <c r="AH74" s="7" t="e">
        <f t="shared" si="15"/>
        <v>#REF!</v>
      </c>
      <c r="AI74" s="7" t="e">
        <f t="shared" si="15"/>
        <v>#REF!</v>
      </c>
      <c r="AJ74" s="7" t="e">
        <f t="shared" si="15"/>
        <v>#REF!</v>
      </c>
      <c r="AK74" s="7" t="e">
        <f t="shared" si="15"/>
        <v>#REF!</v>
      </c>
      <c r="AL74" s="7" t="e">
        <f t="shared" si="15"/>
        <v>#REF!</v>
      </c>
      <c r="AM74" s="7" t="e">
        <f t="shared" si="15"/>
        <v>#REF!</v>
      </c>
      <c r="AN74" s="7" t="e">
        <f t="shared" si="15"/>
        <v>#REF!</v>
      </c>
      <c r="AO74" s="7" t="e">
        <f t="shared" si="15"/>
        <v>#REF!</v>
      </c>
    </row>
    <row r="75" spans="2:41">
      <c r="B75" s="111" t="str">
        <f t="shared" si="14"/>
        <v>SEGMENTS - EBITDAOther (balancing) incl esports</v>
      </c>
      <c r="C75" s="49" t="s">
        <v>1420</v>
      </c>
      <c r="D75" s="36" t="s">
        <v>72</v>
      </c>
      <c r="F75" s="49"/>
      <c r="G75" s="7" t="e">
        <f>HY!#REF!</f>
        <v>#REF!</v>
      </c>
      <c r="H75" s="7" t="e">
        <f>HY!#REF!</f>
        <v>#REF!</v>
      </c>
      <c r="I75" s="7" t="e">
        <f>HY!#REF!</f>
        <v>#REF!</v>
      </c>
      <c r="J75" s="7" t="e">
        <f>HY!#REF!</f>
        <v>#REF!</v>
      </c>
      <c r="K75" s="7" t="e">
        <f>HY!#REF!</f>
        <v>#REF!</v>
      </c>
      <c r="L75" s="7" t="e">
        <f>HY!#REF!</f>
        <v>#REF!</v>
      </c>
      <c r="M75" s="7" t="e">
        <f>HY!#REF!</f>
        <v>#REF!</v>
      </c>
      <c r="N75" s="7" t="e">
        <f>HY!#REF!</f>
        <v>#REF!</v>
      </c>
      <c r="O75" s="7" t="e">
        <f>HY!#REF!</f>
        <v>#REF!</v>
      </c>
      <c r="P75" s="7" t="e">
        <f>HY!#REF!</f>
        <v>#REF!</v>
      </c>
      <c r="Q75" s="7" t="e">
        <f>HY!#REF!</f>
        <v>#REF!</v>
      </c>
      <c r="R75" s="7" t="e">
        <f>HY!#REF!</f>
        <v>#REF!</v>
      </c>
      <c r="S75" s="7" t="e">
        <f>HY!#REF!</f>
        <v>#REF!</v>
      </c>
      <c r="T75" s="7" t="e">
        <f>HY!#REF!</f>
        <v>#REF!</v>
      </c>
      <c r="U75" s="7" t="e">
        <f>HY!#REF!</f>
        <v>#REF!</v>
      </c>
      <c r="V75" s="7" t="e">
        <f>HY!#REF!</f>
        <v>#REF!</v>
      </c>
      <c r="W75" s="7" t="e">
        <f>HY!#REF!</f>
        <v>#REF!</v>
      </c>
      <c r="X75" s="7" t="e">
        <f>HY!#REF!</f>
        <v>#REF!</v>
      </c>
      <c r="Y75" s="7" t="e">
        <f>HY!#REF!</f>
        <v>#REF!</v>
      </c>
      <c r="Z75" s="7" t="e">
        <f>HY!#REF!</f>
        <v>#REF!</v>
      </c>
      <c r="AF75" s="7" t="e">
        <f t="shared" si="15"/>
        <v>#REF!</v>
      </c>
      <c r="AG75" s="7" t="e">
        <f t="shared" si="15"/>
        <v>#REF!</v>
      </c>
      <c r="AH75" s="7" t="e">
        <f t="shared" si="15"/>
        <v>#REF!</v>
      </c>
      <c r="AI75" s="7" t="e">
        <f t="shared" si="15"/>
        <v>#REF!</v>
      </c>
      <c r="AJ75" s="7" t="e">
        <f t="shared" si="15"/>
        <v>#REF!</v>
      </c>
      <c r="AK75" s="7" t="e">
        <f t="shared" si="15"/>
        <v>#REF!</v>
      </c>
      <c r="AL75" s="7" t="e">
        <f t="shared" si="15"/>
        <v>#REF!</v>
      </c>
      <c r="AM75" s="7" t="e">
        <f t="shared" si="15"/>
        <v>#REF!</v>
      </c>
      <c r="AN75" s="7" t="e">
        <f t="shared" si="15"/>
        <v>#REF!</v>
      </c>
      <c r="AO75" s="7" t="e">
        <f t="shared" si="15"/>
        <v>#REF!</v>
      </c>
    </row>
    <row r="76" spans="2:41">
      <c r="B76" s="111" t="str">
        <f t="shared" si="14"/>
        <v>SEGMENTS - EBITDANormalised  EBITDA</v>
      </c>
      <c r="C76" s="49" t="s">
        <v>150</v>
      </c>
      <c r="D76" s="36" t="s">
        <v>72</v>
      </c>
      <c r="G76" s="7" t="e">
        <f>HY!#REF!</f>
        <v>#REF!</v>
      </c>
      <c r="H76" s="7" t="e">
        <f>HY!#REF!</f>
        <v>#REF!</v>
      </c>
      <c r="I76" s="7" t="e">
        <f>HY!#REF!</f>
        <v>#REF!</v>
      </c>
      <c r="J76" s="7" t="e">
        <f>HY!#REF!</f>
        <v>#REF!</v>
      </c>
      <c r="K76" s="7" t="e">
        <f>HY!#REF!</f>
        <v>#REF!</v>
      </c>
      <c r="L76" s="7" t="e">
        <f>HY!#REF!</f>
        <v>#REF!</v>
      </c>
      <c r="M76" s="7" t="e">
        <f>HY!#REF!</f>
        <v>#REF!</v>
      </c>
      <c r="N76" s="7" t="e">
        <f>HY!#REF!</f>
        <v>#REF!</v>
      </c>
      <c r="O76" s="7" t="e">
        <f>HY!#REF!</f>
        <v>#REF!</v>
      </c>
      <c r="P76" s="7" t="e">
        <f>HY!#REF!</f>
        <v>#REF!</v>
      </c>
      <c r="Q76" s="7" t="e">
        <f>HY!#REF!</f>
        <v>#REF!</v>
      </c>
      <c r="R76" s="7" t="e">
        <f>HY!#REF!</f>
        <v>#REF!</v>
      </c>
      <c r="S76" s="7" t="e">
        <f>HY!#REF!</f>
        <v>#REF!</v>
      </c>
      <c r="T76" s="7" t="e">
        <f>HY!#REF!</f>
        <v>#REF!</v>
      </c>
      <c r="U76" s="7" t="e">
        <f>HY!#REF!</f>
        <v>#REF!</v>
      </c>
      <c r="V76" s="7" t="e">
        <f>HY!#REF!</f>
        <v>#REF!</v>
      </c>
      <c r="W76" s="7" t="e">
        <f>HY!#REF!</f>
        <v>#REF!</v>
      </c>
      <c r="X76" s="7" t="e">
        <f>HY!#REF!</f>
        <v>#REF!</v>
      </c>
      <c r="Y76" s="7" t="e">
        <f>HY!#REF!</f>
        <v>#REF!</v>
      </c>
      <c r="Z76" s="7" t="e">
        <f>HY!#REF!</f>
        <v>#REF!</v>
      </c>
      <c r="AF76" s="7" t="e">
        <f t="shared" si="15"/>
        <v>#REF!</v>
      </c>
      <c r="AG76" s="7" t="e">
        <f t="shared" si="15"/>
        <v>#REF!</v>
      </c>
      <c r="AH76" s="7" t="e">
        <f t="shared" si="15"/>
        <v>#REF!</v>
      </c>
      <c r="AI76" s="7" t="e">
        <f t="shared" si="15"/>
        <v>#REF!</v>
      </c>
      <c r="AJ76" s="7" t="e">
        <f t="shared" si="15"/>
        <v>#REF!</v>
      </c>
      <c r="AK76" s="7" t="e">
        <f t="shared" si="15"/>
        <v>#REF!</v>
      </c>
      <c r="AL76" s="7" t="e">
        <f t="shared" si="15"/>
        <v>#REF!</v>
      </c>
      <c r="AM76" s="7" t="e">
        <f t="shared" si="15"/>
        <v>#REF!</v>
      </c>
      <c r="AN76" s="7" t="e">
        <f t="shared" si="15"/>
        <v>#REF!</v>
      </c>
      <c r="AO76" s="7" t="e">
        <f t="shared" si="15"/>
        <v>#REF!</v>
      </c>
    </row>
    <row r="78" spans="2:41">
      <c r="C78" s="208" t="s">
        <v>1159</v>
      </c>
    </row>
    <row r="79" spans="2:41">
      <c r="B79" s="111" t="str">
        <f t="shared" ref="B79:B89" si="16">$C$78&amp;C79</f>
        <v>P&amp;L - NORMALISEDNormalised  Revenue</v>
      </c>
      <c r="C79" s="49" t="s">
        <v>146</v>
      </c>
      <c r="D79" s="36" t="s">
        <v>72</v>
      </c>
      <c r="F79" s="49"/>
      <c r="G79" s="7" t="e">
        <f>HY!#REF!</f>
        <v>#REF!</v>
      </c>
      <c r="H79" s="7" t="e">
        <f>HY!#REF!</f>
        <v>#REF!</v>
      </c>
      <c r="I79" s="7" t="e">
        <f>HY!#REF!</f>
        <v>#REF!</v>
      </c>
      <c r="J79" s="7" t="e">
        <f>HY!#REF!</f>
        <v>#REF!</v>
      </c>
      <c r="K79" s="7" t="e">
        <f>HY!#REF!</f>
        <v>#REF!</v>
      </c>
      <c r="L79" s="7" t="e">
        <f>HY!#REF!</f>
        <v>#REF!</v>
      </c>
      <c r="M79" s="7" t="e">
        <f>HY!#REF!</f>
        <v>#REF!</v>
      </c>
      <c r="N79" s="7" t="e">
        <f>HY!#REF!</f>
        <v>#REF!</v>
      </c>
      <c r="O79" s="7" t="e">
        <f>HY!#REF!</f>
        <v>#REF!</v>
      </c>
      <c r="P79" s="7" t="e">
        <f>HY!#REF!</f>
        <v>#REF!</v>
      </c>
      <c r="Q79" s="7" t="e">
        <f>HY!#REF!</f>
        <v>#REF!</v>
      </c>
      <c r="R79" s="7" t="e">
        <f>HY!#REF!</f>
        <v>#REF!</v>
      </c>
      <c r="S79" s="7" t="e">
        <f>HY!#REF!</f>
        <v>#REF!</v>
      </c>
      <c r="T79" s="7" t="e">
        <f>HY!#REF!</f>
        <v>#REF!</v>
      </c>
      <c r="U79" s="7" t="e">
        <f>HY!#REF!</f>
        <v>#REF!</v>
      </c>
      <c r="V79" s="7" t="e">
        <f>HY!#REF!</f>
        <v>#REF!</v>
      </c>
      <c r="W79" s="7" t="e">
        <f>HY!#REF!</f>
        <v>#REF!</v>
      </c>
      <c r="X79" s="7" t="e">
        <f>HY!#REF!</f>
        <v>#REF!</v>
      </c>
      <c r="Y79" s="7" t="e">
        <f>HY!#REF!</f>
        <v>#REF!</v>
      </c>
      <c r="Z79" s="7" t="e">
        <f>HY!#REF!</f>
        <v>#REF!</v>
      </c>
      <c r="AF79" s="7" t="e">
        <f t="shared" ref="AF79:AO89" si="17">SUMIFS($G79:$Z79,$G$3:$Z$3,AF$5)</f>
        <v>#REF!</v>
      </c>
      <c r="AG79" s="7" t="e">
        <f t="shared" si="17"/>
        <v>#REF!</v>
      </c>
      <c r="AH79" s="7" t="e">
        <f t="shared" si="17"/>
        <v>#REF!</v>
      </c>
      <c r="AI79" s="7" t="e">
        <f t="shared" si="17"/>
        <v>#REF!</v>
      </c>
      <c r="AJ79" s="7" t="e">
        <f t="shared" si="17"/>
        <v>#REF!</v>
      </c>
      <c r="AK79" s="7" t="e">
        <f t="shared" si="17"/>
        <v>#REF!</v>
      </c>
      <c r="AL79" s="7" t="e">
        <f t="shared" si="17"/>
        <v>#REF!</v>
      </c>
      <c r="AM79" s="7" t="e">
        <f t="shared" si="17"/>
        <v>#REF!</v>
      </c>
      <c r="AN79" s="7" t="e">
        <f t="shared" si="17"/>
        <v>#REF!</v>
      </c>
      <c r="AO79" s="7" t="e">
        <f t="shared" si="17"/>
        <v>#REF!</v>
      </c>
    </row>
    <row r="80" spans="2:41">
      <c r="B80" s="111" t="str">
        <f t="shared" si="16"/>
        <v>P&amp;L - NORMALISEDExpenses</v>
      </c>
      <c r="C80" s="49" t="s">
        <v>136</v>
      </c>
      <c r="D80" s="36" t="s">
        <v>72</v>
      </c>
      <c r="F80" s="49"/>
      <c r="G80" s="7">
        <f>HY!K313</f>
        <v>-227.39929140775661</v>
      </c>
      <c r="H80" s="7">
        <f>HY!L313</f>
        <v>-255.6371894403901</v>
      </c>
      <c r="I80" s="7">
        <f>HY!M313</f>
        <v>-203.10042519685038</v>
      </c>
      <c r="J80" s="7">
        <f>HY!N313</f>
        <v>-234.41961910308675</v>
      </c>
      <c r="K80" s="7">
        <f>HY!O313</f>
        <v>-277.09999999999997</v>
      </c>
      <c r="L80" s="7">
        <f>HY!P313</f>
        <v>-283.70000000000005</v>
      </c>
      <c r="M80" s="7">
        <f>HY!Q313</f>
        <v>-298.5</v>
      </c>
      <c r="N80" s="7">
        <f>HY!R313</f>
        <v>-294.2</v>
      </c>
      <c r="O80" s="7">
        <f>HY!S313</f>
        <v>-302.5</v>
      </c>
      <c r="P80" s="7">
        <f>HY!T313</f>
        <v>-289.00000000000006</v>
      </c>
      <c r="Q80" s="7">
        <f>HY!U313</f>
        <v>-326.2</v>
      </c>
      <c r="R80" s="7">
        <f>HY!V313</f>
        <v>-314.90000000000009</v>
      </c>
      <c r="S80" s="7">
        <f>HY!W313</f>
        <v>-330.42936800000001</v>
      </c>
      <c r="T80" s="7">
        <f>HY!X313</f>
        <v>-327.31849680000005</v>
      </c>
      <c r="U80" s="7">
        <f>HY!Y313</f>
        <v>-329.30683108799997</v>
      </c>
      <c r="V80" s="7">
        <f>HY!Z313</f>
        <v>-325.47325256799996</v>
      </c>
      <c r="W80" s="7">
        <f>HY!AA313</f>
        <v>-337.01786910032001</v>
      </c>
      <c r="X80" s="7">
        <f>HY!AB313</f>
        <v>-332.94952184567995</v>
      </c>
      <c r="Y80" s="7">
        <f>HY!AC313</f>
        <v>-350.71441908832156</v>
      </c>
      <c r="Z80" s="7">
        <f>HY!AD313</f>
        <v>-346.41118913981677</v>
      </c>
      <c r="AF80" s="7">
        <f t="shared" si="17"/>
        <v>-483.03648084814671</v>
      </c>
      <c r="AG80" s="7">
        <f t="shared" si="17"/>
        <v>-437.52004429993713</v>
      </c>
      <c r="AH80" s="7">
        <f t="shared" si="17"/>
        <v>-560.79999999999995</v>
      </c>
      <c r="AI80" s="7">
        <f t="shared" si="17"/>
        <v>-592.70000000000005</v>
      </c>
      <c r="AJ80" s="7">
        <f t="shared" si="17"/>
        <v>-591.5</v>
      </c>
      <c r="AK80" s="7">
        <f t="shared" si="17"/>
        <v>-641.10000000000014</v>
      </c>
      <c r="AL80" s="7">
        <f t="shared" si="17"/>
        <v>-657.74786480000012</v>
      </c>
      <c r="AM80" s="7">
        <f t="shared" si="17"/>
        <v>-654.78008365599999</v>
      </c>
      <c r="AN80" s="7">
        <f t="shared" si="17"/>
        <v>-669.96739094600002</v>
      </c>
      <c r="AO80" s="7">
        <f t="shared" si="17"/>
        <v>-697.12560822813839</v>
      </c>
    </row>
    <row r="81" spans="2:41">
      <c r="B81" s="111" t="str">
        <f t="shared" si="16"/>
        <v>P&amp;L - NORMALISEDNormalised  EBITDA</v>
      </c>
      <c r="C81" s="49" t="s">
        <v>150</v>
      </c>
      <c r="D81" s="36" t="s">
        <v>72</v>
      </c>
      <c r="F81" s="49"/>
      <c r="G81" s="7" t="e">
        <f>HY!#REF!</f>
        <v>#REF!</v>
      </c>
      <c r="H81" s="7" t="e">
        <f>HY!#REF!</f>
        <v>#REF!</v>
      </c>
      <c r="I81" s="7" t="e">
        <f>HY!#REF!</f>
        <v>#REF!</v>
      </c>
      <c r="J81" s="7" t="e">
        <f>HY!#REF!</f>
        <v>#REF!</v>
      </c>
      <c r="K81" s="7" t="e">
        <f>HY!#REF!</f>
        <v>#REF!</v>
      </c>
      <c r="L81" s="7" t="e">
        <f>HY!#REF!</f>
        <v>#REF!</v>
      </c>
      <c r="M81" s="7" t="e">
        <f>HY!#REF!</f>
        <v>#REF!</v>
      </c>
      <c r="N81" s="7" t="e">
        <f>HY!#REF!</f>
        <v>#REF!</v>
      </c>
      <c r="O81" s="7" t="e">
        <f>HY!#REF!</f>
        <v>#REF!</v>
      </c>
      <c r="P81" s="7" t="e">
        <f>HY!#REF!</f>
        <v>#REF!</v>
      </c>
      <c r="Q81" s="7" t="e">
        <f>HY!#REF!</f>
        <v>#REF!</v>
      </c>
      <c r="R81" s="7" t="e">
        <f>HY!#REF!</f>
        <v>#REF!</v>
      </c>
      <c r="S81" s="7" t="e">
        <f>HY!#REF!</f>
        <v>#REF!</v>
      </c>
      <c r="T81" s="7" t="e">
        <f>HY!#REF!</f>
        <v>#REF!</v>
      </c>
      <c r="U81" s="7" t="e">
        <f>HY!#REF!</f>
        <v>#REF!</v>
      </c>
      <c r="V81" s="7" t="e">
        <f>HY!#REF!</f>
        <v>#REF!</v>
      </c>
      <c r="W81" s="7" t="e">
        <f>HY!#REF!</f>
        <v>#REF!</v>
      </c>
      <c r="X81" s="7" t="e">
        <f>HY!#REF!</f>
        <v>#REF!</v>
      </c>
      <c r="Y81" s="7" t="e">
        <f>HY!#REF!</f>
        <v>#REF!</v>
      </c>
      <c r="Z81" s="7" t="e">
        <f>HY!#REF!</f>
        <v>#REF!</v>
      </c>
      <c r="AF81" s="7" t="e">
        <f t="shared" si="17"/>
        <v>#REF!</v>
      </c>
      <c r="AG81" s="7" t="e">
        <f t="shared" si="17"/>
        <v>#REF!</v>
      </c>
      <c r="AH81" s="7" t="e">
        <f t="shared" si="17"/>
        <v>#REF!</v>
      </c>
      <c r="AI81" s="7" t="e">
        <f t="shared" si="17"/>
        <v>#REF!</v>
      </c>
      <c r="AJ81" s="7" t="e">
        <f t="shared" si="17"/>
        <v>#REF!</v>
      </c>
      <c r="AK81" s="7" t="e">
        <f t="shared" si="17"/>
        <v>#REF!</v>
      </c>
      <c r="AL81" s="7" t="e">
        <f t="shared" si="17"/>
        <v>#REF!</v>
      </c>
      <c r="AM81" s="7" t="e">
        <f t="shared" si="17"/>
        <v>#REF!</v>
      </c>
      <c r="AN81" s="7" t="e">
        <f t="shared" si="17"/>
        <v>#REF!</v>
      </c>
      <c r="AO81" s="7" t="e">
        <f t="shared" si="17"/>
        <v>#REF!</v>
      </c>
    </row>
    <row r="82" spans="2:41">
      <c r="B82" s="111" t="str">
        <f t="shared" si="16"/>
        <v>P&amp;L - NORMALISEDD&amp;A Expense</v>
      </c>
      <c r="C82" s="49" t="s">
        <v>1423</v>
      </c>
      <c r="D82" s="36" t="s">
        <v>72</v>
      </c>
      <c r="F82" s="49"/>
      <c r="G82" s="7">
        <f>HY!K379+HY!K394</f>
        <v>-41.099999999999994</v>
      </c>
      <c r="H82" s="7">
        <f>HY!L379+HY!L394</f>
        <v>-47.299999999999969</v>
      </c>
      <c r="I82" s="7">
        <f>HY!M379+HY!M394</f>
        <v>-47.8</v>
      </c>
      <c r="J82" s="7">
        <f>HY!N379+HY!N394</f>
        <v>-46.9</v>
      </c>
      <c r="K82" s="7">
        <f>HY!O379+HY!O394</f>
        <v>-45.464000000000013</v>
      </c>
      <c r="L82" s="7">
        <f>HY!P379+HY!P394</f>
        <v>-45.207999999999998</v>
      </c>
      <c r="M82" s="7">
        <f>HY!Q379+HY!Q394</f>
        <v>-44.247</v>
      </c>
      <c r="N82" s="7">
        <f>HY!R379+HY!R394</f>
        <v>-47.774000000000001</v>
      </c>
      <c r="O82" s="7">
        <f>HY!S379+HY!S394</f>
        <v>-45.329000000000001</v>
      </c>
      <c r="P82" s="7">
        <f>HY!T379+HY!T394</f>
        <v>-48.884000000000007</v>
      </c>
      <c r="Q82" s="7">
        <f>HY!U379+HY!U394</f>
        <v>-49.879000000000005</v>
      </c>
      <c r="R82" s="7">
        <f>HY!V379+HY!V394</f>
        <v>-53.577999999999996</v>
      </c>
      <c r="S82" s="7">
        <f>HY!W379+HY!W394</f>
        <v>-60.234767077484335</v>
      </c>
      <c r="T82" s="7">
        <f>HY!X379+HY!X394</f>
        <v>-52.726792857311082</v>
      </c>
      <c r="U82" s="7">
        <f>HY!Y379+HY!Y394</f>
        <v>-52.535213024364296</v>
      </c>
      <c r="V82" s="7">
        <f>HY!Z379+HY!Z394</f>
        <v>-52.126873543863738</v>
      </c>
      <c r="W82" s="7">
        <f>HY!AA379+HY!AA394</f>
        <v>-51.737331300583051</v>
      </c>
      <c r="X82" s="7">
        <f>HY!AB379+HY!AB394</f>
        <v>-51.417164650271388</v>
      </c>
      <c r="Y82" s="7">
        <f>HY!AC379+HY!AC394</f>
        <v>-51.097864285079076</v>
      </c>
      <c r="Z82" s="7">
        <f>HY!AD379+HY!AD394</f>
        <v>-50.8489390117496</v>
      </c>
      <c r="AF82" s="7">
        <f t="shared" si="17"/>
        <v>-88.399999999999963</v>
      </c>
      <c r="AG82" s="7">
        <f t="shared" si="17"/>
        <v>-94.699999999999989</v>
      </c>
      <c r="AH82" s="7">
        <f t="shared" si="17"/>
        <v>-90.672000000000011</v>
      </c>
      <c r="AI82" s="7">
        <f t="shared" si="17"/>
        <v>-92.021000000000001</v>
      </c>
      <c r="AJ82" s="7">
        <f t="shared" si="17"/>
        <v>-94.213000000000008</v>
      </c>
      <c r="AK82" s="7">
        <f t="shared" si="17"/>
        <v>-103.45699999999999</v>
      </c>
      <c r="AL82" s="7">
        <f t="shared" si="17"/>
        <v>-112.96155993479542</v>
      </c>
      <c r="AM82" s="7">
        <f t="shared" si="17"/>
        <v>-104.66208656822803</v>
      </c>
      <c r="AN82" s="7">
        <f t="shared" si="17"/>
        <v>-103.15449595085444</v>
      </c>
      <c r="AO82" s="7">
        <f t="shared" si="17"/>
        <v>-101.94680329682868</v>
      </c>
    </row>
    <row r="83" spans="2:41">
      <c r="B83" s="111" t="str">
        <f t="shared" si="16"/>
        <v>P&amp;L - NORMALISEDNormalised  EBIT</v>
      </c>
      <c r="C83" s="49" t="s">
        <v>153</v>
      </c>
      <c r="D83" s="36" t="s">
        <v>72</v>
      </c>
      <c r="F83" s="49"/>
      <c r="G83" s="7">
        <f>HY!K338</f>
        <v>76.7</v>
      </c>
      <c r="H83" s="7">
        <f>HY!L338</f>
        <v>83.500000000000043</v>
      </c>
      <c r="I83" s="7">
        <f>HY!M338</f>
        <v>-11.599999999999994</v>
      </c>
      <c r="J83" s="7">
        <f>HY!N338</f>
        <v>54.800000000000004</v>
      </c>
      <c r="K83" s="7">
        <f>HY!O338</f>
        <v>116.336</v>
      </c>
      <c r="L83" s="7">
        <f>HY!P338</f>
        <v>94.792000000000002</v>
      </c>
      <c r="M83" s="7">
        <f>HY!Q338</f>
        <v>100.05300000000001</v>
      </c>
      <c r="N83" s="7">
        <f>HY!R338</f>
        <v>85.725999999999999</v>
      </c>
      <c r="O83" s="7">
        <f>HY!S338</f>
        <v>74.170999999999992</v>
      </c>
      <c r="P83" s="7">
        <f>HY!T338</f>
        <v>65.315999999999974</v>
      </c>
      <c r="Q83" s="7">
        <f>HY!U338</f>
        <v>35.620999999999995</v>
      </c>
      <c r="R83" s="7">
        <f>HY!V338</f>
        <v>42.521999999999998</v>
      </c>
      <c r="S83" s="7">
        <f>HY!W338</f>
        <v>28.900864922515652</v>
      </c>
      <c r="T83" s="7">
        <f>HY!X338</f>
        <v>41.323710342688912</v>
      </c>
      <c r="U83" s="7">
        <f>HY!Y338</f>
        <v>46.906495887635728</v>
      </c>
      <c r="V83" s="7">
        <f>HY!Z338</f>
        <v>53.263563888136204</v>
      </c>
      <c r="W83" s="7">
        <f>HY!AA338</f>
        <v>62.539060199096937</v>
      </c>
      <c r="X83" s="7">
        <f>HY!AB338</f>
        <v>63.650940404048683</v>
      </c>
      <c r="Y83" s="7">
        <f>HY!AC338</f>
        <v>67.808882904599272</v>
      </c>
      <c r="Z83" s="7">
        <f>HY!AD338</f>
        <v>68.94275001743361</v>
      </c>
      <c r="AF83" s="7">
        <f t="shared" si="17"/>
        <v>160.20000000000005</v>
      </c>
      <c r="AG83" s="7">
        <f t="shared" si="17"/>
        <v>43.20000000000001</v>
      </c>
      <c r="AH83" s="7">
        <f t="shared" si="17"/>
        <v>211.12799999999999</v>
      </c>
      <c r="AI83" s="7">
        <f t="shared" si="17"/>
        <v>185.779</v>
      </c>
      <c r="AJ83" s="7">
        <f t="shared" si="17"/>
        <v>139.48699999999997</v>
      </c>
      <c r="AK83" s="7">
        <f t="shared" si="17"/>
        <v>78.143000000000001</v>
      </c>
      <c r="AL83" s="7">
        <f t="shared" si="17"/>
        <v>70.224575265204564</v>
      </c>
      <c r="AM83" s="7">
        <f t="shared" si="17"/>
        <v>100.17005977577193</v>
      </c>
      <c r="AN83" s="7">
        <f t="shared" si="17"/>
        <v>126.19000060314562</v>
      </c>
      <c r="AO83" s="7">
        <f t="shared" si="17"/>
        <v>136.75163292203288</v>
      </c>
    </row>
    <row r="84" spans="2:41">
      <c r="B84" s="111" t="str">
        <f t="shared" si="16"/>
        <v>P&amp;L - NORMALISEDNet Finance Costs</v>
      </c>
      <c r="C84" s="49" t="s">
        <v>154</v>
      </c>
      <c r="D84" s="36" t="s">
        <v>72</v>
      </c>
      <c r="F84" s="49"/>
      <c r="G84" s="7">
        <f>HY!K340</f>
        <v>-14</v>
      </c>
      <c r="H84" s="7">
        <f>HY!L340</f>
        <v>-18.5</v>
      </c>
      <c r="I84" s="7">
        <f>HY!M340</f>
        <v>-17.2</v>
      </c>
      <c r="J84" s="7">
        <f>HY!N340</f>
        <v>-17.8</v>
      </c>
      <c r="K84" s="7">
        <f>HY!O340</f>
        <v>-15.848000000000001</v>
      </c>
      <c r="L84" s="7">
        <f>HY!P340</f>
        <v>-12.278</v>
      </c>
      <c r="M84" s="7">
        <f>HY!Q340</f>
        <v>-8.7149999999999999</v>
      </c>
      <c r="N84" s="7">
        <f>HY!R340</f>
        <v>-7.2850000000000001</v>
      </c>
      <c r="O84" s="7">
        <f>HY!S340</f>
        <v>-12.3</v>
      </c>
      <c r="P84" s="7">
        <f>HY!T340</f>
        <v>-14.099999999999998</v>
      </c>
      <c r="Q84" s="7">
        <f>HY!U340</f>
        <v>-6.3</v>
      </c>
      <c r="R84" s="7">
        <f>HY!V340</f>
        <v>-20.3</v>
      </c>
      <c r="S84" s="7">
        <f>HY!W340</f>
        <v>-15.443709808219181</v>
      </c>
      <c r="T84" s="7">
        <f>HY!X340</f>
        <v>-11.280404239932054</v>
      </c>
      <c r="U84" s="7">
        <f>HY!Y340</f>
        <v>-11.181148228190075</v>
      </c>
      <c r="V84" s="7">
        <f>HY!Z340</f>
        <v>-10.75403858181058</v>
      </c>
      <c r="W84" s="7">
        <f>HY!AA340</f>
        <v>-10.229402819888403</v>
      </c>
      <c r="X84" s="7">
        <f>HY!AB340</f>
        <v>-9.4215184320240404</v>
      </c>
      <c r="Y84" s="7">
        <f>HY!AC340</f>
        <v>-8.8306942874042189</v>
      </c>
      <c r="Z84" s="7">
        <f>HY!AD340</f>
        <v>-7.8766994818097498</v>
      </c>
      <c r="AF84" s="7">
        <f t="shared" si="17"/>
        <v>-32.5</v>
      </c>
      <c r="AG84" s="7">
        <f t="shared" si="17"/>
        <v>-35</v>
      </c>
      <c r="AH84" s="7">
        <f t="shared" si="17"/>
        <v>-28.126000000000001</v>
      </c>
      <c r="AI84" s="7">
        <f t="shared" si="17"/>
        <v>-16</v>
      </c>
      <c r="AJ84" s="7">
        <f t="shared" si="17"/>
        <v>-26.4</v>
      </c>
      <c r="AK84" s="7">
        <f t="shared" si="17"/>
        <v>-26.6</v>
      </c>
      <c r="AL84" s="7">
        <f t="shared" si="17"/>
        <v>-26.724114048151236</v>
      </c>
      <c r="AM84" s="7">
        <f t="shared" si="17"/>
        <v>-21.935186810000655</v>
      </c>
      <c r="AN84" s="7">
        <f t="shared" si="17"/>
        <v>-19.650921251912443</v>
      </c>
      <c r="AO84" s="7">
        <f t="shared" si="17"/>
        <v>-16.707393769213969</v>
      </c>
    </row>
    <row r="85" spans="2:41">
      <c r="B85" s="111" t="str">
        <f t="shared" si="16"/>
        <v>P&amp;L - NORMALISEDNPBT</v>
      </c>
      <c r="C85" s="49" t="s">
        <v>155</v>
      </c>
      <c r="D85" s="36" t="s">
        <v>72</v>
      </c>
      <c r="F85" s="49"/>
      <c r="G85" s="7">
        <f>HY!K343</f>
        <v>62.7</v>
      </c>
      <c r="H85" s="7">
        <f>HY!L343</f>
        <v>65.000000000000043</v>
      </c>
      <c r="I85" s="7">
        <f>HY!M343</f>
        <v>-28.799999999999994</v>
      </c>
      <c r="J85" s="7">
        <f>HY!N343</f>
        <v>37</v>
      </c>
      <c r="K85" s="7">
        <f>HY!O343</f>
        <v>100.488</v>
      </c>
      <c r="L85" s="7">
        <f>HY!P343</f>
        <v>82.513999999999996</v>
      </c>
      <c r="M85" s="7">
        <f>HY!Q343</f>
        <v>91.338000000000008</v>
      </c>
      <c r="N85" s="7">
        <f>HY!R343</f>
        <v>78.441000000000003</v>
      </c>
      <c r="O85" s="7">
        <f>HY!S343</f>
        <v>61.870999999999995</v>
      </c>
      <c r="P85" s="7">
        <f>HY!T343</f>
        <v>51.21599999999998</v>
      </c>
      <c r="Q85" s="7">
        <f>HY!U343</f>
        <v>29.320999999999994</v>
      </c>
      <c r="R85" s="7">
        <f>HY!V343</f>
        <v>22.221999999999998</v>
      </c>
      <c r="S85" s="7">
        <f>HY!W343</f>
        <v>13.457155114296471</v>
      </c>
      <c r="T85" s="7">
        <f>HY!X343</f>
        <v>30.043306102756858</v>
      </c>
      <c r="U85" s="7">
        <f>HY!Y343</f>
        <v>35.725347659445653</v>
      </c>
      <c r="V85" s="7">
        <f>HY!Z343</f>
        <v>42.509525306325628</v>
      </c>
      <c r="W85" s="7">
        <f>HY!AA343</f>
        <v>52.309657379208531</v>
      </c>
      <c r="X85" s="7">
        <f>HY!AB343</f>
        <v>54.229421972024639</v>
      </c>
      <c r="Y85" s="7">
        <f>HY!AC343</f>
        <v>58.978188617195052</v>
      </c>
      <c r="Z85" s="7">
        <f>HY!AD343</f>
        <v>61.066050535623859</v>
      </c>
      <c r="AF85" s="7">
        <f t="shared" si="17"/>
        <v>127.70000000000005</v>
      </c>
      <c r="AG85" s="7">
        <f t="shared" si="17"/>
        <v>8.2000000000000064</v>
      </c>
      <c r="AH85" s="7">
        <f t="shared" si="17"/>
        <v>183.00200000000001</v>
      </c>
      <c r="AI85" s="7">
        <f t="shared" si="17"/>
        <v>169.779</v>
      </c>
      <c r="AJ85" s="7">
        <f t="shared" si="17"/>
        <v>113.08699999999997</v>
      </c>
      <c r="AK85" s="7">
        <f t="shared" si="17"/>
        <v>51.542999999999992</v>
      </c>
      <c r="AL85" s="7">
        <f t="shared" si="17"/>
        <v>43.500461217053328</v>
      </c>
      <c r="AM85" s="7">
        <f t="shared" si="17"/>
        <v>78.234872965771274</v>
      </c>
      <c r="AN85" s="7">
        <f t="shared" si="17"/>
        <v>106.53907935123317</v>
      </c>
      <c r="AO85" s="7">
        <f t="shared" si="17"/>
        <v>120.0442391528189</v>
      </c>
    </row>
    <row r="86" spans="2:41">
      <c r="B86" s="111" t="str">
        <f t="shared" si="16"/>
        <v>P&amp;L - NORMALISEDIncome Tax Expense</v>
      </c>
      <c r="C86" s="49" t="s">
        <v>156</v>
      </c>
      <c r="D86" s="36" t="s">
        <v>72</v>
      </c>
      <c r="F86" s="49"/>
      <c r="G86" s="7">
        <f>HY!K344</f>
        <v>-19.5</v>
      </c>
      <c r="H86" s="7">
        <f>HY!L344</f>
        <v>-18.200000000000045</v>
      </c>
      <c r="I86" s="7">
        <f>HY!M344</f>
        <v>9.2999999999999936</v>
      </c>
      <c r="J86" s="7">
        <f>HY!N344</f>
        <v>-7.8000000000000007</v>
      </c>
      <c r="K86" s="7">
        <f>HY!O344</f>
        <v>-27.688000000000002</v>
      </c>
      <c r="L86" s="7">
        <f>HY!P344</f>
        <v>-22.614000000000004</v>
      </c>
      <c r="M86" s="7">
        <f>HY!Q344</f>
        <v>-26.838000000000008</v>
      </c>
      <c r="N86" s="7">
        <f>HY!R344</f>
        <v>-19.741</v>
      </c>
      <c r="O86" s="7">
        <f>HY!S344</f>
        <v>-17.670999999999992</v>
      </c>
      <c r="P86" s="7">
        <f>HY!T344</f>
        <v>-23.915999999999983</v>
      </c>
      <c r="Q86" s="7">
        <f>HY!U344</f>
        <v>-14.920999999999994</v>
      </c>
      <c r="R86" s="7">
        <f>HY!V344</f>
        <v>1.3780000000000037</v>
      </c>
      <c r="S86" s="7">
        <f>HY!W344</f>
        <v>-4.037146534288941</v>
      </c>
      <c r="T86" s="7">
        <f>HY!X344</f>
        <v>-9.0129918308270565</v>
      </c>
      <c r="U86" s="7">
        <f>HY!Y344</f>
        <v>-10.717604297833695</v>
      </c>
      <c r="V86" s="7">
        <f>HY!Z344</f>
        <v>-12.752857591897689</v>
      </c>
      <c r="W86" s="7">
        <f>HY!AA344</f>
        <v>-15.692897213762558</v>
      </c>
      <c r="X86" s="7">
        <f>HY!AB344</f>
        <v>-16.26882659160739</v>
      </c>
      <c r="Y86" s="7">
        <f>HY!AC344</f>
        <v>-17.693456585158515</v>
      </c>
      <c r="Z86" s="7">
        <f>HY!AD344</f>
        <v>-18.319815160687156</v>
      </c>
      <c r="AF86" s="7">
        <f t="shared" si="17"/>
        <v>-37.700000000000045</v>
      </c>
      <c r="AG86" s="7">
        <f t="shared" si="17"/>
        <v>1.4999999999999929</v>
      </c>
      <c r="AH86" s="7">
        <f t="shared" si="17"/>
        <v>-50.302000000000007</v>
      </c>
      <c r="AI86" s="7">
        <f t="shared" si="17"/>
        <v>-46.579000000000008</v>
      </c>
      <c r="AJ86" s="7">
        <f t="shared" si="17"/>
        <v>-41.586999999999975</v>
      </c>
      <c r="AK86" s="7">
        <f t="shared" si="17"/>
        <v>-13.54299999999999</v>
      </c>
      <c r="AL86" s="7">
        <f t="shared" si="17"/>
        <v>-13.050138365115998</v>
      </c>
      <c r="AM86" s="7">
        <f t="shared" si="17"/>
        <v>-23.470461889731382</v>
      </c>
      <c r="AN86" s="7">
        <f t="shared" si="17"/>
        <v>-31.96172380536995</v>
      </c>
      <c r="AO86" s="7">
        <f t="shared" si="17"/>
        <v>-36.013271745845671</v>
      </c>
    </row>
    <row r="87" spans="2:41">
      <c r="B87" s="111" t="str">
        <f t="shared" si="16"/>
        <v>P&amp;L - NORMALISEDNormalised NPAT</v>
      </c>
      <c r="C87" s="49" t="s">
        <v>158</v>
      </c>
      <c r="D87" s="36" t="s">
        <v>72</v>
      </c>
      <c r="F87" s="49"/>
      <c r="G87" s="7">
        <f>HY!K348</f>
        <v>43.2</v>
      </c>
      <c r="H87" s="7">
        <f>HY!L348</f>
        <v>46.8</v>
      </c>
      <c r="I87" s="7">
        <f>HY!M348</f>
        <v>-19.5</v>
      </c>
      <c r="J87" s="7">
        <f>HY!N348</f>
        <v>29.2</v>
      </c>
      <c r="K87" s="7">
        <f>HY!O348</f>
        <v>72.8</v>
      </c>
      <c r="L87" s="7">
        <f>HY!P348</f>
        <v>59.899999999999991</v>
      </c>
      <c r="M87" s="7">
        <f>HY!Q348</f>
        <v>64.5</v>
      </c>
      <c r="N87" s="7">
        <f>HY!R348</f>
        <v>58.7</v>
      </c>
      <c r="O87" s="7">
        <f>HY!S348</f>
        <v>44.2</v>
      </c>
      <c r="P87" s="7">
        <f>HY!T348</f>
        <v>27.299999999999997</v>
      </c>
      <c r="Q87" s="7">
        <f>HY!U348</f>
        <v>14.4</v>
      </c>
      <c r="R87" s="7">
        <f>HY!V348</f>
        <v>23.6</v>
      </c>
      <c r="S87" s="7">
        <f>HY!W348</f>
        <v>9.4200085800075293</v>
      </c>
      <c r="T87" s="7">
        <f>HY!X348</f>
        <v>21.030314271929804</v>
      </c>
      <c r="U87" s="7">
        <f>HY!Y348</f>
        <v>25.007743361611958</v>
      </c>
      <c r="V87" s="7">
        <f>HY!Z348</f>
        <v>29.756667714427941</v>
      </c>
      <c r="W87" s="7">
        <f>HY!AA348</f>
        <v>36.616760165445974</v>
      </c>
      <c r="X87" s="7">
        <f>HY!AB348</f>
        <v>37.960595380417246</v>
      </c>
      <c r="Y87" s="7">
        <f>HY!AC348</f>
        <v>41.284732032036537</v>
      </c>
      <c r="Z87" s="7">
        <f>HY!AD348</f>
        <v>42.746235374936703</v>
      </c>
      <c r="AF87" s="7">
        <f t="shared" si="17"/>
        <v>90</v>
      </c>
      <c r="AG87" s="7">
        <f t="shared" si="17"/>
        <v>9.6999999999999993</v>
      </c>
      <c r="AH87" s="7">
        <f t="shared" si="17"/>
        <v>132.69999999999999</v>
      </c>
      <c r="AI87" s="7">
        <f t="shared" si="17"/>
        <v>123.2</v>
      </c>
      <c r="AJ87" s="7">
        <f t="shared" si="17"/>
        <v>71.5</v>
      </c>
      <c r="AK87" s="7">
        <f t="shared" si="17"/>
        <v>38</v>
      </c>
      <c r="AL87" s="7">
        <f t="shared" si="17"/>
        <v>30.450322851937333</v>
      </c>
      <c r="AM87" s="7">
        <f t="shared" si="17"/>
        <v>54.764411076039899</v>
      </c>
      <c r="AN87" s="7">
        <f t="shared" si="17"/>
        <v>74.577355545863213</v>
      </c>
      <c r="AO87" s="7">
        <f t="shared" si="17"/>
        <v>84.030967406973247</v>
      </c>
    </row>
    <row r="88" spans="2:41">
      <c r="B88" s="111" t="str">
        <f t="shared" si="16"/>
        <v>P&amp;L - NORMALISEDNormlised EPS - diluted</v>
      </c>
      <c r="C88" s="49" t="s">
        <v>159</v>
      </c>
      <c r="D88" s="36" t="s">
        <v>257</v>
      </c>
      <c r="G88" s="7">
        <f>HY!K349</f>
        <v>5.7</v>
      </c>
      <c r="H88" s="7">
        <f>HY!L349</f>
        <v>6.2</v>
      </c>
      <c r="I88" s="7">
        <f>HY!M349</f>
        <v>-2.6</v>
      </c>
      <c r="J88" s="7">
        <f>HY!N349</f>
        <v>3.9000000000000004</v>
      </c>
      <c r="K88" s="7">
        <f>HY!O349</f>
        <v>9.6</v>
      </c>
      <c r="L88" s="7">
        <f>HY!P349</f>
        <v>8.7000000000000011</v>
      </c>
      <c r="M88" s="7">
        <f>HY!Q349</f>
        <v>8.8000000000000007</v>
      </c>
      <c r="N88" s="7">
        <f>HY!R349</f>
        <v>7.3999999999999986</v>
      </c>
      <c r="O88" s="7">
        <f>HY!S349</f>
        <v>5</v>
      </c>
      <c r="P88" s="7">
        <f>HY!T349</f>
        <v>4.4000000000000004</v>
      </c>
      <c r="Q88" s="7">
        <f>HY!U349</f>
        <v>1.5</v>
      </c>
      <c r="R88" s="7">
        <f>HY!V349</f>
        <v>2.2000000000000002</v>
      </c>
      <c r="S88" s="7">
        <f>HY!W349</f>
        <v>0.85399260949191125</v>
      </c>
      <c r="T88" s="7">
        <f>HY!X349</f>
        <v>1.9065516566128184</v>
      </c>
      <c r="U88" s="7">
        <f>HY!Y349</f>
        <v>2.2671346665450649</v>
      </c>
      <c r="V88" s="7">
        <f>HY!Z349</f>
        <v>2.697659359372655</v>
      </c>
      <c r="W88" s="7">
        <f>HY!AA349</f>
        <v>3.3195768665429051</v>
      </c>
      <c r="X88" s="7">
        <f>HY!AB349</f>
        <v>3.4414053481428155</v>
      </c>
      <c r="Y88" s="7">
        <f>HY!AC349</f>
        <v>3.7427626249768231</v>
      </c>
      <c r="Z88" s="7">
        <f>HY!AD349</f>
        <v>3.8752585821708951</v>
      </c>
      <c r="AF88" s="7">
        <f t="shared" si="17"/>
        <v>11.9</v>
      </c>
      <c r="AG88" s="7">
        <f t="shared" si="17"/>
        <v>1.3000000000000003</v>
      </c>
      <c r="AH88" s="7">
        <f t="shared" si="17"/>
        <v>18.3</v>
      </c>
      <c r="AI88" s="7">
        <f t="shared" si="17"/>
        <v>16.2</v>
      </c>
      <c r="AJ88" s="7">
        <f t="shared" si="17"/>
        <v>9.4</v>
      </c>
      <c r="AK88" s="7">
        <f t="shared" si="17"/>
        <v>3.7</v>
      </c>
      <c r="AL88" s="7">
        <f t="shared" si="17"/>
        <v>2.7605442661047297</v>
      </c>
      <c r="AM88" s="7">
        <f t="shared" si="17"/>
        <v>4.9647940259177199</v>
      </c>
      <c r="AN88" s="7">
        <f t="shared" si="17"/>
        <v>6.7609822146857201</v>
      </c>
      <c r="AO88" s="7">
        <f t="shared" si="17"/>
        <v>7.6180212071477182</v>
      </c>
    </row>
    <row r="89" spans="2:41">
      <c r="B89" s="111" t="str">
        <f t="shared" si="16"/>
        <v>P&amp;L - NORMALISEDDPS</v>
      </c>
      <c r="C89" s="49" t="s">
        <v>583</v>
      </c>
      <c r="D89" s="36" t="s">
        <v>257</v>
      </c>
      <c r="G89" s="7">
        <f>HY!K493</f>
        <v>0</v>
      </c>
      <c r="H89" s="7">
        <f>HY!L493</f>
        <v>7</v>
      </c>
      <c r="I89" s="7">
        <f>HY!M493</f>
        <v>0</v>
      </c>
      <c r="J89" s="7">
        <f>HY!N493</f>
        <v>0</v>
      </c>
      <c r="K89" s="7">
        <f>HY!O493</f>
        <v>6</v>
      </c>
      <c r="L89" s="7">
        <f>HY!P493</f>
        <v>6</v>
      </c>
      <c r="M89" s="7">
        <f>HY!Q493</f>
        <v>5.25</v>
      </c>
      <c r="N89" s="7">
        <f>HY!R493</f>
        <v>0</v>
      </c>
      <c r="O89" s="7">
        <f>HY!S493</f>
        <v>0</v>
      </c>
      <c r="P89" s="7">
        <f>HY!T493</f>
        <v>0</v>
      </c>
      <c r="Q89" s="7">
        <f>HY!U493</f>
        <v>0</v>
      </c>
      <c r="R89" s="7">
        <f>HY!V493</f>
        <v>0</v>
      </c>
      <c r="S89" s="7">
        <f>HY!W493</f>
        <v>0</v>
      </c>
      <c r="T89" s="7">
        <f>HY!X493</f>
        <v>0</v>
      </c>
      <c r="U89" s="7">
        <f>HY!Y493</f>
        <v>0</v>
      </c>
      <c r="V89" s="7">
        <f>HY!Z493</f>
        <v>0</v>
      </c>
      <c r="W89" s="7">
        <f>HY!AA493</f>
        <v>0</v>
      </c>
      <c r="X89" s="7">
        <f>HY!AB493</f>
        <v>0</v>
      </c>
      <c r="Y89" s="7">
        <f>HY!AC493</f>
        <v>0</v>
      </c>
      <c r="Z89" s="7">
        <f>HY!AD493</f>
        <v>0</v>
      </c>
      <c r="AF89" s="7">
        <f t="shared" si="17"/>
        <v>7</v>
      </c>
      <c r="AG89" s="7">
        <f t="shared" si="17"/>
        <v>0</v>
      </c>
      <c r="AH89" s="7">
        <f t="shared" si="17"/>
        <v>12</v>
      </c>
      <c r="AI89" s="7">
        <f t="shared" si="17"/>
        <v>5.25</v>
      </c>
      <c r="AJ89" s="7">
        <f t="shared" si="17"/>
        <v>0</v>
      </c>
      <c r="AK89" s="7">
        <f t="shared" si="17"/>
        <v>0</v>
      </c>
      <c r="AL89" s="7">
        <f t="shared" si="17"/>
        <v>0</v>
      </c>
      <c r="AM89" s="7">
        <f t="shared" si="17"/>
        <v>0</v>
      </c>
      <c r="AN89" s="7">
        <f t="shared" si="17"/>
        <v>0</v>
      </c>
      <c r="AO89" s="7">
        <f t="shared" si="17"/>
        <v>0</v>
      </c>
    </row>
    <row r="92" spans="2:41">
      <c r="C92" s="208" t="s">
        <v>1424</v>
      </c>
    </row>
    <row r="93" spans="2:41">
      <c r="B93" s="111" t="str">
        <f t="shared" ref="B93:B103" si="18">$C$92&amp;C93</f>
        <v>P&amp;L - REPORTEDReported  Revenue</v>
      </c>
      <c r="C93" s="49" t="s">
        <v>1425</v>
      </c>
      <c r="D93" s="36" t="s">
        <v>72</v>
      </c>
      <c r="F93" s="49"/>
      <c r="G93" s="7">
        <f>HY!K356</f>
        <v>449.9</v>
      </c>
      <c r="H93" s="7">
        <f>HY!L356</f>
        <v>502.1</v>
      </c>
      <c r="I93" s="7">
        <f>HY!M356</f>
        <v>289.8</v>
      </c>
      <c r="J93" s="7">
        <f>HY!N356</f>
        <v>349.2</v>
      </c>
      <c r="K93" s="7">
        <f>HY!O356</f>
        <v>462.6</v>
      </c>
      <c r="L93" s="7">
        <f>HY!P356</f>
        <v>463.6</v>
      </c>
      <c r="M93" s="7">
        <f>HY!Q356</f>
        <v>445.2</v>
      </c>
      <c r="N93" s="7">
        <f>HY!R356</f>
        <v>483.3</v>
      </c>
      <c r="O93" s="7">
        <f>HY!S356</f>
        <v>422</v>
      </c>
      <c r="P93" s="7">
        <f>HY!T356</f>
        <v>403.20000000000005</v>
      </c>
      <c r="Q93" s="7">
        <f>HY!U356</f>
        <v>411.7</v>
      </c>
      <c r="R93" s="7">
        <f>HY!V356</f>
        <v>467.2</v>
      </c>
      <c r="S93" s="7">
        <f>HY!W356</f>
        <v>419.565</v>
      </c>
      <c r="T93" s="7">
        <f>HY!X356</f>
        <v>421.36900000000003</v>
      </c>
      <c r="U93" s="7">
        <f>HY!Y356</f>
        <v>428.74853999999999</v>
      </c>
      <c r="V93" s="7">
        <f>HY!Z356</f>
        <v>430.86368999999991</v>
      </c>
      <c r="W93" s="7">
        <f>HY!AA356</f>
        <v>451.29426060000003</v>
      </c>
      <c r="X93" s="7">
        <f>HY!AB356</f>
        <v>448.01762690000004</v>
      </c>
      <c r="Y93" s="7">
        <f>HY!AC356</f>
        <v>469.62116627799992</v>
      </c>
      <c r="Z93" s="7">
        <f>HY!AD356</f>
        <v>466.20287816899997</v>
      </c>
      <c r="AF93" s="7">
        <f t="shared" ref="AF93:AO103" si="19">SUMIFS($G93:$Z93,$G$3:$Z$3,AF$5)</f>
        <v>952</v>
      </c>
      <c r="AG93" s="7">
        <f t="shared" si="19"/>
        <v>639</v>
      </c>
      <c r="AH93" s="7">
        <f t="shared" si="19"/>
        <v>926.2</v>
      </c>
      <c r="AI93" s="7">
        <f t="shared" si="19"/>
        <v>928.5</v>
      </c>
      <c r="AJ93" s="7">
        <f t="shared" si="19"/>
        <v>825.2</v>
      </c>
      <c r="AK93" s="7">
        <f t="shared" si="19"/>
        <v>878.9</v>
      </c>
      <c r="AL93" s="7">
        <f t="shared" si="19"/>
        <v>840.93399999999997</v>
      </c>
      <c r="AM93" s="7">
        <f t="shared" si="19"/>
        <v>859.61222999999995</v>
      </c>
      <c r="AN93" s="7">
        <f t="shared" si="19"/>
        <v>899.31188750000001</v>
      </c>
      <c r="AO93" s="7">
        <f t="shared" si="19"/>
        <v>935.82404444699989</v>
      </c>
    </row>
    <row r="94" spans="2:41">
      <c r="B94" s="111" t="str">
        <f t="shared" si="18"/>
        <v>P&amp;L - REPORTEDExpenses</v>
      </c>
      <c r="C94" s="49" t="s">
        <v>136</v>
      </c>
      <c r="D94" s="36" t="s">
        <v>72</v>
      </c>
      <c r="F94" s="49"/>
      <c r="G94" s="7" t="e">
        <f>HY!#REF!</f>
        <v>#REF!</v>
      </c>
      <c r="H94" s="7" t="e">
        <f>HY!#REF!</f>
        <v>#REF!</v>
      </c>
      <c r="I94" s="7" t="e">
        <f>HY!#REF!</f>
        <v>#REF!</v>
      </c>
      <c r="J94" s="7" t="e">
        <f>HY!#REF!</f>
        <v>#REF!</v>
      </c>
      <c r="K94" s="7" t="e">
        <f>HY!#REF!</f>
        <v>#REF!</v>
      </c>
      <c r="L94" s="7" t="e">
        <f>HY!#REF!</f>
        <v>#REF!</v>
      </c>
      <c r="M94" s="7" t="e">
        <f>HY!#REF!</f>
        <v>#REF!</v>
      </c>
      <c r="N94" s="7" t="e">
        <f>HY!#REF!</f>
        <v>#REF!</v>
      </c>
      <c r="O94" s="7" t="e">
        <f>HY!#REF!</f>
        <v>#REF!</v>
      </c>
      <c r="P94" s="7" t="e">
        <f>HY!#REF!</f>
        <v>#REF!</v>
      </c>
      <c r="Q94" s="7" t="e">
        <f>HY!#REF!</f>
        <v>#REF!</v>
      </c>
      <c r="R94" s="7" t="e">
        <f>HY!#REF!</f>
        <v>#REF!</v>
      </c>
      <c r="S94" s="7" t="e">
        <f>HY!#REF!</f>
        <v>#REF!</v>
      </c>
      <c r="T94" s="7" t="e">
        <f>HY!#REF!</f>
        <v>#REF!</v>
      </c>
      <c r="U94" s="7" t="e">
        <f>HY!#REF!</f>
        <v>#REF!</v>
      </c>
      <c r="V94" s="7" t="e">
        <f>HY!#REF!</f>
        <v>#REF!</v>
      </c>
      <c r="W94" s="7" t="e">
        <f>HY!#REF!</f>
        <v>#REF!</v>
      </c>
      <c r="X94" s="7" t="e">
        <f>HY!#REF!</f>
        <v>#REF!</v>
      </c>
      <c r="Y94" s="7" t="e">
        <f>HY!#REF!</f>
        <v>#REF!</v>
      </c>
      <c r="Z94" s="7" t="e">
        <f>HY!#REF!</f>
        <v>#REF!</v>
      </c>
      <c r="AF94" s="7" t="e">
        <f t="shared" si="19"/>
        <v>#REF!</v>
      </c>
      <c r="AG94" s="7" t="e">
        <f t="shared" si="19"/>
        <v>#REF!</v>
      </c>
      <c r="AH94" s="7" t="e">
        <f t="shared" si="19"/>
        <v>#REF!</v>
      </c>
      <c r="AI94" s="7" t="e">
        <f t="shared" si="19"/>
        <v>#REF!</v>
      </c>
      <c r="AJ94" s="7" t="e">
        <f t="shared" si="19"/>
        <v>#REF!</v>
      </c>
      <c r="AK94" s="7" t="e">
        <f t="shared" si="19"/>
        <v>#REF!</v>
      </c>
      <c r="AL94" s="7" t="e">
        <f t="shared" si="19"/>
        <v>#REF!</v>
      </c>
      <c r="AM94" s="7" t="e">
        <f t="shared" si="19"/>
        <v>#REF!</v>
      </c>
      <c r="AN94" s="7" t="e">
        <f t="shared" si="19"/>
        <v>#REF!</v>
      </c>
      <c r="AO94" s="7" t="e">
        <f t="shared" si="19"/>
        <v>#REF!</v>
      </c>
    </row>
    <row r="95" spans="2:41">
      <c r="B95" s="111" t="str">
        <f t="shared" si="18"/>
        <v>P&amp;L - REPORTEDReported  EBITDA</v>
      </c>
      <c r="C95" s="49" t="s">
        <v>1426</v>
      </c>
      <c r="D95" s="36" t="s">
        <v>72</v>
      </c>
      <c r="F95" s="49"/>
      <c r="G95" s="7" t="e">
        <f>HY!#REF!</f>
        <v>#REF!</v>
      </c>
      <c r="H95" s="7" t="e">
        <f>HY!#REF!</f>
        <v>#REF!</v>
      </c>
      <c r="I95" s="7" t="e">
        <f>HY!#REF!</f>
        <v>#REF!</v>
      </c>
      <c r="J95" s="7" t="e">
        <f>HY!#REF!</f>
        <v>#REF!</v>
      </c>
      <c r="K95" s="7" t="e">
        <f>HY!#REF!</f>
        <v>#REF!</v>
      </c>
      <c r="L95" s="7" t="e">
        <f>HY!#REF!</f>
        <v>#REF!</v>
      </c>
      <c r="M95" s="7" t="e">
        <f>HY!#REF!</f>
        <v>#REF!</v>
      </c>
      <c r="N95" s="7" t="e">
        <f>HY!#REF!</f>
        <v>#REF!</v>
      </c>
      <c r="O95" s="7" t="e">
        <f>HY!#REF!</f>
        <v>#REF!</v>
      </c>
      <c r="P95" s="7" t="e">
        <f>HY!#REF!</f>
        <v>#REF!</v>
      </c>
      <c r="Q95" s="7" t="e">
        <f>HY!#REF!</f>
        <v>#REF!</v>
      </c>
      <c r="R95" s="7" t="e">
        <f>HY!#REF!</f>
        <v>#REF!</v>
      </c>
      <c r="S95" s="7" t="e">
        <f>HY!#REF!</f>
        <v>#REF!</v>
      </c>
      <c r="T95" s="7" t="e">
        <f>HY!#REF!</f>
        <v>#REF!</v>
      </c>
      <c r="U95" s="7" t="e">
        <f>HY!#REF!</f>
        <v>#REF!</v>
      </c>
      <c r="V95" s="7" t="e">
        <f>HY!#REF!</f>
        <v>#REF!</v>
      </c>
      <c r="W95" s="7" t="e">
        <f>HY!#REF!</f>
        <v>#REF!</v>
      </c>
      <c r="X95" s="7" t="e">
        <f>HY!#REF!</f>
        <v>#REF!</v>
      </c>
      <c r="Y95" s="7" t="e">
        <f>HY!#REF!</f>
        <v>#REF!</v>
      </c>
      <c r="Z95" s="7" t="e">
        <f>HY!#REF!</f>
        <v>#REF!</v>
      </c>
      <c r="AF95" s="7" t="e">
        <f t="shared" si="19"/>
        <v>#REF!</v>
      </c>
      <c r="AG95" s="7" t="e">
        <f t="shared" si="19"/>
        <v>#REF!</v>
      </c>
      <c r="AH95" s="7" t="e">
        <f t="shared" si="19"/>
        <v>#REF!</v>
      </c>
      <c r="AI95" s="7" t="e">
        <f t="shared" si="19"/>
        <v>#REF!</v>
      </c>
      <c r="AJ95" s="7" t="e">
        <f t="shared" si="19"/>
        <v>#REF!</v>
      </c>
      <c r="AK95" s="7" t="e">
        <f t="shared" si="19"/>
        <v>#REF!</v>
      </c>
      <c r="AL95" s="7" t="e">
        <f t="shared" si="19"/>
        <v>#REF!</v>
      </c>
      <c r="AM95" s="7" t="e">
        <f t="shared" si="19"/>
        <v>#REF!</v>
      </c>
      <c r="AN95" s="7" t="e">
        <f t="shared" si="19"/>
        <v>#REF!</v>
      </c>
      <c r="AO95" s="7" t="e">
        <f t="shared" si="19"/>
        <v>#REF!</v>
      </c>
    </row>
    <row r="96" spans="2:41">
      <c r="B96" s="111" t="str">
        <f t="shared" si="18"/>
        <v>P&amp;L - REPORTEDD&amp;A Expense</v>
      </c>
      <c r="C96" s="49" t="s">
        <v>1423</v>
      </c>
      <c r="D96" s="36" t="s">
        <v>72</v>
      </c>
      <c r="F96" s="49"/>
      <c r="G96" s="7" t="e">
        <f>HY!#REF!</f>
        <v>#REF!</v>
      </c>
      <c r="H96" s="7" t="e">
        <f>HY!#REF!</f>
        <v>#REF!</v>
      </c>
      <c r="I96" s="7" t="e">
        <f>HY!#REF!</f>
        <v>#REF!</v>
      </c>
      <c r="J96" s="7" t="e">
        <f>HY!#REF!</f>
        <v>#REF!</v>
      </c>
      <c r="K96" s="7" t="e">
        <f>HY!#REF!</f>
        <v>#REF!</v>
      </c>
      <c r="L96" s="7" t="e">
        <f>HY!#REF!</f>
        <v>#REF!</v>
      </c>
      <c r="M96" s="7" t="e">
        <f>HY!#REF!</f>
        <v>#REF!</v>
      </c>
      <c r="N96" s="7" t="e">
        <f>HY!#REF!</f>
        <v>#REF!</v>
      </c>
      <c r="O96" s="7" t="e">
        <f>HY!#REF!</f>
        <v>#REF!</v>
      </c>
      <c r="P96" s="7" t="e">
        <f>HY!#REF!</f>
        <v>#REF!</v>
      </c>
      <c r="Q96" s="7" t="e">
        <f>HY!#REF!</f>
        <v>#REF!</v>
      </c>
      <c r="R96" s="7" t="e">
        <f>HY!#REF!</f>
        <v>#REF!</v>
      </c>
      <c r="S96" s="7" t="e">
        <f>HY!#REF!</f>
        <v>#REF!</v>
      </c>
      <c r="T96" s="7" t="e">
        <f>HY!#REF!</f>
        <v>#REF!</v>
      </c>
      <c r="U96" s="7" t="e">
        <f>HY!#REF!</f>
        <v>#REF!</v>
      </c>
      <c r="V96" s="7" t="e">
        <f>HY!#REF!</f>
        <v>#REF!</v>
      </c>
      <c r="W96" s="7" t="e">
        <f>HY!#REF!</f>
        <v>#REF!</v>
      </c>
      <c r="X96" s="7" t="e">
        <f>HY!#REF!</f>
        <v>#REF!</v>
      </c>
      <c r="Y96" s="7" t="e">
        <f>HY!#REF!</f>
        <v>#REF!</v>
      </c>
      <c r="Z96" s="7" t="e">
        <f>HY!#REF!</f>
        <v>#REF!</v>
      </c>
      <c r="AF96" s="7" t="e">
        <f t="shared" si="19"/>
        <v>#REF!</v>
      </c>
      <c r="AG96" s="7" t="e">
        <f t="shared" si="19"/>
        <v>#REF!</v>
      </c>
      <c r="AH96" s="7" t="e">
        <f t="shared" si="19"/>
        <v>#REF!</v>
      </c>
      <c r="AI96" s="7" t="e">
        <f t="shared" si="19"/>
        <v>#REF!</v>
      </c>
      <c r="AJ96" s="7" t="e">
        <f t="shared" si="19"/>
        <v>#REF!</v>
      </c>
      <c r="AK96" s="7" t="e">
        <f t="shared" si="19"/>
        <v>#REF!</v>
      </c>
      <c r="AL96" s="7" t="e">
        <f t="shared" si="19"/>
        <v>#REF!</v>
      </c>
      <c r="AM96" s="7" t="e">
        <f t="shared" si="19"/>
        <v>#REF!</v>
      </c>
      <c r="AN96" s="7" t="e">
        <f t="shared" si="19"/>
        <v>#REF!</v>
      </c>
      <c r="AO96" s="7" t="e">
        <f t="shared" si="19"/>
        <v>#REF!</v>
      </c>
    </row>
    <row r="97" spans="1:41">
      <c r="B97" s="111" t="str">
        <f t="shared" si="18"/>
        <v>P&amp;L - REPORTEDReported  EBIT</v>
      </c>
      <c r="C97" s="49" t="s">
        <v>1427</v>
      </c>
      <c r="D97" s="36" t="s">
        <v>72</v>
      </c>
      <c r="F97" s="49"/>
      <c r="G97" s="7" t="e">
        <f>HY!#REF!</f>
        <v>#REF!</v>
      </c>
      <c r="H97" s="7" t="e">
        <f>HY!#REF!</f>
        <v>#REF!</v>
      </c>
      <c r="I97" s="7" t="e">
        <f>HY!#REF!</f>
        <v>#REF!</v>
      </c>
      <c r="J97" s="7" t="e">
        <f>HY!#REF!</f>
        <v>#REF!</v>
      </c>
      <c r="K97" s="7" t="e">
        <f>HY!#REF!</f>
        <v>#REF!</v>
      </c>
      <c r="L97" s="7" t="e">
        <f>HY!#REF!</f>
        <v>#REF!</v>
      </c>
      <c r="M97" s="7" t="e">
        <f>HY!#REF!</f>
        <v>#REF!</v>
      </c>
      <c r="N97" s="7" t="e">
        <f>HY!#REF!</f>
        <v>#REF!</v>
      </c>
      <c r="O97" s="7" t="e">
        <f>HY!#REF!</f>
        <v>#REF!</v>
      </c>
      <c r="P97" s="7" t="e">
        <f>HY!#REF!</f>
        <v>#REF!</v>
      </c>
      <c r="Q97" s="7" t="e">
        <f>HY!#REF!</f>
        <v>#REF!</v>
      </c>
      <c r="R97" s="7" t="e">
        <f>HY!#REF!</f>
        <v>#REF!</v>
      </c>
      <c r="S97" s="7" t="e">
        <f>HY!#REF!</f>
        <v>#REF!</v>
      </c>
      <c r="T97" s="7" t="e">
        <f>HY!#REF!</f>
        <v>#REF!</v>
      </c>
      <c r="U97" s="7" t="e">
        <f>HY!#REF!</f>
        <v>#REF!</v>
      </c>
      <c r="V97" s="7" t="e">
        <f>HY!#REF!</f>
        <v>#REF!</v>
      </c>
      <c r="W97" s="7" t="e">
        <f>HY!#REF!</f>
        <v>#REF!</v>
      </c>
      <c r="X97" s="7" t="e">
        <f>HY!#REF!</f>
        <v>#REF!</v>
      </c>
      <c r="Y97" s="7" t="e">
        <f>HY!#REF!</f>
        <v>#REF!</v>
      </c>
      <c r="Z97" s="7" t="e">
        <f>HY!#REF!</f>
        <v>#REF!</v>
      </c>
      <c r="AF97" s="7" t="e">
        <f t="shared" si="19"/>
        <v>#REF!</v>
      </c>
      <c r="AG97" s="7" t="e">
        <f t="shared" si="19"/>
        <v>#REF!</v>
      </c>
      <c r="AH97" s="7" t="e">
        <f t="shared" si="19"/>
        <v>#REF!</v>
      </c>
      <c r="AI97" s="7" t="e">
        <f t="shared" si="19"/>
        <v>#REF!</v>
      </c>
      <c r="AJ97" s="7" t="e">
        <f t="shared" si="19"/>
        <v>#REF!</v>
      </c>
      <c r="AK97" s="7" t="e">
        <f t="shared" si="19"/>
        <v>#REF!</v>
      </c>
      <c r="AL97" s="7" t="e">
        <f t="shared" si="19"/>
        <v>#REF!</v>
      </c>
      <c r="AM97" s="7" t="e">
        <f t="shared" si="19"/>
        <v>#REF!</v>
      </c>
      <c r="AN97" s="7" t="e">
        <f t="shared" si="19"/>
        <v>#REF!</v>
      </c>
      <c r="AO97" s="7" t="e">
        <f t="shared" si="19"/>
        <v>#REF!</v>
      </c>
    </row>
    <row r="98" spans="1:41">
      <c r="B98" s="111" t="str">
        <f t="shared" si="18"/>
        <v>P&amp;L - REPORTEDNet Finance Costs</v>
      </c>
      <c r="C98" s="49" t="s">
        <v>154</v>
      </c>
      <c r="D98" s="36" t="s">
        <v>72</v>
      </c>
      <c r="F98" s="49"/>
      <c r="G98" s="7" t="e">
        <f>HY!#REF!</f>
        <v>#REF!</v>
      </c>
      <c r="H98" s="7" t="e">
        <f>HY!#REF!</f>
        <v>#REF!</v>
      </c>
      <c r="I98" s="7" t="e">
        <f>HY!#REF!</f>
        <v>#REF!</v>
      </c>
      <c r="J98" s="7" t="e">
        <f>HY!#REF!</f>
        <v>#REF!</v>
      </c>
      <c r="K98" s="7" t="e">
        <f>HY!#REF!</f>
        <v>#REF!</v>
      </c>
      <c r="L98" s="7" t="e">
        <f>HY!#REF!</f>
        <v>#REF!</v>
      </c>
      <c r="M98" s="7" t="e">
        <f>HY!#REF!</f>
        <v>#REF!</v>
      </c>
      <c r="N98" s="7" t="e">
        <f>HY!#REF!</f>
        <v>#REF!</v>
      </c>
      <c r="O98" s="7" t="e">
        <f>HY!#REF!</f>
        <v>#REF!</v>
      </c>
      <c r="P98" s="7" t="e">
        <f>HY!#REF!</f>
        <v>#REF!</v>
      </c>
      <c r="Q98" s="7" t="e">
        <f>HY!#REF!</f>
        <v>#REF!</v>
      </c>
      <c r="R98" s="7" t="e">
        <f>HY!#REF!</f>
        <v>#REF!</v>
      </c>
      <c r="S98" s="7" t="e">
        <f>HY!#REF!</f>
        <v>#REF!</v>
      </c>
      <c r="T98" s="7" t="e">
        <f>HY!#REF!</f>
        <v>#REF!</v>
      </c>
      <c r="U98" s="7" t="e">
        <f>HY!#REF!</f>
        <v>#REF!</v>
      </c>
      <c r="V98" s="7" t="e">
        <f>HY!#REF!</f>
        <v>#REF!</v>
      </c>
      <c r="W98" s="7" t="e">
        <f>HY!#REF!</f>
        <v>#REF!</v>
      </c>
      <c r="X98" s="7" t="e">
        <f>HY!#REF!</f>
        <v>#REF!</v>
      </c>
      <c r="Y98" s="7" t="e">
        <f>HY!#REF!</f>
        <v>#REF!</v>
      </c>
      <c r="Z98" s="7" t="e">
        <f>HY!#REF!</f>
        <v>#REF!</v>
      </c>
      <c r="AF98" s="7" t="e">
        <f t="shared" si="19"/>
        <v>#REF!</v>
      </c>
      <c r="AG98" s="7" t="e">
        <f t="shared" si="19"/>
        <v>#REF!</v>
      </c>
      <c r="AH98" s="7" t="e">
        <f t="shared" si="19"/>
        <v>#REF!</v>
      </c>
      <c r="AI98" s="7" t="e">
        <f t="shared" si="19"/>
        <v>#REF!</v>
      </c>
      <c r="AJ98" s="7" t="e">
        <f t="shared" si="19"/>
        <v>#REF!</v>
      </c>
      <c r="AK98" s="7" t="e">
        <f t="shared" si="19"/>
        <v>#REF!</v>
      </c>
      <c r="AL98" s="7" t="e">
        <f t="shared" si="19"/>
        <v>#REF!</v>
      </c>
      <c r="AM98" s="7" t="e">
        <f t="shared" si="19"/>
        <v>#REF!</v>
      </c>
      <c r="AN98" s="7" t="e">
        <f t="shared" si="19"/>
        <v>#REF!</v>
      </c>
      <c r="AO98" s="7" t="e">
        <f t="shared" si="19"/>
        <v>#REF!</v>
      </c>
    </row>
    <row r="99" spans="1:41">
      <c r="B99" s="111" t="str">
        <f t="shared" si="18"/>
        <v>P&amp;L - REPORTEDNPBT</v>
      </c>
      <c r="C99" s="49" t="s">
        <v>155</v>
      </c>
      <c r="D99" s="36" t="s">
        <v>72</v>
      </c>
      <c r="F99" s="49"/>
      <c r="G99" s="7" t="e">
        <f>HY!#REF!</f>
        <v>#REF!</v>
      </c>
      <c r="H99" s="7" t="e">
        <f>HY!#REF!</f>
        <v>#REF!</v>
      </c>
      <c r="I99" s="7" t="e">
        <f>HY!#REF!</f>
        <v>#REF!</v>
      </c>
      <c r="J99" s="7" t="e">
        <f>HY!#REF!</f>
        <v>#REF!</v>
      </c>
      <c r="K99" s="7" t="e">
        <f>HY!#REF!</f>
        <v>#REF!</v>
      </c>
      <c r="L99" s="7" t="e">
        <f>HY!#REF!</f>
        <v>#REF!</v>
      </c>
      <c r="M99" s="7" t="e">
        <f>HY!#REF!</f>
        <v>#REF!</v>
      </c>
      <c r="N99" s="7" t="e">
        <f>HY!#REF!</f>
        <v>#REF!</v>
      </c>
      <c r="O99" s="7" t="e">
        <f>HY!#REF!</f>
        <v>#REF!</v>
      </c>
      <c r="P99" s="7" t="e">
        <f>HY!#REF!</f>
        <v>#REF!</v>
      </c>
      <c r="Q99" s="7" t="e">
        <f>HY!#REF!</f>
        <v>#REF!</v>
      </c>
      <c r="R99" s="7" t="e">
        <f>HY!#REF!</f>
        <v>#REF!</v>
      </c>
      <c r="S99" s="7" t="e">
        <f>HY!#REF!</f>
        <v>#REF!</v>
      </c>
      <c r="T99" s="7" t="e">
        <f>HY!#REF!</f>
        <v>#REF!</v>
      </c>
      <c r="U99" s="7" t="e">
        <f>HY!#REF!</f>
        <v>#REF!</v>
      </c>
      <c r="V99" s="7" t="e">
        <f>HY!#REF!</f>
        <v>#REF!</v>
      </c>
      <c r="W99" s="7" t="e">
        <f>HY!#REF!</f>
        <v>#REF!</v>
      </c>
      <c r="X99" s="7" t="e">
        <f>HY!#REF!</f>
        <v>#REF!</v>
      </c>
      <c r="Y99" s="7" t="e">
        <f>HY!#REF!</f>
        <v>#REF!</v>
      </c>
      <c r="Z99" s="7" t="e">
        <f>HY!#REF!</f>
        <v>#REF!</v>
      </c>
      <c r="AF99" s="7" t="e">
        <f t="shared" si="19"/>
        <v>#REF!</v>
      </c>
      <c r="AG99" s="7" t="e">
        <f t="shared" si="19"/>
        <v>#REF!</v>
      </c>
      <c r="AH99" s="7" t="e">
        <f t="shared" si="19"/>
        <v>#REF!</v>
      </c>
      <c r="AI99" s="7" t="e">
        <f t="shared" si="19"/>
        <v>#REF!</v>
      </c>
      <c r="AJ99" s="7" t="e">
        <f t="shared" si="19"/>
        <v>#REF!</v>
      </c>
      <c r="AK99" s="7" t="e">
        <f t="shared" si="19"/>
        <v>#REF!</v>
      </c>
      <c r="AL99" s="7" t="e">
        <f t="shared" si="19"/>
        <v>#REF!</v>
      </c>
      <c r="AM99" s="7" t="e">
        <f t="shared" si="19"/>
        <v>#REF!</v>
      </c>
      <c r="AN99" s="7" t="e">
        <f t="shared" si="19"/>
        <v>#REF!</v>
      </c>
      <c r="AO99" s="7" t="e">
        <f t="shared" si="19"/>
        <v>#REF!</v>
      </c>
    </row>
    <row r="100" spans="1:41">
      <c r="B100" s="111" t="str">
        <f t="shared" si="18"/>
        <v>P&amp;L - REPORTEDIncome Tax Expense</v>
      </c>
      <c r="C100" s="49" t="s">
        <v>156</v>
      </c>
      <c r="D100" s="36" t="s">
        <v>72</v>
      </c>
      <c r="F100" s="49"/>
      <c r="G100" s="7" t="e">
        <f>HY!#REF!</f>
        <v>#REF!</v>
      </c>
      <c r="H100" s="7" t="e">
        <f>HY!#REF!</f>
        <v>#REF!</v>
      </c>
      <c r="I100" s="7" t="e">
        <f>HY!#REF!</f>
        <v>#REF!</v>
      </c>
      <c r="J100" s="7" t="e">
        <f>HY!#REF!</f>
        <v>#REF!</v>
      </c>
      <c r="K100" s="7" t="e">
        <f>HY!#REF!</f>
        <v>#REF!</v>
      </c>
      <c r="L100" s="7" t="e">
        <f>HY!#REF!</f>
        <v>#REF!</v>
      </c>
      <c r="M100" s="7" t="e">
        <f>HY!#REF!</f>
        <v>#REF!</v>
      </c>
      <c r="N100" s="7" t="e">
        <f>HY!#REF!</f>
        <v>#REF!</v>
      </c>
      <c r="O100" s="7" t="e">
        <f>HY!#REF!</f>
        <v>#REF!</v>
      </c>
      <c r="P100" s="7" t="e">
        <f>HY!#REF!</f>
        <v>#REF!</v>
      </c>
      <c r="Q100" s="7" t="e">
        <f>HY!#REF!</f>
        <v>#REF!</v>
      </c>
      <c r="R100" s="7" t="e">
        <f>HY!#REF!</f>
        <v>#REF!</v>
      </c>
      <c r="S100" s="7" t="e">
        <f>HY!#REF!</f>
        <v>#REF!</v>
      </c>
      <c r="T100" s="7" t="e">
        <f>HY!#REF!</f>
        <v>#REF!</v>
      </c>
      <c r="U100" s="7" t="e">
        <f>HY!#REF!</f>
        <v>#REF!</v>
      </c>
      <c r="V100" s="7" t="e">
        <f>HY!#REF!</f>
        <v>#REF!</v>
      </c>
      <c r="W100" s="7" t="e">
        <f>HY!#REF!</f>
        <v>#REF!</v>
      </c>
      <c r="X100" s="7" t="e">
        <f>HY!#REF!</f>
        <v>#REF!</v>
      </c>
      <c r="Y100" s="7" t="e">
        <f>HY!#REF!</f>
        <v>#REF!</v>
      </c>
      <c r="Z100" s="7" t="e">
        <f>HY!#REF!</f>
        <v>#REF!</v>
      </c>
      <c r="AF100" s="7" t="e">
        <f t="shared" si="19"/>
        <v>#REF!</v>
      </c>
      <c r="AG100" s="7" t="e">
        <f t="shared" si="19"/>
        <v>#REF!</v>
      </c>
      <c r="AH100" s="7" t="e">
        <f t="shared" si="19"/>
        <v>#REF!</v>
      </c>
      <c r="AI100" s="7" t="e">
        <f t="shared" si="19"/>
        <v>#REF!</v>
      </c>
      <c r="AJ100" s="7" t="e">
        <f t="shared" si="19"/>
        <v>#REF!</v>
      </c>
      <c r="AK100" s="7" t="e">
        <f t="shared" si="19"/>
        <v>#REF!</v>
      </c>
      <c r="AL100" s="7" t="e">
        <f t="shared" si="19"/>
        <v>#REF!</v>
      </c>
      <c r="AM100" s="7" t="e">
        <f t="shared" si="19"/>
        <v>#REF!</v>
      </c>
      <c r="AN100" s="7" t="e">
        <f t="shared" si="19"/>
        <v>#REF!</v>
      </c>
      <c r="AO100" s="7" t="e">
        <f t="shared" si="19"/>
        <v>#REF!</v>
      </c>
    </row>
    <row r="101" spans="1:41">
      <c r="B101" s="111" t="str">
        <f t="shared" si="18"/>
        <v>P&amp;L - REPORTEDReported NPAT</v>
      </c>
      <c r="C101" s="49" t="s">
        <v>167</v>
      </c>
      <c r="D101" s="36" t="s">
        <v>72</v>
      </c>
      <c r="F101" s="49"/>
      <c r="G101" s="7">
        <f>HY!K368</f>
        <v>77.900000000000006</v>
      </c>
      <c r="H101" s="7">
        <f>HY!L368</f>
        <v>77.900000000000006</v>
      </c>
      <c r="I101" s="7">
        <f>HY!M368</f>
        <v>-33.700000000000003</v>
      </c>
      <c r="J101" s="7">
        <f>HY!N368</f>
        <v>0.10000000000000142</v>
      </c>
      <c r="K101" s="7">
        <f>HY!O368</f>
        <v>22.8</v>
      </c>
      <c r="L101" s="7">
        <f>HY!P368</f>
        <v>-14.825000000000001</v>
      </c>
      <c r="M101" s="7">
        <f>HY!Q368</f>
        <v>22.5</v>
      </c>
      <c r="N101" s="7">
        <f>HY!R368</f>
        <v>-165.8</v>
      </c>
      <c r="O101" s="7">
        <f>HY!S368</f>
        <v>6.1</v>
      </c>
      <c r="P101" s="7">
        <f>HY!T368</f>
        <v>23.1</v>
      </c>
      <c r="Q101" s="7">
        <f>HY!U368</f>
        <v>12.1</v>
      </c>
      <c r="R101" s="7">
        <f>HY!V368</f>
        <v>6.1</v>
      </c>
      <c r="S101" s="7">
        <f>HY!W368</f>
        <v>-27.579991419992471</v>
      </c>
      <c r="T101" s="7">
        <f>HY!X368</f>
        <v>11.030314271929804</v>
      </c>
      <c r="U101" s="7">
        <f>HY!Y368</f>
        <v>8.0077433616119578</v>
      </c>
      <c r="V101" s="7">
        <f>HY!Z368</f>
        <v>29.756667714427941</v>
      </c>
      <c r="W101" s="7">
        <f>HY!AA368</f>
        <v>29.616760165445974</v>
      </c>
      <c r="X101" s="7">
        <f>HY!AB368</f>
        <v>37.960595380417246</v>
      </c>
      <c r="Y101" s="7">
        <f>HY!AC368</f>
        <v>41.284732032036537</v>
      </c>
      <c r="Z101" s="7">
        <f>HY!AD368</f>
        <v>42.746235374936703</v>
      </c>
      <c r="AF101" s="7">
        <f t="shared" si="19"/>
        <v>155.80000000000001</v>
      </c>
      <c r="AG101" s="7">
        <f t="shared" si="19"/>
        <v>-33.6</v>
      </c>
      <c r="AH101" s="7">
        <f t="shared" si="19"/>
        <v>7.9749999999999996</v>
      </c>
      <c r="AI101" s="7">
        <f t="shared" si="19"/>
        <v>-143.30000000000001</v>
      </c>
      <c r="AJ101" s="7">
        <f t="shared" si="19"/>
        <v>29.200000000000003</v>
      </c>
      <c r="AK101" s="7">
        <f t="shared" si="19"/>
        <v>18.2</v>
      </c>
      <c r="AL101" s="7">
        <f t="shared" si="19"/>
        <v>-16.549677148062667</v>
      </c>
      <c r="AM101" s="7">
        <f t="shared" si="19"/>
        <v>37.764411076039899</v>
      </c>
      <c r="AN101" s="7">
        <f t="shared" si="19"/>
        <v>67.577355545863213</v>
      </c>
      <c r="AO101" s="7">
        <f t="shared" si="19"/>
        <v>84.030967406973247</v>
      </c>
    </row>
    <row r="102" spans="1:41">
      <c r="B102" s="111" t="str">
        <f t="shared" si="18"/>
        <v>P&amp;L - REPORTEDReported EPS - diluted</v>
      </c>
      <c r="C102" s="49" t="s">
        <v>168</v>
      </c>
      <c r="D102" s="36" t="s">
        <v>257</v>
      </c>
      <c r="G102" s="7">
        <f>HY!K370</f>
        <v>10.3</v>
      </c>
      <c r="H102" s="7">
        <f>HY!L370</f>
        <v>10.3</v>
      </c>
      <c r="I102" s="7">
        <f>HY!M370</f>
        <v>-4.5</v>
      </c>
      <c r="J102" s="7">
        <f>HY!N370</f>
        <v>9.9999999999999645E-2</v>
      </c>
      <c r="K102" s="7">
        <f>HY!O370</f>
        <v>3</v>
      </c>
      <c r="L102" s="7">
        <f>HY!P370</f>
        <v>-1.9</v>
      </c>
      <c r="M102" s="7">
        <f>HY!Q370</f>
        <v>3</v>
      </c>
      <c r="N102" s="7">
        <f>HY!R370</f>
        <v>-1.9</v>
      </c>
      <c r="O102" s="7">
        <f>HY!S370</f>
        <v>3</v>
      </c>
      <c r="P102" s="7">
        <f>HY!T370</f>
        <v>0.89999999999999991</v>
      </c>
      <c r="Q102" s="7">
        <f>HY!U370</f>
        <v>1.2</v>
      </c>
      <c r="R102" s="7">
        <f>HY!V370</f>
        <v>0.60000000000000009</v>
      </c>
      <c r="S102" s="7">
        <f>HY!W370</f>
        <v>-2.5003277483750517</v>
      </c>
      <c r="T102" s="7">
        <f>HY!X370</f>
        <v>0.99997858691904462</v>
      </c>
      <c r="U102" s="7">
        <f>HY!Y370</f>
        <v>0.72596044806564919</v>
      </c>
      <c r="V102" s="7">
        <f>HY!Z370</f>
        <v>2.697659359372655</v>
      </c>
      <c r="W102" s="7">
        <f>HY!AA370</f>
        <v>2.684975717757264</v>
      </c>
      <c r="X102" s="7">
        <f>HY!AB370</f>
        <v>3.4414053481428155</v>
      </c>
      <c r="Y102" s="7">
        <f>HY!AC370</f>
        <v>3.7427626249768231</v>
      </c>
      <c r="Z102" s="7">
        <f>HY!AD370</f>
        <v>3.8752585821708951</v>
      </c>
      <c r="AF102" s="7">
        <f t="shared" si="19"/>
        <v>20.6</v>
      </c>
      <c r="AG102" s="7">
        <f t="shared" si="19"/>
        <v>-4.4000000000000004</v>
      </c>
      <c r="AH102" s="7">
        <f t="shared" si="19"/>
        <v>1.1000000000000001</v>
      </c>
      <c r="AI102" s="7">
        <f t="shared" si="19"/>
        <v>1.1000000000000001</v>
      </c>
      <c r="AJ102" s="7">
        <f t="shared" si="19"/>
        <v>3.9</v>
      </c>
      <c r="AK102" s="7">
        <f t="shared" si="19"/>
        <v>1.8</v>
      </c>
      <c r="AL102" s="7">
        <f t="shared" si="19"/>
        <v>-1.5003491614560072</v>
      </c>
      <c r="AM102" s="7">
        <f t="shared" si="19"/>
        <v>3.4236198074383042</v>
      </c>
      <c r="AN102" s="7">
        <f t="shared" si="19"/>
        <v>6.1263810659000795</v>
      </c>
      <c r="AO102" s="7">
        <f t="shared" si="19"/>
        <v>7.6180212071477182</v>
      </c>
    </row>
    <row r="103" spans="1:41">
      <c r="B103" s="111" t="str">
        <f t="shared" si="18"/>
        <v>P&amp;L - REPORTEDDPS</v>
      </c>
      <c r="C103" s="49" t="s">
        <v>583</v>
      </c>
      <c r="D103" s="36" t="s">
        <v>257</v>
      </c>
      <c r="G103" s="7">
        <f>HY!K493</f>
        <v>0</v>
      </c>
      <c r="H103" s="7">
        <f>HY!L493</f>
        <v>7</v>
      </c>
      <c r="I103" s="7">
        <f>HY!M493</f>
        <v>0</v>
      </c>
      <c r="J103" s="7">
        <f>HY!N493</f>
        <v>0</v>
      </c>
      <c r="K103" s="7">
        <f>HY!O493</f>
        <v>6</v>
      </c>
      <c r="L103" s="7">
        <f>HY!P493</f>
        <v>6</v>
      </c>
      <c r="M103" s="7">
        <f>HY!Q493</f>
        <v>5.25</v>
      </c>
      <c r="N103" s="7">
        <f>HY!R493</f>
        <v>0</v>
      </c>
      <c r="O103" s="7">
        <f>HY!S493</f>
        <v>0</v>
      </c>
      <c r="P103" s="7">
        <f>HY!T493</f>
        <v>0</v>
      </c>
      <c r="Q103" s="7">
        <f>HY!U493</f>
        <v>0</v>
      </c>
      <c r="R103" s="7">
        <f>HY!V493</f>
        <v>0</v>
      </c>
      <c r="S103" s="7">
        <f>HY!W493</f>
        <v>0</v>
      </c>
      <c r="T103" s="7">
        <f>HY!X493</f>
        <v>0</v>
      </c>
      <c r="U103" s="7">
        <f>HY!Y493</f>
        <v>0</v>
      </c>
      <c r="V103" s="7">
        <f>HY!Z493</f>
        <v>0</v>
      </c>
      <c r="W103" s="7">
        <f>HY!AA493</f>
        <v>0</v>
      </c>
      <c r="X103" s="7">
        <f>HY!AB493</f>
        <v>0</v>
      </c>
      <c r="Y103" s="7">
        <f>HY!AC493</f>
        <v>0</v>
      </c>
      <c r="Z103" s="7">
        <f>HY!AD493</f>
        <v>0</v>
      </c>
      <c r="AF103" s="7">
        <f t="shared" si="19"/>
        <v>7</v>
      </c>
      <c r="AG103" s="7">
        <f t="shared" si="19"/>
        <v>0</v>
      </c>
      <c r="AH103" s="7">
        <f t="shared" si="19"/>
        <v>12</v>
      </c>
      <c r="AI103" s="7">
        <f t="shared" si="19"/>
        <v>5.25</v>
      </c>
      <c r="AJ103" s="7">
        <f t="shared" si="19"/>
        <v>0</v>
      </c>
      <c r="AK103" s="7">
        <f t="shared" si="19"/>
        <v>0</v>
      </c>
      <c r="AL103" s="7">
        <f t="shared" si="19"/>
        <v>0</v>
      </c>
      <c r="AM103" s="7">
        <f t="shared" si="19"/>
        <v>0</v>
      </c>
      <c r="AN103" s="7">
        <f t="shared" si="19"/>
        <v>0</v>
      </c>
      <c r="AO103" s="7">
        <f t="shared" si="19"/>
        <v>0</v>
      </c>
    </row>
    <row r="105" spans="1:41">
      <c r="C105" s="208" t="s">
        <v>331</v>
      </c>
    </row>
    <row r="106" spans="1:41">
      <c r="B106" s="111" t="str">
        <f>$C$105&amp;C106</f>
        <v>VALUATIONDiscount Rate</v>
      </c>
      <c r="C106" s="49" t="s">
        <v>344</v>
      </c>
      <c r="D106" s="36" t="s">
        <v>88</v>
      </c>
      <c r="F106" s="29">
        <f>HY!D640</f>
        <v>0.13100000000000001</v>
      </c>
      <c r="AE106" s="29">
        <f>F106</f>
        <v>0.13100000000000001</v>
      </c>
    </row>
    <row r="107" spans="1:41">
      <c r="B107" s="111" t="str">
        <f>$C$105&amp;C107</f>
        <v>VALUATIONTerminal EV/EBITDA</v>
      </c>
      <c r="C107" s="49" t="s">
        <v>1428</v>
      </c>
      <c r="D107" s="36" t="s">
        <v>185</v>
      </c>
      <c r="F107" s="204">
        <f>HY!D650</f>
        <v>10</v>
      </c>
      <c r="AE107" s="204">
        <f>F107</f>
        <v>10</v>
      </c>
    </row>
    <row r="108" spans="1:41">
      <c r="B108" s="111" t="str">
        <f>$C$105&amp;C108</f>
        <v>VALUATIONValuation</v>
      </c>
      <c r="C108" s="49" t="s">
        <v>8</v>
      </c>
      <c r="D108" s="36" t="s">
        <v>1429</v>
      </c>
      <c r="F108" s="2">
        <f ca="1">HY!D654</f>
        <v>0.65016617148967304</v>
      </c>
      <c r="AE108" s="2">
        <f ca="1">F108</f>
        <v>0.65016617148967304</v>
      </c>
    </row>
    <row r="109" spans="1:41">
      <c r="B109" s="111" t="str">
        <f>$C$105&amp;C109</f>
        <v>VALUATIONDate</v>
      </c>
      <c r="C109" s="49" t="s">
        <v>333</v>
      </c>
      <c r="D109" s="36" t="s">
        <v>82</v>
      </c>
      <c r="F109" s="276">
        <f ca="1">TODAY()</f>
        <v>46280</v>
      </c>
      <c r="AE109" s="276">
        <f ca="1">F109</f>
        <v>46280</v>
      </c>
    </row>
    <row r="111" spans="1:41" s="277" customFormat="1">
      <c r="A111" s="277" t="s">
        <v>7</v>
      </c>
      <c r="C111" s="278" t="s">
        <v>584</v>
      </c>
    </row>
    <row r="113" spans="2:41" s="280" customFormat="1">
      <c r="C113" s="279" t="s">
        <v>33</v>
      </c>
    </row>
    <row r="114" spans="2:41" s="280" customFormat="1">
      <c r="B114" s="316" t="s">
        <v>1430</v>
      </c>
      <c r="C114" s="281" t="s">
        <v>71</v>
      </c>
      <c r="D114" s="317" t="s">
        <v>72</v>
      </c>
      <c r="F114" s="212"/>
      <c r="G114" s="212">
        <v>105.096</v>
      </c>
      <c r="H114" s="212">
        <v>138.50747999999999</v>
      </c>
      <c r="I114" s="212">
        <v>52.2</v>
      </c>
      <c r="J114" s="212">
        <v>109.185</v>
      </c>
      <c r="K114" s="212">
        <v>135.80699999999999</v>
      </c>
      <c r="L114" s="212">
        <v>129.804</v>
      </c>
      <c r="M114" s="212">
        <v>127.9</v>
      </c>
      <c r="N114" s="212">
        <v>119.973</v>
      </c>
      <c r="O114" s="212">
        <v>118.3</v>
      </c>
      <c r="P114" s="212">
        <v>117.9577</v>
      </c>
      <c r="Q114" s="212">
        <v>125.398</v>
      </c>
      <c r="R114" s="212">
        <v>125.035162</v>
      </c>
      <c r="S114" s="212">
        <v>135.42984000000001</v>
      </c>
      <c r="T114" s="212">
        <v>135.03797496000001</v>
      </c>
      <c r="U114" s="212">
        <v>142.87848120000001</v>
      </c>
      <c r="V114" s="212">
        <v>143.25216338160001</v>
      </c>
      <c r="W114" s="212">
        <v>150.736797666</v>
      </c>
      <c r="X114" s="212">
        <v>150.30064207985399</v>
      </c>
      <c r="Y114" s="212">
        <v>155.25890159598001</v>
      </c>
      <c r="Z114" s="212">
        <v>154.8096613422496</v>
      </c>
      <c r="AE114" s="212"/>
      <c r="AF114" s="212">
        <v>243.60347999999999</v>
      </c>
      <c r="AG114" s="212">
        <v>161.38499999999999</v>
      </c>
      <c r="AH114" s="212">
        <v>265.61099999999999</v>
      </c>
      <c r="AI114" s="212">
        <v>247.87299999999999</v>
      </c>
      <c r="AJ114" s="212">
        <v>236.2577</v>
      </c>
      <c r="AK114" s="212">
        <v>250.43316200000001</v>
      </c>
      <c r="AL114" s="212">
        <v>270.46781496000011</v>
      </c>
      <c r="AM114" s="212">
        <v>286.1306445816</v>
      </c>
      <c r="AN114" s="212">
        <v>301.03743974585399</v>
      </c>
      <c r="AO114" s="212">
        <v>310.0685629382296</v>
      </c>
    </row>
    <row r="115" spans="2:41" s="280" customFormat="1">
      <c r="B115" s="316" t="s">
        <v>1431</v>
      </c>
      <c r="C115" s="281" t="s">
        <v>73</v>
      </c>
      <c r="D115" s="317" t="s">
        <v>72</v>
      </c>
      <c r="F115" s="154"/>
      <c r="G115" s="212">
        <v>54.896999999999998</v>
      </c>
      <c r="H115" s="212">
        <v>68.036609999999996</v>
      </c>
      <c r="I115" s="212">
        <v>20.445</v>
      </c>
      <c r="J115" s="212">
        <v>44.805</v>
      </c>
      <c r="K115" s="212">
        <v>57.594000000000001</v>
      </c>
      <c r="L115" s="212">
        <v>63.85799999999999</v>
      </c>
      <c r="M115" s="212">
        <v>66.400000000000006</v>
      </c>
      <c r="N115" s="212">
        <v>61.160999999999987</v>
      </c>
      <c r="O115" s="212">
        <v>57.1</v>
      </c>
      <c r="P115" s="212">
        <v>56.444850000000002</v>
      </c>
      <c r="Q115" s="212">
        <v>57.670999999999999</v>
      </c>
      <c r="R115" s="212">
        <v>57.0092985</v>
      </c>
      <c r="S115" s="212">
        <v>58.247709999999991</v>
      </c>
      <c r="T115" s="212">
        <v>57.579391485000002</v>
      </c>
      <c r="U115" s="212">
        <v>58.830187100000003</v>
      </c>
      <c r="V115" s="212">
        <v>58.476484766699997</v>
      </c>
      <c r="W115" s="212">
        <v>59.418488971000002</v>
      </c>
      <c r="X115" s="212">
        <v>58.73673725384851</v>
      </c>
      <c r="Y115" s="212">
        <v>60.012673860710002</v>
      </c>
      <c r="Z115" s="212">
        <v>59.32410462638699</v>
      </c>
      <c r="AE115" s="154"/>
      <c r="AF115" s="212">
        <v>122.93361</v>
      </c>
      <c r="AG115" s="212">
        <v>65.25</v>
      </c>
      <c r="AH115" s="212">
        <v>121.452</v>
      </c>
      <c r="AI115" s="212">
        <v>127.56100000000001</v>
      </c>
      <c r="AJ115" s="212">
        <v>113.54485</v>
      </c>
      <c r="AK115" s="212">
        <v>114.68029850000001</v>
      </c>
      <c r="AL115" s="212">
        <v>115.827101485</v>
      </c>
      <c r="AM115" s="212">
        <v>117.3066718667</v>
      </c>
      <c r="AN115" s="212">
        <v>118.15522622484851</v>
      </c>
      <c r="AO115" s="212">
        <v>119.33677848709701</v>
      </c>
    </row>
    <row r="116" spans="2:41" s="280" customFormat="1">
      <c r="B116" s="316" t="s">
        <v>1432</v>
      </c>
      <c r="C116" s="281" t="s">
        <v>75</v>
      </c>
      <c r="D116" s="317" t="s">
        <v>72</v>
      </c>
      <c r="F116" s="212"/>
      <c r="G116" s="212">
        <v>46.9</v>
      </c>
      <c r="H116" s="212">
        <v>44.000000000000007</v>
      </c>
      <c r="I116" s="212">
        <v>35</v>
      </c>
      <c r="J116" s="212">
        <v>35.099999999999987</v>
      </c>
      <c r="K116" s="212">
        <v>58.6</v>
      </c>
      <c r="L116" s="212">
        <v>65.300000000000011</v>
      </c>
      <c r="M116" s="212">
        <v>73.7</v>
      </c>
      <c r="N116" s="212">
        <v>78.100000000000009</v>
      </c>
      <c r="O116" s="212">
        <v>77</v>
      </c>
      <c r="P116" s="212">
        <v>81</v>
      </c>
      <c r="Q116" s="212">
        <v>85</v>
      </c>
      <c r="R116" s="212">
        <v>99.37</v>
      </c>
      <c r="S116" s="212">
        <v>103.6</v>
      </c>
      <c r="T116" s="212">
        <v>104.32769999999999</v>
      </c>
      <c r="U116" s="212">
        <v>108.801</v>
      </c>
      <c r="V116" s="212">
        <v>109.539637</v>
      </c>
      <c r="W116" s="212">
        <v>113.15304</v>
      </c>
      <c r="X116" s="212">
        <v>113.92122248</v>
      </c>
      <c r="Y116" s="212">
        <v>117.6791616</v>
      </c>
      <c r="Z116" s="212">
        <v>118.4780713792</v>
      </c>
      <c r="AE116" s="212"/>
      <c r="AF116" s="212">
        <v>90.9</v>
      </c>
      <c r="AG116" s="212">
        <v>70.099999999999994</v>
      </c>
      <c r="AH116" s="212">
        <v>123.9</v>
      </c>
      <c r="AI116" s="212">
        <v>151.80000000000001</v>
      </c>
      <c r="AJ116" s="212">
        <v>158</v>
      </c>
      <c r="AK116" s="212">
        <v>184.37</v>
      </c>
      <c r="AL116" s="212">
        <v>207.92769999999999</v>
      </c>
      <c r="AM116" s="212">
        <v>218.34063699999999</v>
      </c>
      <c r="AN116" s="212">
        <v>227.07426247999999</v>
      </c>
      <c r="AO116" s="212">
        <v>236.15723297919999</v>
      </c>
    </row>
    <row r="117" spans="2:41" s="280" customFormat="1">
      <c r="B117" s="316" t="s">
        <v>1433</v>
      </c>
      <c r="C117" s="281" t="s">
        <v>1410</v>
      </c>
      <c r="D117" s="317" t="s">
        <v>72</v>
      </c>
      <c r="F117" s="212"/>
      <c r="G117" s="212">
        <v>206.893</v>
      </c>
      <c r="H117" s="212">
        <v>250.54409000000001</v>
      </c>
      <c r="I117" s="212">
        <v>107.645</v>
      </c>
      <c r="J117" s="212">
        <v>189.09</v>
      </c>
      <c r="K117" s="212">
        <v>260.08100000000002</v>
      </c>
      <c r="L117" s="212">
        <v>263.04199999999997</v>
      </c>
      <c r="M117" s="212">
        <v>280.60000000000002</v>
      </c>
      <c r="N117" s="212">
        <v>266.67399999999998</v>
      </c>
      <c r="O117" s="212">
        <v>258.3</v>
      </c>
      <c r="P117" s="212">
        <v>261.90255000000002</v>
      </c>
      <c r="Q117" s="212">
        <v>274.56900000000002</v>
      </c>
      <c r="R117" s="212">
        <v>288.17446050000001</v>
      </c>
      <c r="S117" s="212">
        <v>304.03755000000001</v>
      </c>
      <c r="T117" s="212">
        <v>303.97546644500011</v>
      </c>
      <c r="U117" s="212">
        <v>317.54006829999997</v>
      </c>
      <c r="V117" s="212">
        <v>318.5799011483</v>
      </c>
      <c r="W117" s="212">
        <v>330.61994263700001</v>
      </c>
      <c r="X117" s="212">
        <v>330.56268245370262</v>
      </c>
      <c r="Y117" s="212">
        <v>340.55481769669001</v>
      </c>
      <c r="Z117" s="212">
        <v>340.5200812134367</v>
      </c>
      <c r="AE117" s="212"/>
      <c r="AF117" s="212">
        <v>457.43709000000001</v>
      </c>
      <c r="AG117" s="212">
        <v>296.73500000000001</v>
      </c>
      <c r="AH117" s="212">
        <v>523.12300000000005</v>
      </c>
      <c r="AI117" s="212">
        <v>547.274</v>
      </c>
      <c r="AJ117" s="212">
        <v>520.20254999999997</v>
      </c>
      <c r="AK117" s="212">
        <v>562.74346049999997</v>
      </c>
      <c r="AL117" s="212">
        <v>608.01301644500006</v>
      </c>
      <c r="AM117" s="212">
        <v>636.11996944830003</v>
      </c>
      <c r="AN117" s="212">
        <v>661.18262509070257</v>
      </c>
      <c r="AO117" s="212">
        <v>681.07489891012665</v>
      </c>
    </row>
    <row r="118" spans="2:41" s="280" customFormat="1">
      <c r="B118" s="316" t="s">
        <v>1434</v>
      </c>
      <c r="C118" s="281" t="s">
        <v>1411</v>
      </c>
      <c r="D118" s="317" t="s">
        <v>72</v>
      </c>
      <c r="F118" s="212"/>
      <c r="G118" s="212" t="e">
        <v>#REF!</v>
      </c>
      <c r="H118" s="212" t="e">
        <v>#REF!</v>
      </c>
      <c r="I118" s="212" t="e">
        <v>#REF!</v>
      </c>
      <c r="J118" s="212" t="e">
        <v>#REF!</v>
      </c>
      <c r="K118" s="212" t="e">
        <v>#REF!</v>
      </c>
      <c r="L118" s="212" t="e">
        <v>#REF!</v>
      </c>
      <c r="M118" s="212" t="e">
        <v>#REF!</v>
      </c>
      <c r="N118" s="212" t="e">
        <v>#REF!</v>
      </c>
      <c r="O118" s="212" t="e">
        <v>#REF!</v>
      </c>
      <c r="P118" s="212" t="e">
        <v>#REF!</v>
      </c>
      <c r="Q118" s="212" t="e">
        <v>#REF!</v>
      </c>
      <c r="R118" s="212" t="e">
        <v>#REF!</v>
      </c>
      <c r="S118" s="212" t="e">
        <v>#REF!</v>
      </c>
      <c r="T118" s="212" t="e">
        <v>#REF!</v>
      </c>
      <c r="U118" s="212" t="e">
        <v>#REF!</v>
      </c>
      <c r="V118" s="212" t="e">
        <v>#REF!</v>
      </c>
      <c r="W118" s="212" t="e">
        <v>#REF!</v>
      </c>
      <c r="X118" s="212" t="e">
        <v>#REF!</v>
      </c>
      <c r="Y118" s="212" t="e">
        <v>#REF!</v>
      </c>
      <c r="Z118" s="212" t="e">
        <v>#REF!</v>
      </c>
      <c r="AE118" s="212"/>
      <c r="AF118" s="212" t="e">
        <v>#REF!</v>
      </c>
      <c r="AG118" s="212" t="e">
        <v>#REF!</v>
      </c>
      <c r="AH118" s="212" t="e">
        <v>#REF!</v>
      </c>
      <c r="AI118" s="212" t="e">
        <v>#REF!</v>
      </c>
      <c r="AJ118" s="212" t="e">
        <v>#REF!</v>
      </c>
      <c r="AK118" s="212" t="e">
        <v>#REF!</v>
      </c>
      <c r="AL118" s="212" t="e">
        <v>#REF!</v>
      </c>
      <c r="AM118" s="212" t="e">
        <v>#REF!</v>
      </c>
      <c r="AN118" s="212" t="e">
        <v>#REF!</v>
      </c>
      <c r="AO118" s="212" t="e">
        <v>#REF!</v>
      </c>
    </row>
    <row r="119" spans="2:41" s="280" customFormat="1">
      <c r="B119" s="316" t="s">
        <v>1435</v>
      </c>
      <c r="C119" s="281" t="s">
        <v>1412</v>
      </c>
      <c r="D119" s="317" t="s">
        <v>72</v>
      </c>
      <c r="F119" s="212"/>
      <c r="G119" s="212" t="e">
        <v>#REF!</v>
      </c>
      <c r="H119" s="212" t="e">
        <v>#REF!</v>
      </c>
      <c r="I119" s="212" t="e">
        <v>#REF!</v>
      </c>
      <c r="J119" s="212" t="e">
        <v>#REF!</v>
      </c>
      <c r="K119" s="212" t="e">
        <v>#REF!</v>
      </c>
      <c r="L119" s="212" t="e">
        <v>#REF!</v>
      </c>
      <c r="M119" s="212" t="e">
        <v>#REF!</v>
      </c>
      <c r="N119" s="212" t="e">
        <v>#REF!</v>
      </c>
      <c r="O119" s="212" t="e">
        <v>#REF!</v>
      </c>
      <c r="P119" s="212" t="e">
        <v>#REF!</v>
      </c>
      <c r="Q119" s="212" t="e">
        <v>#REF!</v>
      </c>
      <c r="R119" s="212" t="e">
        <v>#REF!</v>
      </c>
      <c r="S119" s="212" t="e">
        <v>#REF!</v>
      </c>
      <c r="T119" s="212" t="e">
        <v>#REF!</v>
      </c>
      <c r="U119" s="212" t="e">
        <v>#REF!</v>
      </c>
      <c r="V119" s="212" t="e">
        <v>#REF!</v>
      </c>
      <c r="W119" s="212" t="e">
        <v>#REF!</v>
      </c>
      <c r="X119" s="212" t="e">
        <v>#REF!</v>
      </c>
      <c r="Y119" s="212" t="e">
        <v>#REF!</v>
      </c>
      <c r="Z119" s="212" t="e">
        <v>#REF!</v>
      </c>
      <c r="AE119" s="212"/>
      <c r="AF119" s="212" t="e">
        <v>#REF!</v>
      </c>
      <c r="AG119" s="212" t="e">
        <v>#REF!</v>
      </c>
      <c r="AH119" s="212" t="e">
        <v>#REF!</v>
      </c>
      <c r="AI119" s="212" t="e">
        <v>#REF!</v>
      </c>
      <c r="AJ119" s="212" t="e">
        <v>#REF!</v>
      </c>
      <c r="AK119" s="212" t="e">
        <v>#REF!</v>
      </c>
      <c r="AL119" s="212" t="e">
        <v>#REF!</v>
      </c>
      <c r="AM119" s="212" t="e">
        <v>#REF!</v>
      </c>
      <c r="AN119" s="212" t="e">
        <v>#REF!</v>
      </c>
      <c r="AO119" s="212" t="e">
        <v>#REF!</v>
      </c>
    </row>
    <row r="120" spans="2:41" s="280" customFormat="1">
      <c r="B120" s="316"/>
      <c r="C120" s="281"/>
      <c r="D120" s="317"/>
      <c r="F120" s="212"/>
      <c r="G120" s="212"/>
      <c r="H120" s="212"/>
      <c r="I120" s="212"/>
      <c r="J120" s="212"/>
      <c r="K120" s="212"/>
      <c r="L120" s="212"/>
      <c r="M120" s="212"/>
      <c r="N120" s="212"/>
      <c r="O120" s="212"/>
      <c r="P120" s="212"/>
      <c r="Q120" s="212"/>
      <c r="R120" s="212"/>
      <c r="S120" s="212"/>
      <c r="T120" s="212"/>
      <c r="U120" s="212"/>
      <c r="V120" s="212"/>
      <c r="W120" s="212"/>
      <c r="X120" s="212"/>
      <c r="Y120" s="212"/>
      <c r="Z120" s="212"/>
      <c r="AE120" s="212"/>
      <c r="AF120" s="212"/>
      <c r="AG120" s="212"/>
      <c r="AH120" s="212"/>
      <c r="AI120" s="212"/>
      <c r="AJ120" s="212"/>
      <c r="AK120" s="212"/>
      <c r="AL120" s="212"/>
      <c r="AM120" s="212"/>
      <c r="AN120" s="212"/>
      <c r="AO120" s="212"/>
    </row>
    <row r="121" spans="2:41" s="280" customFormat="1">
      <c r="C121" s="279" t="s">
        <v>1363</v>
      </c>
    </row>
    <row r="122" spans="2:41" s="280" customFormat="1">
      <c r="B122" s="316" t="s">
        <v>1436</v>
      </c>
      <c r="C122" s="281" t="s">
        <v>71</v>
      </c>
      <c r="D122" s="317" t="s">
        <v>72</v>
      </c>
      <c r="F122" s="212"/>
      <c r="G122" s="212" t="e">
        <v>#REF!</v>
      </c>
      <c r="H122" s="212" t="e">
        <v>#REF!</v>
      </c>
      <c r="I122" s="212" t="e">
        <v>#REF!</v>
      </c>
      <c r="J122" s="212" t="e">
        <v>#REF!</v>
      </c>
      <c r="K122" s="212" t="e">
        <v>#REF!</v>
      </c>
      <c r="L122" s="212" t="e">
        <v>#REF!</v>
      </c>
      <c r="M122" s="212" t="e">
        <v>#REF!</v>
      </c>
      <c r="N122" s="212" t="e">
        <v>#REF!</v>
      </c>
      <c r="O122" s="212" t="e">
        <v>#REF!</v>
      </c>
      <c r="P122" s="212" t="e">
        <v>#REF!</v>
      </c>
      <c r="Q122" s="212" t="e">
        <v>#REF!</v>
      </c>
      <c r="R122" s="212" t="e">
        <v>#REF!</v>
      </c>
      <c r="S122" s="212" t="e">
        <v>#REF!</v>
      </c>
      <c r="T122" s="212" t="e">
        <v>#REF!</v>
      </c>
      <c r="U122" s="212" t="e">
        <v>#REF!</v>
      </c>
      <c r="V122" s="212" t="e">
        <v>#REF!</v>
      </c>
      <c r="W122" s="212" t="e">
        <v>#REF!</v>
      </c>
      <c r="X122" s="212" t="e">
        <v>#REF!</v>
      </c>
      <c r="Y122" s="212" t="e">
        <v>#REF!</v>
      </c>
      <c r="Z122" s="212" t="e">
        <v>#REF!</v>
      </c>
      <c r="AE122" s="212"/>
      <c r="AF122" s="212" t="e">
        <v>#REF!</v>
      </c>
      <c r="AG122" s="212" t="e">
        <v>#REF!</v>
      </c>
      <c r="AH122" s="212" t="e">
        <v>#REF!</v>
      </c>
      <c r="AI122" s="212" t="e">
        <v>#REF!</v>
      </c>
      <c r="AJ122" s="212" t="e">
        <v>#REF!</v>
      </c>
      <c r="AK122" s="212" t="e">
        <v>#REF!</v>
      </c>
      <c r="AL122" s="212" t="e">
        <v>#REF!</v>
      </c>
      <c r="AM122" s="212" t="e">
        <v>#REF!</v>
      </c>
      <c r="AN122" s="212" t="e">
        <v>#REF!</v>
      </c>
      <c r="AO122" s="212" t="e">
        <v>#REF!</v>
      </c>
    </row>
    <row r="123" spans="2:41" s="280" customFormat="1">
      <c r="B123" s="316" t="s">
        <v>1437</v>
      </c>
      <c r="C123" s="281" t="s">
        <v>73</v>
      </c>
      <c r="D123" s="317" t="s">
        <v>72</v>
      </c>
      <c r="F123" s="212"/>
      <c r="G123" s="212" t="e">
        <v>#REF!</v>
      </c>
      <c r="H123" s="212" t="e">
        <v>#REF!</v>
      </c>
      <c r="I123" s="212" t="e">
        <v>#REF!</v>
      </c>
      <c r="J123" s="212" t="e">
        <v>#REF!</v>
      </c>
      <c r="K123" s="212" t="e">
        <v>#REF!</v>
      </c>
      <c r="L123" s="212" t="e">
        <v>#REF!</v>
      </c>
      <c r="M123" s="212" t="e">
        <v>#REF!</v>
      </c>
      <c r="N123" s="212" t="e">
        <v>#REF!</v>
      </c>
      <c r="O123" s="212" t="e">
        <v>#REF!</v>
      </c>
      <c r="P123" s="212" t="e">
        <v>#REF!</v>
      </c>
      <c r="Q123" s="212" t="e">
        <v>#REF!</v>
      </c>
      <c r="R123" s="212" t="e">
        <v>#REF!</v>
      </c>
      <c r="S123" s="212" t="e">
        <v>#REF!</v>
      </c>
      <c r="T123" s="212" t="e">
        <v>#REF!</v>
      </c>
      <c r="U123" s="212" t="e">
        <v>#REF!</v>
      </c>
      <c r="V123" s="212" t="e">
        <v>#REF!</v>
      </c>
      <c r="W123" s="212" t="e">
        <v>#REF!</v>
      </c>
      <c r="X123" s="212" t="e">
        <v>#REF!</v>
      </c>
      <c r="Y123" s="212" t="e">
        <v>#REF!</v>
      </c>
      <c r="Z123" s="212" t="e">
        <v>#REF!</v>
      </c>
      <c r="AE123" s="212"/>
      <c r="AF123" s="212" t="e">
        <v>#REF!</v>
      </c>
      <c r="AG123" s="212" t="e">
        <v>#REF!</v>
      </c>
      <c r="AH123" s="212" t="e">
        <v>#REF!</v>
      </c>
      <c r="AI123" s="212" t="e">
        <v>#REF!</v>
      </c>
      <c r="AJ123" s="212" t="e">
        <v>#REF!</v>
      </c>
      <c r="AK123" s="212" t="e">
        <v>#REF!</v>
      </c>
      <c r="AL123" s="212" t="e">
        <v>#REF!</v>
      </c>
      <c r="AM123" s="212" t="e">
        <v>#REF!</v>
      </c>
      <c r="AN123" s="212" t="e">
        <v>#REF!</v>
      </c>
      <c r="AO123" s="212" t="e">
        <v>#REF!</v>
      </c>
    </row>
    <row r="124" spans="2:41" s="280" customFormat="1">
      <c r="B124" s="316" t="s">
        <v>1438</v>
      </c>
      <c r="C124" s="281" t="s">
        <v>75</v>
      </c>
      <c r="D124" s="317" t="s">
        <v>72</v>
      </c>
      <c r="F124" s="212"/>
      <c r="G124" s="212" t="e">
        <v>#REF!</v>
      </c>
      <c r="H124" s="212" t="e">
        <v>#REF!</v>
      </c>
      <c r="I124" s="212" t="e">
        <v>#REF!</v>
      </c>
      <c r="J124" s="212" t="e">
        <v>#REF!</v>
      </c>
      <c r="K124" s="212" t="e">
        <v>#REF!</v>
      </c>
      <c r="L124" s="212" t="e">
        <v>#REF!</v>
      </c>
      <c r="M124" s="212" t="e">
        <v>#REF!</v>
      </c>
      <c r="N124" s="212" t="e">
        <v>#REF!</v>
      </c>
      <c r="O124" s="212" t="e">
        <v>#REF!</v>
      </c>
      <c r="P124" s="212" t="e">
        <v>#REF!</v>
      </c>
      <c r="Q124" s="212" t="e">
        <v>#REF!</v>
      </c>
      <c r="R124" s="212" t="e">
        <v>#REF!</v>
      </c>
      <c r="S124" s="212" t="e">
        <v>#REF!</v>
      </c>
      <c r="T124" s="212" t="e">
        <v>#REF!</v>
      </c>
      <c r="U124" s="212" t="e">
        <v>#REF!</v>
      </c>
      <c r="V124" s="212" t="e">
        <v>#REF!</v>
      </c>
      <c r="W124" s="212" t="e">
        <v>#REF!</v>
      </c>
      <c r="X124" s="212" t="e">
        <v>#REF!</v>
      </c>
      <c r="Y124" s="212" t="e">
        <v>#REF!</v>
      </c>
      <c r="Z124" s="212" t="e">
        <v>#REF!</v>
      </c>
      <c r="AE124" s="212"/>
      <c r="AF124" s="212" t="e">
        <v>#REF!</v>
      </c>
      <c r="AG124" s="212" t="e">
        <v>#REF!</v>
      </c>
      <c r="AH124" s="212" t="e">
        <v>#REF!</v>
      </c>
      <c r="AI124" s="212" t="e">
        <v>#REF!</v>
      </c>
      <c r="AJ124" s="212" t="e">
        <v>#REF!</v>
      </c>
      <c r="AK124" s="212" t="e">
        <v>#REF!</v>
      </c>
      <c r="AL124" s="212" t="e">
        <v>#REF!</v>
      </c>
      <c r="AM124" s="212" t="e">
        <v>#REF!</v>
      </c>
      <c r="AN124" s="212" t="e">
        <v>#REF!</v>
      </c>
      <c r="AO124" s="212" t="e">
        <v>#REF!</v>
      </c>
    </row>
    <row r="125" spans="2:41" s="280" customFormat="1">
      <c r="B125" s="316" t="s">
        <v>1439</v>
      </c>
      <c r="C125" s="281" t="s">
        <v>1410</v>
      </c>
      <c r="D125" s="317" t="s">
        <v>72</v>
      </c>
      <c r="F125" s="212"/>
      <c r="G125" s="212" t="e">
        <v>#REF!</v>
      </c>
      <c r="H125" s="212" t="e">
        <v>#REF!</v>
      </c>
      <c r="I125" s="212" t="e">
        <v>#REF!</v>
      </c>
      <c r="J125" s="212" t="e">
        <v>#REF!</v>
      </c>
      <c r="K125" s="212" t="e">
        <v>#REF!</v>
      </c>
      <c r="L125" s="212" t="e">
        <v>#REF!</v>
      </c>
      <c r="M125" s="212" t="e">
        <v>#REF!</v>
      </c>
      <c r="N125" s="212" t="e">
        <v>#REF!</v>
      </c>
      <c r="O125" s="212" t="e">
        <v>#REF!</v>
      </c>
      <c r="P125" s="212" t="e">
        <v>#REF!</v>
      </c>
      <c r="Q125" s="212" t="e">
        <v>#REF!</v>
      </c>
      <c r="R125" s="212" t="e">
        <v>#REF!</v>
      </c>
      <c r="S125" s="212" t="e">
        <v>#REF!</v>
      </c>
      <c r="T125" s="212" t="e">
        <v>#REF!</v>
      </c>
      <c r="U125" s="212" t="e">
        <v>#REF!</v>
      </c>
      <c r="V125" s="212" t="e">
        <v>#REF!</v>
      </c>
      <c r="W125" s="212" t="e">
        <v>#REF!</v>
      </c>
      <c r="X125" s="212" t="e">
        <v>#REF!</v>
      </c>
      <c r="Y125" s="212" t="e">
        <v>#REF!</v>
      </c>
      <c r="Z125" s="212" t="e">
        <v>#REF!</v>
      </c>
      <c r="AE125" s="212"/>
      <c r="AF125" s="212" t="e">
        <v>#REF!</v>
      </c>
      <c r="AG125" s="212" t="e">
        <v>#REF!</v>
      </c>
      <c r="AH125" s="212" t="e">
        <v>#REF!</v>
      </c>
      <c r="AI125" s="212" t="e">
        <v>#REF!</v>
      </c>
      <c r="AJ125" s="212" t="e">
        <v>#REF!</v>
      </c>
      <c r="AK125" s="212" t="e">
        <v>#REF!</v>
      </c>
      <c r="AL125" s="212" t="e">
        <v>#REF!</v>
      </c>
      <c r="AM125" s="212" t="e">
        <v>#REF!</v>
      </c>
      <c r="AN125" s="212" t="e">
        <v>#REF!</v>
      </c>
      <c r="AO125" s="212" t="e">
        <v>#REF!</v>
      </c>
    </row>
    <row r="126" spans="2:41" s="280" customFormat="1">
      <c r="B126" s="316" t="s">
        <v>1440</v>
      </c>
      <c r="C126" s="281" t="s">
        <v>1411</v>
      </c>
      <c r="D126" s="317" t="s">
        <v>72</v>
      </c>
      <c r="F126" s="212"/>
      <c r="G126" s="212" t="e">
        <v>#REF!</v>
      </c>
      <c r="H126" s="212" t="e">
        <v>#REF!</v>
      </c>
      <c r="I126" s="212" t="e">
        <v>#REF!</v>
      </c>
      <c r="J126" s="212" t="e">
        <v>#REF!</v>
      </c>
      <c r="K126" s="212" t="e">
        <v>#REF!</v>
      </c>
      <c r="L126" s="212" t="e">
        <v>#REF!</v>
      </c>
      <c r="M126" s="212" t="e">
        <v>#REF!</v>
      </c>
      <c r="N126" s="212" t="e">
        <v>#REF!</v>
      </c>
      <c r="O126" s="212" t="e">
        <v>#REF!</v>
      </c>
      <c r="P126" s="212" t="e">
        <v>#REF!</v>
      </c>
      <c r="Q126" s="212" t="e">
        <v>#REF!</v>
      </c>
      <c r="R126" s="212" t="e">
        <v>#REF!</v>
      </c>
      <c r="S126" s="212" t="e">
        <v>#REF!</v>
      </c>
      <c r="T126" s="212" t="e">
        <v>#REF!</v>
      </c>
      <c r="U126" s="212" t="e">
        <v>#REF!</v>
      </c>
      <c r="V126" s="212" t="e">
        <v>#REF!</v>
      </c>
      <c r="W126" s="212" t="e">
        <v>#REF!</v>
      </c>
      <c r="X126" s="212" t="e">
        <v>#REF!</v>
      </c>
      <c r="Y126" s="212" t="e">
        <v>#REF!</v>
      </c>
      <c r="Z126" s="212" t="e">
        <v>#REF!</v>
      </c>
      <c r="AE126" s="212"/>
      <c r="AF126" s="212" t="e">
        <v>#REF!</v>
      </c>
      <c r="AG126" s="212" t="e">
        <v>#REF!</v>
      </c>
      <c r="AH126" s="212" t="e">
        <v>#REF!</v>
      </c>
      <c r="AI126" s="212" t="e">
        <v>#REF!</v>
      </c>
      <c r="AJ126" s="212" t="e">
        <v>#REF!</v>
      </c>
      <c r="AK126" s="212" t="e">
        <v>#REF!</v>
      </c>
      <c r="AL126" s="212" t="e">
        <v>#REF!</v>
      </c>
      <c r="AM126" s="212" t="e">
        <v>#REF!</v>
      </c>
      <c r="AN126" s="212" t="e">
        <v>#REF!</v>
      </c>
      <c r="AO126" s="212" t="e">
        <v>#REF!</v>
      </c>
    </row>
    <row r="127" spans="2:41" s="280" customFormat="1">
      <c r="B127" s="316" t="s">
        <v>1441</v>
      </c>
      <c r="C127" s="281" t="s">
        <v>1412</v>
      </c>
      <c r="D127" s="317" t="s">
        <v>72</v>
      </c>
      <c r="F127" s="212"/>
      <c r="G127" s="212" t="e">
        <v>#REF!</v>
      </c>
      <c r="H127" s="212" t="e">
        <v>#REF!</v>
      </c>
      <c r="I127" s="212" t="e">
        <v>#REF!</v>
      </c>
      <c r="J127" s="212" t="e">
        <v>#REF!</v>
      </c>
      <c r="K127" s="212" t="e">
        <v>#REF!</v>
      </c>
      <c r="L127" s="212" t="e">
        <v>#REF!</v>
      </c>
      <c r="M127" s="212" t="e">
        <v>#REF!</v>
      </c>
      <c r="N127" s="212" t="e">
        <v>#REF!</v>
      </c>
      <c r="O127" s="212" t="e">
        <v>#REF!</v>
      </c>
      <c r="P127" s="212" t="e">
        <v>#REF!</v>
      </c>
      <c r="Q127" s="212" t="e">
        <v>#REF!</v>
      </c>
      <c r="R127" s="212" t="e">
        <v>#REF!</v>
      </c>
      <c r="S127" s="212" t="e">
        <v>#REF!</v>
      </c>
      <c r="T127" s="212" t="e">
        <v>#REF!</v>
      </c>
      <c r="U127" s="212" t="e">
        <v>#REF!</v>
      </c>
      <c r="V127" s="212" t="e">
        <v>#REF!</v>
      </c>
      <c r="W127" s="212" t="e">
        <v>#REF!</v>
      </c>
      <c r="X127" s="212" t="e">
        <v>#REF!</v>
      </c>
      <c r="Y127" s="212" t="e">
        <v>#REF!</v>
      </c>
      <c r="Z127" s="212" t="e">
        <v>#REF!</v>
      </c>
      <c r="AE127" s="212"/>
      <c r="AF127" s="212" t="e">
        <v>#REF!</v>
      </c>
      <c r="AG127" s="212" t="e">
        <v>#REF!</v>
      </c>
      <c r="AH127" s="212" t="e">
        <v>#REF!</v>
      </c>
      <c r="AI127" s="212" t="e">
        <v>#REF!</v>
      </c>
      <c r="AJ127" s="212" t="e">
        <v>#REF!</v>
      </c>
      <c r="AK127" s="212" t="e">
        <v>#REF!</v>
      </c>
      <c r="AL127" s="212" t="e">
        <v>#REF!</v>
      </c>
      <c r="AM127" s="212" t="e">
        <v>#REF!</v>
      </c>
      <c r="AN127" s="212" t="e">
        <v>#REF!</v>
      </c>
      <c r="AO127" s="212" t="e">
        <v>#REF!</v>
      </c>
    </row>
    <row r="128" spans="2:41" s="280" customFormat="1"/>
    <row r="129" spans="2:41" s="280" customFormat="1">
      <c r="C129" s="279" t="s">
        <v>1370</v>
      </c>
    </row>
    <row r="130" spans="2:41" s="280" customFormat="1">
      <c r="B130" s="316" t="s">
        <v>1442</v>
      </c>
      <c r="C130" s="281" t="s">
        <v>71</v>
      </c>
      <c r="D130" s="317" t="s">
        <v>72</v>
      </c>
      <c r="G130" s="212" t="e">
        <v>#REF!</v>
      </c>
      <c r="H130" s="212" t="e">
        <v>#REF!</v>
      </c>
      <c r="I130" s="212" t="e">
        <v>#REF!</v>
      </c>
      <c r="J130" s="212" t="e">
        <v>#REF!</v>
      </c>
      <c r="K130" s="212" t="e">
        <v>#REF!</v>
      </c>
      <c r="L130" s="212" t="e">
        <v>#REF!</v>
      </c>
      <c r="M130" s="212" t="e">
        <v>#REF!</v>
      </c>
      <c r="N130" s="212" t="e">
        <v>#REF!</v>
      </c>
      <c r="O130" s="212" t="e">
        <v>#REF!</v>
      </c>
      <c r="P130" s="212" t="e">
        <v>#REF!</v>
      </c>
      <c r="Q130" s="212" t="e">
        <v>#REF!</v>
      </c>
      <c r="R130" s="212" t="e">
        <v>#REF!</v>
      </c>
      <c r="S130" s="212" t="e">
        <v>#REF!</v>
      </c>
      <c r="T130" s="212" t="e">
        <v>#REF!</v>
      </c>
      <c r="U130" s="212" t="e">
        <v>#REF!</v>
      </c>
      <c r="V130" s="212" t="e">
        <v>#REF!</v>
      </c>
      <c r="W130" s="212" t="e">
        <v>#REF!</v>
      </c>
      <c r="X130" s="212" t="e">
        <v>#REF!</v>
      </c>
      <c r="Y130" s="212" t="e">
        <v>#REF!</v>
      </c>
      <c r="Z130" s="212" t="e">
        <v>#REF!</v>
      </c>
      <c r="AF130" s="212" t="e">
        <v>#REF!</v>
      </c>
      <c r="AG130" s="212" t="e">
        <v>#REF!</v>
      </c>
      <c r="AH130" s="212" t="e">
        <v>#REF!</v>
      </c>
      <c r="AI130" s="212" t="e">
        <v>#REF!</v>
      </c>
      <c r="AJ130" s="212" t="e">
        <v>#REF!</v>
      </c>
      <c r="AK130" s="212" t="e">
        <v>#REF!</v>
      </c>
      <c r="AL130" s="212" t="e">
        <v>#REF!</v>
      </c>
      <c r="AM130" s="212" t="e">
        <v>#REF!</v>
      </c>
      <c r="AN130" s="212" t="e">
        <v>#REF!</v>
      </c>
      <c r="AO130" s="212" t="e">
        <v>#REF!</v>
      </c>
    </row>
    <row r="131" spans="2:41" s="280" customFormat="1">
      <c r="B131" s="316" t="s">
        <v>1443</v>
      </c>
      <c r="C131" s="281" t="s">
        <v>73</v>
      </c>
      <c r="D131" s="317" t="s">
        <v>72</v>
      </c>
      <c r="G131" s="212" t="e">
        <v>#REF!</v>
      </c>
      <c r="H131" s="212" t="e">
        <v>#REF!</v>
      </c>
      <c r="I131" s="212" t="e">
        <v>#REF!</v>
      </c>
      <c r="J131" s="212" t="e">
        <v>#REF!</v>
      </c>
      <c r="K131" s="212" t="e">
        <v>#REF!</v>
      </c>
      <c r="L131" s="212" t="e">
        <v>#REF!</v>
      </c>
      <c r="M131" s="212" t="e">
        <v>#REF!</v>
      </c>
      <c r="N131" s="212" t="e">
        <v>#REF!</v>
      </c>
      <c r="O131" s="212" t="e">
        <v>#REF!</v>
      </c>
      <c r="P131" s="212" t="e">
        <v>#REF!</v>
      </c>
      <c r="Q131" s="212" t="e">
        <v>#REF!</v>
      </c>
      <c r="R131" s="212" t="e">
        <v>#REF!</v>
      </c>
      <c r="S131" s="212" t="e">
        <v>#REF!</v>
      </c>
      <c r="T131" s="212" t="e">
        <v>#REF!</v>
      </c>
      <c r="U131" s="212" t="e">
        <v>#REF!</v>
      </c>
      <c r="V131" s="212" t="e">
        <v>#REF!</v>
      </c>
      <c r="W131" s="212" t="e">
        <v>#REF!</v>
      </c>
      <c r="X131" s="212" t="e">
        <v>#REF!</v>
      </c>
      <c r="Y131" s="212" t="e">
        <v>#REF!</v>
      </c>
      <c r="Z131" s="212" t="e">
        <v>#REF!</v>
      </c>
      <c r="AF131" s="212" t="e">
        <v>#REF!</v>
      </c>
      <c r="AG131" s="212" t="e">
        <v>#REF!</v>
      </c>
      <c r="AH131" s="212" t="e">
        <v>#REF!</v>
      </c>
      <c r="AI131" s="212" t="e">
        <v>#REF!</v>
      </c>
      <c r="AJ131" s="212" t="e">
        <v>#REF!</v>
      </c>
      <c r="AK131" s="212" t="e">
        <v>#REF!</v>
      </c>
      <c r="AL131" s="212" t="e">
        <v>#REF!</v>
      </c>
      <c r="AM131" s="212" t="e">
        <v>#REF!</v>
      </c>
      <c r="AN131" s="212" t="e">
        <v>#REF!</v>
      </c>
      <c r="AO131" s="212" t="e">
        <v>#REF!</v>
      </c>
    </row>
    <row r="132" spans="2:41" s="280" customFormat="1">
      <c r="B132" s="316" t="s">
        <v>1444</v>
      </c>
      <c r="C132" s="281" t="s">
        <v>75</v>
      </c>
      <c r="D132" s="317" t="s">
        <v>72</v>
      </c>
      <c r="G132" s="212" t="e">
        <v>#REF!</v>
      </c>
      <c r="H132" s="212" t="e">
        <v>#REF!</v>
      </c>
      <c r="I132" s="212" t="e">
        <v>#REF!</v>
      </c>
      <c r="J132" s="212" t="e">
        <v>#REF!</v>
      </c>
      <c r="K132" s="212" t="e">
        <v>#REF!</v>
      </c>
      <c r="L132" s="212" t="e">
        <v>#REF!</v>
      </c>
      <c r="M132" s="212" t="e">
        <v>#REF!</v>
      </c>
      <c r="N132" s="212" t="e">
        <v>#REF!</v>
      </c>
      <c r="O132" s="212" t="e">
        <v>#REF!</v>
      </c>
      <c r="P132" s="212" t="e">
        <v>#REF!</v>
      </c>
      <c r="Q132" s="212" t="e">
        <v>#REF!</v>
      </c>
      <c r="R132" s="212" t="e">
        <v>#REF!</v>
      </c>
      <c r="S132" s="212" t="e">
        <v>#REF!</v>
      </c>
      <c r="T132" s="212" t="e">
        <v>#REF!</v>
      </c>
      <c r="U132" s="212" t="e">
        <v>#REF!</v>
      </c>
      <c r="V132" s="212" t="e">
        <v>#REF!</v>
      </c>
      <c r="W132" s="212" t="e">
        <v>#REF!</v>
      </c>
      <c r="X132" s="212" t="e">
        <v>#REF!</v>
      </c>
      <c r="Y132" s="212" t="e">
        <v>#REF!</v>
      </c>
      <c r="Z132" s="212" t="e">
        <v>#REF!</v>
      </c>
      <c r="AF132" s="212" t="e">
        <v>#REF!</v>
      </c>
      <c r="AG132" s="212" t="e">
        <v>#REF!</v>
      </c>
      <c r="AH132" s="212" t="e">
        <v>#REF!</v>
      </c>
      <c r="AI132" s="212" t="e">
        <v>#REF!</v>
      </c>
      <c r="AJ132" s="212" t="e">
        <v>#REF!</v>
      </c>
      <c r="AK132" s="212" t="e">
        <v>#REF!</v>
      </c>
      <c r="AL132" s="212" t="e">
        <v>#REF!</v>
      </c>
      <c r="AM132" s="212" t="e">
        <v>#REF!</v>
      </c>
      <c r="AN132" s="212" t="e">
        <v>#REF!</v>
      </c>
      <c r="AO132" s="212" t="e">
        <v>#REF!</v>
      </c>
    </row>
    <row r="133" spans="2:41" s="280" customFormat="1">
      <c r="B133" s="316" t="s">
        <v>1445</v>
      </c>
      <c r="C133" s="281" t="s">
        <v>1410</v>
      </c>
      <c r="D133" s="317" t="s">
        <v>72</v>
      </c>
      <c r="G133" s="212" t="e">
        <v>#REF!</v>
      </c>
      <c r="H133" s="212" t="e">
        <v>#REF!</v>
      </c>
      <c r="I133" s="212" t="e">
        <v>#REF!</v>
      </c>
      <c r="J133" s="212" t="e">
        <v>#REF!</v>
      </c>
      <c r="K133" s="212" t="e">
        <v>#REF!</v>
      </c>
      <c r="L133" s="212" t="e">
        <v>#REF!</v>
      </c>
      <c r="M133" s="212" t="e">
        <v>#REF!</v>
      </c>
      <c r="N133" s="212" t="e">
        <v>#REF!</v>
      </c>
      <c r="O133" s="212" t="e">
        <v>#REF!</v>
      </c>
      <c r="P133" s="212" t="e">
        <v>#REF!</v>
      </c>
      <c r="Q133" s="212" t="e">
        <v>#REF!</v>
      </c>
      <c r="R133" s="212" t="e">
        <v>#REF!</v>
      </c>
      <c r="S133" s="212" t="e">
        <v>#REF!</v>
      </c>
      <c r="T133" s="212" t="e">
        <v>#REF!</v>
      </c>
      <c r="U133" s="212" t="e">
        <v>#REF!</v>
      </c>
      <c r="V133" s="212" t="e">
        <v>#REF!</v>
      </c>
      <c r="W133" s="212" t="e">
        <v>#REF!</v>
      </c>
      <c r="X133" s="212" t="e">
        <v>#REF!</v>
      </c>
      <c r="Y133" s="212" t="e">
        <v>#REF!</v>
      </c>
      <c r="Z133" s="212" t="e">
        <v>#REF!</v>
      </c>
      <c r="AF133" s="212" t="e">
        <v>#REF!</v>
      </c>
      <c r="AG133" s="212" t="e">
        <v>#REF!</v>
      </c>
      <c r="AH133" s="212" t="e">
        <v>#REF!</v>
      </c>
      <c r="AI133" s="212" t="e">
        <v>#REF!</v>
      </c>
      <c r="AJ133" s="212" t="e">
        <v>#REF!</v>
      </c>
      <c r="AK133" s="212" t="e">
        <v>#REF!</v>
      </c>
      <c r="AL133" s="212" t="e">
        <v>#REF!</v>
      </c>
      <c r="AM133" s="212" t="e">
        <v>#REF!</v>
      </c>
      <c r="AN133" s="212" t="e">
        <v>#REF!</v>
      </c>
      <c r="AO133" s="212" t="e">
        <v>#REF!</v>
      </c>
    </row>
    <row r="134" spans="2:41" s="280" customFormat="1">
      <c r="B134" s="316" t="s">
        <v>1446</v>
      </c>
      <c r="C134" s="281" t="s">
        <v>1411</v>
      </c>
      <c r="D134" s="317" t="s">
        <v>72</v>
      </c>
      <c r="G134" s="212" t="e">
        <v>#REF!</v>
      </c>
      <c r="H134" s="212" t="e">
        <v>#REF!</v>
      </c>
      <c r="I134" s="212" t="e">
        <v>#REF!</v>
      </c>
      <c r="J134" s="212" t="e">
        <v>#REF!</v>
      </c>
      <c r="K134" s="212" t="e">
        <v>#REF!</v>
      </c>
      <c r="L134" s="212" t="e">
        <v>#REF!</v>
      </c>
      <c r="M134" s="212" t="e">
        <v>#REF!</v>
      </c>
      <c r="N134" s="212" t="e">
        <v>#REF!</v>
      </c>
      <c r="O134" s="212" t="e">
        <v>#REF!</v>
      </c>
      <c r="P134" s="212" t="e">
        <v>#REF!</v>
      </c>
      <c r="Q134" s="212" t="e">
        <v>#REF!</v>
      </c>
      <c r="R134" s="212" t="e">
        <v>#REF!</v>
      </c>
      <c r="S134" s="212" t="e">
        <v>#REF!</v>
      </c>
      <c r="T134" s="212" t="e">
        <v>#REF!</v>
      </c>
      <c r="U134" s="212" t="e">
        <v>#REF!</v>
      </c>
      <c r="V134" s="212" t="e">
        <v>#REF!</v>
      </c>
      <c r="W134" s="212" t="e">
        <v>#REF!</v>
      </c>
      <c r="X134" s="212" t="e">
        <v>#REF!</v>
      </c>
      <c r="Y134" s="212" t="e">
        <v>#REF!</v>
      </c>
      <c r="Z134" s="212" t="e">
        <v>#REF!</v>
      </c>
      <c r="AF134" s="212" t="e">
        <v>#REF!</v>
      </c>
      <c r="AG134" s="212" t="e">
        <v>#REF!</v>
      </c>
      <c r="AH134" s="212" t="e">
        <v>#REF!</v>
      </c>
      <c r="AI134" s="212" t="e">
        <v>#REF!</v>
      </c>
      <c r="AJ134" s="212" t="e">
        <v>#REF!</v>
      </c>
      <c r="AK134" s="212" t="e">
        <v>#REF!</v>
      </c>
      <c r="AL134" s="212" t="e">
        <v>#REF!</v>
      </c>
      <c r="AM134" s="212" t="e">
        <v>#REF!</v>
      </c>
      <c r="AN134" s="212" t="e">
        <v>#REF!</v>
      </c>
      <c r="AO134" s="212" t="e">
        <v>#REF!</v>
      </c>
    </row>
    <row r="135" spans="2:41" s="280" customFormat="1">
      <c r="B135" s="316" t="s">
        <v>1447</v>
      </c>
      <c r="C135" s="281" t="s">
        <v>1412</v>
      </c>
      <c r="D135" s="317" t="s">
        <v>72</v>
      </c>
      <c r="G135" s="212" t="e">
        <v>#REF!</v>
      </c>
      <c r="H135" s="212" t="e">
        <v>#REF!</v>
      </c>
      <c r="I135" s="212" t="e">
        <v>#REF!</v>
      </c>
      <c r="J135" s="212" t="e">
        <v>#REF!</v>
      </c>
      <c r="K135" s="212" t="e">
        <v>#REF!</v>
      </c>
      <c r="L135" s="212" t="e">
        <v>#REF!</v>
      </c>
      <c r="M135" s="212" t="e">
        <v>#REF!</v>
      </c>
      <c r="N135" s="212" t="e">
        <v>#REF!</v>
      </c>
      <c r="O135" s="212" t="e">
        <v>#REF!</v>
      </c>
      <c r="P135" s="212" t="e">
        <v>#REF!</v>
      </c>
      <c r="Q135" s="212" t="e">
        <v>#REF!</v>
      </c>
      <c r="R135" s="212" t="e">
        <v>#REF!</v>
      </c>
      <c r="S135" s="212" t="e">
        <v>#REF!</v>
      </c>
      <c r="T135" s="212" t="e">
        <v>#REF!</v>
      </c>
      <c r="U135" s="212" t="e">
        <v>#REF!</v>
      </c>
      <c r="V135" s="212" t="e">
        <v>#REF!</v>
      </c>
      <c r="W135" s="212" t="e">
        <v>#REF!</v>
      </c>
      <c r="X135" s="212" t="e">
        <v>#REF!</v>
      </c>
      <c r="Y135" s="212" t="e">
        <v>#REF!</v>
      </c>
      <c r="Z135" s="212" t="e">
        <v>#REF!</v>
      </c>
      <c r="AF135" s="212" t="e">
        <v>#REF!</v>
      </c>
      <c r="AG135" s="212" t="e">
        <v>#REF!</v>
      </c>
      <c r="AH135" s="212" t="e">
        <v>#REF!</v>
      </c>
      <c r="AI135" s="212" t="e">
        <v>#REF!</v>
      </c>
      <c r="AJ135" s="212" t="e">
        <v>#REF!</v>
      </c>
      <c r="AK135" s="212" t="e">
        <v>#REF!</v>
      </c>
      <c r="AL135" s="212" t="e">
        <v>#REF!</v>
      </c>
      <c r="AM135" s="212" t="e">
        <v>#REF!</v>
      </c>
      <c r="AN135" s="212" t="e">
        <v>#REF!</v>
      </c>
      <c r="AO135" s="212" t="e">
        <v>#REF!</v>
      </c>
    </row>
    <row r="136" spans="2:41" s="280" customFormat="1">
      <c r="B136" s="316"/>
      <c r="C136" s="281"/>
      <c r="G136" s="212"/>
      <c r="H136" s="212"/>
      <c r="I136" s="212"/>
      <c r="J136" s="212"/>
      <c r="K136" s="212"/>
      <c r="L136" s="212"/>
      <c r="M136" s="212"/>
      <c r="N136" s="212"/>
      <c r="O136" s="212"/>
      <c r="P136" s="212"/>
      <c r="Q136" s="212"/>
      <c r="R136" s="212"/>
      <c r="S136" s="212"/>
      <c r="T136" s="212"/>
      <c r="U136" s="212"/>
      <c r="V136" s="212"/>
      <c r="W136" s="212"/>
      <c r="X136" s="212"/>
      <c r="Y136" s="212"/>
      <c r="Z136" s="212"/>
      <c r="AF136" s="212"/>
      <c r="AG136" s="212"/>
      <c r="AH136" s="212"/>
      <c r="AI136" s="212"/>
      <c r="AJ136" s="212"/>
      <c r="AK136" s="212"/>
      <c r="AL136" s="212"/>
      <c r="AM136" s="212"/>
      <c r="AN136" s="212"/>
      <c r="AO136" s="212"/>
    </row>
    <row r="137" spans="2:41" s="280" customFormat="1">
      <c r="C137" s="279" t="s">
        <v>42</v>
      </c>
    </row>
    <row r="138" spans="2:41" s="280" customFormat="1">
      <c r="B138" s="316" t="s">
        <v>1448</v>
      </c>
      <c r="C138" s="281" t="s">
        <v>71</v>
      </c>
      <c r="D138" s="317" t="s">
        <v>90</v>
      </c>
      <c r="F138" s="281"/>
      <c r="G138" s="212">
        <v>24.87679451467752</v>
      </c>
      <c r="H138" s="212">
        <v>36.236485485686323</v>
      </c>
      <c r="I138" s="212">
        <v>32.503937007874008</v>
      </c>
      <c r="J138" s="212">
        <v>38.597977444803313</v>
      </c>
      <c r="K138" s="212">
        <v>51.252621123496311</v>
      </c>
      <c r="L138" s="212">
        <v>47.656837869230792</v>
      </c>
      <c r="M138" s="212">
        <v>46.6</v>
      </c>
      <c r="N138" s="212">
        <v>50.867867216315901</v>
      </c>
      <c r="O138" s="212">
        <v>50.3</v>
      </c>
      <c r="P138" s="212">
        <v>49.8474</v>
      </c>
      <c r="Q138" s="212">
        <v>50.80299999999999</v>
      </c>
      <c r="R138" s="212">
        <v>50.345874000000002</v>
      </c>
      <c r="S138" s="212">
        <v>52.327089999999998</v>
      </c>
      <c r="T138" s="212">
        <v>51.85625022</v>
      </c>
      <c r="U138" s="212">
        <v>53.896902699999998</v>
      </c>
      <c r="V138" s="212">
        <v>53.707031305199997</v>
      </c>
      <c r="W138" s="212">
        <v>55.513809780999999</v>
      </c>
      <c r="X138" s="212">
        <v>55.014295858398008</v>
      </c>
      <c r="Y138" s="212">
        <v>57.17922407443001</v>
      </c>
      <c r="Z138" s="212">
        <v>56.664724734149942</v>
      </c>
      <c r="AF138" s="212">
        <v>61.113280000363837</v>
      </c>
      <c r="AG138" s="212">
        <v>71.10191445267732</v>
      </c>
      <c r="AH138" s="212">
        <v>98.90945899272711</v>
      </c>
      <c r="AI138" s="212">
        <v>97.467867216315909</v>
      </c>
      <c r="AJ138" s="212">
        <v>100.1474</v>
      </c>
      <c r="AK138" s="212">
        <v>101.14887400000001</v>
      </c>
      <c r="AL138" s="212">
        <v>104.18334022000001</v>
      </c>
      <c r="AM138" s="212">
        <v>107.6039340052</v>
      </c>
      <c r="AN138" s="212">
        <v>110.52810563939801</v>
      </c>
      <c r="AO138" s="212">
        <v>113.84394880858</v>
      </c>
    </row>
    <row r="139" spans="2:41" s="280" customFormat="1">
      <c r="B139" s="316" t="s">
        <v>1449</v>
      </c>
      <c r="C139" s="281" t="s">
        <v>73</v>
      </c>
      <c r="D139" s="317" t="s">
        <v>90</v>
      </c>
      <c r="F139" s="281"/>
      <c r="G139" s="212">
        <v>36.929505035354623</v>
      </c>
      <c r="H139" s="212">
        <v>39.910483962743633</v>
      </c>
      <c r="I139" s="212">
        <v>34.110236220472437</v>
      </c>
      <c r="J139" s="212">
        <v>27.44745062741568</v>
      </c>
      <c r="K139" s="212">
        <v>39.432733693852782</v>
      </c>
      <c r="L139" s="212">
        <v>29.822070323076929</v>
      </c>
      <c r="M139" s="212">
        <v>29.1</v>
      </c>
      <c r="N139" s="212">
        <v>28.60707311781297</v>
      </c>
      <c r="O139" s="212">
        <v>30.3</v>
      </c>
      <c r="P139" s="212">
        <v>29.321999999999999</v>
      </c>
      <c r="Q139" s="212">
        <v>30.603000000000002</v>
      </c>
      <c r="R139" s="212">
        <v>29.615220000000001</v>
      </c>
      <c r="S139" s="212">
        <v>30.909030000000001</v>
      </c>
      <c r="T139" s="212">
        <v>29.911372199999999</v>
      </c>
      <c r="U139" s="212">
        <v>31.21812030000001</v>
      </c>
      <c r="V139" s="212">
        <v>30.377394683999999</v>
      </c>
      <c r="W139" s="212">
        <v>31.530301503000011</v>
      </c>
      <c r="X139" s="212">
        <v>30.512590781219998</v>
      </c>
      <c r="Y139" s="212">
        <v>31.845604518030012</v>
      </c>
      <c r="Z139" s="212">
        <v>30.817716689032199</v>
      </c>
      <c r="AF139" s="212">
        <v>76.839988998098249</v>
      </c>
      <c r="AG139" s="212">
        <v>61.557686847888128</v>
      </c>
      <c r="AH139" s="212">
        <v>69.254804016929711</v>
      </c>
      <c r="AI139" s="212">
        <v>57.707073117812968</v>
      </c>
      <c r="AJ139" s="212">
        <v>59.622</v>
      </c>
      <c r="AK139" s="212">
        <v>60.218220000000002</v>
      </c>
      <c r="AL139" s="212">
        <v>60.820402199999997</v>
      </c>
      <c r="AM139" s="212">
        <v>61.595514983999998</v>
      </c>
      <c r="AN139" s="212">
        <v>62.042892284220009</v>
      </c>
      <c r="AO139" s="212">
        <v>62.663321207062197</v>
      </c>
    </row>
    <row r="140" spans="2:41" s="280" customFormat="1">
      <c r="B140" s="316" t="s">
        <v>1450</v>
      </c>
      <c r="C140" s="281" t="s">
        <v>75</v>
      </c>
      <c r="D140" s="317" t="s">
        <v>90</v>
      </c>
      <c r="F140" s="281"/>
      <c r="G140" s="212">
        <v>25.4</v>
      </c>
      <c r="H140" s="212">
        <v>23.9</v>
      </c>
      <c r="I140" s="212">
        <v>23.412073490813651</v>
      </c>
      <c r="J140" s="212">
        <v>23.720019060729602</v>
      </c>
      <c r="K140" s="212">
        <v>34.985100982231543</v>
      </c>
      <c r="L140" s="212">
        <v>36.492511615384643</v>
      </c>
      <c r="M140" s="212">
        <v>35.799264546831068</v>
      </c>
      <c r="N140" s="212">
        <v>33.304404426122787</v>
      </c>
      <c r="O140" s="212">
        <v>38.9</v>
      </c>
      <c r="P140" s="212">
        <v>38.900000000000013</v>
      </c>
      <c r="Q140" s="212">
        <v>38.900000000000013</v>
      </c>
      <c r="R140" s="212">
        <v>40.45600000000001</v>
      </c>
      <c r="S140" s="212">
        <v>40.45600000000001</v>
      </c>
      <c r="T140" s="212">
        <v>42.074240000000003</v>
      </c>
      <c r="U140" s="212">
        <v>42.074240000000003</v>
      </c>
      <c r="V140" s="212">
        <v>43.757209600000003</v>
      </c>
      <c r="W140" s="212">
        <v>43.757209600000003</v>
      </c>
      <c r="X140" s="212">
        <v>45.507497984000011</v>
      </c>
      <c r="Y140" s="212">
        <v>45.507497984000011</v>
      </c>
      <c r="Z140" s="212">
        <v>47.327797903360008</v>
      </c>
      <c r="AF140" s="212">
        <v>49.3</v>
      </c>
      <c r="AG140" s="212">
        <v>47.132092551543252</v>
      </c>
      <c r="AH140" s="212">
        <v>71.477612597616172</v>
      </c>
      <c r="AI140" s="212">
        <v>69.103668972953869</v>
      </c>
      <c r="AJ140" s="212">
        <v>77.800000000000011</v>
      </c>
      <c r="AK140" s="212">
        <v>79.356000000000023</v>
      </c>
      <c r="AL140" s="212">
        <v>82.53024000000002</v>
      </c>
      <c r="AM140" s="212">
        <v>85.831449600000013</v>
      </c>
      <c r="AN140" s="212">
        <v>89.264707584000007</v>
      </c>
      <c r="AO140" s="212">
        <v>92.835295887360019</v>
      </c>
    </row>
    <row r="141" spans="2:41" s="280" customFormat="1">
      <c r="B141" s="316" t="s">
        <v>1451</v>
      </c>
      <c r="C141" s="281" t="s">
        <v>1410</v>
      </c>
      <c r="D141" s="317" t="s">
        <v>90</v>
      </c>
      <c r="F141" s="281"/>
      <c r="G141" s="212">
        <v>87.206299550032128</v>
      </c>
      <c r="H141" s="212">
        <v>100.04696944842991</v>
      </c>
      <c r="I141" s="212">
        <v>90.026246719160099</v>
      </c>
      <c r="J141" s="212">
        <v>89.76544713294858</v>
      </c>
      <c r="K141" s="212">
        <v>129.54420041937979</v>
      </c>
      <c r="L141" s="212">
        <v>118.7468493692308</v>
      </c>
      <c r="M141" s="212">
        <v>116.7992645468311</v>
      </c>
      <c r="N141" s="212">
        <v>119.4185289650683</v>
      </c>
      <c r="O141" s="212">
        <v>123.2</v>
      </c>
      <c r="P141" s="212">
        <v>122.5694</v>
      </c>
      <c r="Q141" s="212">
        <v>124.806</v>
      </c>
      <c r="R141" s="212">
        <v>125.097094</v>
      </c>
      <c r="S141" s="212">
        <v>128.37212</v>
      </c>
      <c r="T141" s="212">
        <v>128.70906242000001</v>
      </c>
      <c r="U141" s="212">
        <v>132.05646300000001</v>
      </c>
      <c r="V141" s="212">
        <v>132.90352358920001</v>
      </c>
      <c r="W141" s="212">
        <v>135.86320888399999</v>
      </c>
      <c r="X141" s="212">
        <v>136.29874814361801</v>
      </c>
      <c r="Y141" s="212">
        <v>139.79669009646</v>
      </c>
      <c r="Z141" s="212">
        <v>140.28517738734209</v>
      </c>
      <c r="AF141" s="212">
        <v>187.25326899846209</v>
      </c>
      <c r="AG141" s="212">
        <v>179.79169385210869</v>
      </c>
      <c r="AH141" s="212">
        <v>248.29104978861059</v>
      </c>
      <c r="AI141" s="212">
        <v>236.2177935118994</v>
      </c>
      <c r="AJ141" s="212">
        <v>245.76939999999999</v>
      </c>
      <c r="AK141" s="212">
        <v>249.90309400000001</v>
      </c>
      <c r="AL141" s="212">
        <v>257.08118242</v>
      </c>
      <c r="AM141" s="212">
        <v>264.95998658920001</v>
      </c>
      <c r="AN141" s="212">
        <v>272.16195702761797</v>
      </c>
      <c r="AO141" s="212">
        <v>280.08186748380223</v>
      </c>
    </row>
    <row r="142" spans="2:41" s="280" customFormat="1">
      <c r="B142" s="316" t="s">
        <v>1452</v>
      </c>
      <c r="C142" s="281" t="s">
        <v>1411</v>
      </c>
      <c r="D142" s="317" t="s">
        <v>90</v>
      </c>
      <c r="F142" s="281"/>
      <c r="G142" s="212" t="e">
        <v>#REF!</v>
      </c>
      <c r="H142" s="212" t="e">
        <v>#REF!</v>
      </c>
      <c r="I142" s="212" t="e">
        <v>#REF!</v>
      </c>
      <c r="J142" s="212" t="e">
        <v>#REF!</v>
      </c>
      <c r="K142" s="212" t="e">
        <v>#REF!</v>
      </c>
      <c r="L142" s="212" t="e">
        <v>#REF!</v>
      </c>
      <c r="M142" s="212" t="e">
        <v>#REF!</v>
      </c>
      <c r="N142" s="212" t="e">
        <v>#REF!</v>
      </c>
      <c r="O142" s="212" t="e">
        <v>#REF!</v>
      </c>
      <c r="P142" s="212" t="e">
        <v>#REF!</v>
      </c>
      <c r="Q142" s="212" t="e">
        <v>#REF!</v>
      </c>
      <c r="R142" s="212" t="e">
        <v>#REF!</v>
      </c>
      <c r="S142" s="212" t="e">
        <v>#REF!</v>
      </c>
      <c r="T142" s="212" t="e">
        <v>#REF!</v>
      </c>
      <c r="U142" s="212" t="e">
        <v>#REF!</v>
      </c>
      <c r="V142" s="212" t="e">
        <v>#REF!</v>
      </c>
      <c r="W142" s="212" t="e">
        <v>#REF!</v>
      </c>
      <c r="X142" s="212" t="e">
        <v>#REF!</v>
      </c>
      <c r="Y142" s="212" t="e">
        <v>#REF!</v>
      </c>
      <c r="Z142" s="212" t="e">
        <v>#REF!</v>
      </c>
      <c r="AF142" s="212" t="e">
        <v>#REF!</v>
      </c>
      <c r="AG142" s="212" t="e">
        <v>#REF!</v>
      </c>
      <c r="AH142" s="212" t="e">
        <v>#REF!</v>
      </c>
      <c r="AI142" s="212" t="e">
        <v>#REF!</v>
      </c>
      <c r="AJ142" s="212" t="e">
        <v>#REF!</v>
      </c>
      <c r="AK142" s="212" t="e">
        <v>#REF!</v>
      </c>
      <c r="AL142" s="212" t="e">
        <v>#REF!</v>
      </c>
      <c r="AM142" s="212" t="e">
        <v>#REF!</v>
      </c>
      <c r="AN142" s="212" t="e">
        <v>#REF!</v>
      </c>
      <c r="AO142" s="212" t="e">
        <v>#REF!</v>
      </c>
    </row>
    <row r="143" spans="2:41" s="280" customFormat="1">
      <c r="B143" s="316" t="s">
        <v>1453</v>
      </c>
      <c r="C143" s="281" t="s">
        <v>1412</v>
      </c>
      <c r="D143" s="317" t="s">
        <v>90</v>
      </c>
      <c r="G143" s="212" t="e">
        <v>#REF!</v>
      </c>
      <c r="H143" s="212" t="e">
        <v>#REF!</v>
      </c>
      <c r="I143" s="212" t="e">
        <v>#REF!</v>
      </c>
      <c r="J143" s="212" t="e">
        <v>#REF!</v>
      </c>
      <c r="K143" s="212" t="e">
        <v>#REF!</v>
      </c>
      <c r="L143" s="212" t="e">
        <v>#REF!</v>
      </c>
      <c r="M143" s="212" t="e">
        <v>#REF!</v>
      </c>
      <c r="N143" s="212" t="e">
        <v>#REF!</v>
      </c>
      <c r="O143" s="212" t="e">
        <v>#REF!</v>
      </c>
      <c r="P143" s="212" t="e">
        <v>#REF!</v>
      </c>
      <c r="Q143" s="212" t="e">
        <v>#REF!</v>
      </c>
      <c r="R143" s="212" t="e">
        <v>#REF!</v>
      </c>
      <c r="S143" s="212" t="e">
        <v>#REF!</v>
      </c>
      <c r="T143" s="212" t="e">
        <v>#REF!</v>
      </c>
      <c r="U143" s="212" t="e">
        <v>#REF!</v>
      </c>
      <c r="V143" s="212" t="e">
        <v>#REF!</v>
      </c>
      <c r="W143" s="212" t="e">
        <v>#REF!</v>
      </c>
      <c r="X143" s="212" t="e">
        <v>#REF!</v>
      </c>
      <c r="Y143" s="212" t="e">
        <v>#REF!</v>
      </c>
      <c r="Z143" s="212" t="e">
        <v>#REF!</v>
      </c>
      <c r="AF143" s="212" t="e">
        <v>#REF!</v>
      </c>
      <c r="AG143" s="212" t="e">
        <v>#REF!</v>
      </c>
      <c r="AH143" s="212" t="e">
        <v>#REF!</v>
      </c>
      <c r="AI143" s="212" t="e">
        <v>#REF!</v>
      </c>
      <c r="AJ143" s="212" t="e">
        <v>#REF!</v>
      </c>
      <c r="AK143" s="212" t="e">
        <v>#REF!</v>
      </c>
      <c r="AL143" s="212" t="e">
        <v>#REF!</v>
      </c>
      <c r="AM143" s="212" t="e">
        <v>#REF!</v>
      </c>
      <c r="AN143" s="212" t="e">
        <v>#REF!</v>
      </c>
      <c r="AO143" s="212" t="e">
        <v>#REF!</v>
      </c>
    </row>
    <row r="144" spans="2:41" s="280" customFormat="1">
      <c r="B144" s="316"/>
      <c r="C144" s="281"/>
      <c r="G144" s="212"/>
      <c r="H144" s="212"/>
      <c r="I144" s="212"/>
      <c r="J144" s="212"/>
      <c r="K144" s="212"/>
      <c r="L144" s="212"/>
      <c r="M144" s="212"/>
      <c r="N144" s="212"/>
      <c r="O144" s="212"/>
      <c r="P144" s="212"/>
      <c r="Q144" s="212"/>
      <c r="R144" s="212"/>
      <c r="S144" s="212"/>
      <c r="T144" s="212"/>
      <c r="U144" s="212"/>
      <c r="V144" s="212"/>
      <c r="W144" s="212"/>
      <c r="X144" s="212"/>
      <c r="Y144" s="212"/>
      <c r="Z144" s="212"/>
      <c r="AF144" s="212"/>
      <c r="AG144" s="212"/>
      <c r="AH144" s="212"/>
      <c r="AI144" s="212"/>
      <c r="AJ144" s="212"/>
      <c r="AK144" s="212"/>
      <c r="AL144" s="212"/>
      <c r="AM144" s="212"/>
      <c r="AN144" s="212"/>
      <c r="AO144" s="212"/>
    </row>
    <row r="145" spans="2:41" s="280" customFormat="1">
      <c r="C145" s="279" t="s">
        <v>1413</v>
      </c>
    </row>
    <row r="146" spans="2:41" s="280" customFormat="1">
      <c r="B146" s="316" t="s">
        <v>1454</v>
      </c>
      <c r="C146" s="281" t="s">
        <v>1414</v>
      </c>
      <c r="D146" s="317" t="s">
        <v>72</v>
      </c>
      <c r="F146" s="281"/>
      <c r="G146" s="212" t="e">
        <v>#REF!</v>
      </c>
      <c r="H146" s="212" t="e">
        <v>#REF!</v>
      </c>
      <c r="I146" s="212" t="e">
        <v>#REF!</v>
      </c>
      <c r="J146" s="212" t="e">
        <v>#REF!</v>
      </c>
      <c r="K146" s="212" t="e">
        <v>#REF!</v>
      </c>
      <c r="L146" s="212" t="e">
        <v>#REF!</v>
      </c>
      <c r="M146" s="212" t="e">
        <v>#REF!</v>
      </c>
      <c r="N146" s="212" t="e">
        <v>#REF!</v>
      </c>
      <c r="O146" s="212" t="e">
        <v>#REF!</v>
      </c>
      <c r="P146" s="212" t="e">
        <v>#REF!</v>
      </c>
      <c r="Q146" s="212" t="e">
        <v>#REF!</v>
      </c>
      <c r="R146" s="212" t="e">
        <v>#REF!</v>
      </c>
      <c r="S146" s="212" t="e">
        <v>#REF!</v>
      </c>
      <c r="T146" s="212" t="e">
        <v>#REF!</v>
      </c>
      <c r="U146" s="212" t="e">
        <v>#REF!</v>
      </c>
      <c r="V146" s="212" t="e">
        <v>#REF!</v>
      </c>
      <c r="W146" s="212" t="e">
        <v>#REF!</v>
      </c>
      <c r="X146" s="212" t="e">
        <v>#REF!</v>
      </c>
      <c r="Y146" s="212" t="e">
        <v>#REF!</v>
      </c>
      <c r="Z146" s="212" t="e">
        <v>#REF!</v>
      </c>
      <c r="AF146" s="212" t="e">
        <v>#REF!</v>
      </c>
      <c r="AG146" s="212" t="e">
        <v>#REF!</v>
      </c>
      <c r="AH146" s="212" t="e">
        <v>#REF!</v>
      </c>
      <c r="AI146" s="212" t="e">
        <v>#REF!</v>
      </c>
      <c r="AJ146" s="212" t="e">
        <v>#REF!</v>
      </c>
      <c r="AK146" s="212" t="e">
        <v>#REF!</v>
      </c>
      <c r="AL146" s="212" t="e">
        <v>#REF!</v>
      </c>
      <c r="AM146" s="212" t="e">
        <v>#REF!</v>
      </c>
      <c r="AN146" s="212" t="e">
        <v>#REF!</v>
      </c>
      <c r="AO146" s="212" t="e">
        <v>#REF!</v>
      </c>
    </row>
    <row r="147" spans="2:41" s="280" customFormat="1">
      <c r="B147" s="316" t="s">
        <v>1455</v>
      </c>
      <c r="C147" s="281" t="s">
        <v>163</v>
      </c>
      <c r="D147" s="317" t="s">
        <v>72</v>
      </c>
      <c r="F147" s="281"/>
      <c r="G147" s="212" t="e">
        <v>#REF!</v>
      </c>
      <c r="H147" s="212" t="e">
        <v>#REF!</v>
      </c>
      <c r="I147" s="212" t="e">
        <v>#REF!</v>
      </c>
      <c r="J147" s="212" t="e">
        <v>#REF!</v>
      </c>
      <c r="K147" s="212" t="e">
        <v>#REF!</v>
      </c>
      <c r="L147" s="212" t="e">
        <v>#REF!</v>
      </c>
      <c r="M147" s="212" t="e">
        <v>#REF!</v>
      </c>
      <c r="N147" s="212" t="e">
        <v>#REF!</v>
      </c>
      <c r="O147" s="212" t="e">
        <v>#REF!</v>
      </c>
      <c r="P147" s="212" t="e">
        <v>#REF!</v>
      </c>
      <c r="Q147" s="212" t="e">
        <v>#REF!</v>
      </c>
      <c r="R147" s="212" t="e">
        <v>#REF!</v>
      </c>
      <c r="S147" s="212" t="e">
        <v>#REF!</v>
      </c>
      <c r="T147" s="212" t="e">
        <v>#REF!</v>
      </c>
      <c r="U147" s="212" t="e">
        <v>#REF!</v>
      </c>
      <c r="V147" s="212" t="e">
        <v>#REF!</v>
      </c>
      <c r="W147" s="212" t="e">
        <v>#REF!</v>
      </c>
      <c r="X147" s="212" t="e">
        <v>#REF!</v>
      </c>
      <c r="Y147" s="212" t="e">
        <v>#REF!</v>
      </c>
      <c r="Z147" s="212" t="e">
        <v>#REF!</v>
      </c>
      <c r="AF147" s="212" t="e">
        <v>#REF!</v>
      </c>
      <c r="AG147" s="212" t="e">
        <v>#REF!</v>
      </c>
      <c r="AH147" s="212" t="e">
        <v>#REF!</v>
      </c>
      <c r="AI147" s="212" t="e">
        <v>#REF!</v>
      </c>
      <c r="AJ147" s="212" t="e">
        <v>#REF!</v>
      </c>
      <c r="AK147" s="212" t="e">
        <v>#REF!</v>
      </c>
      <c r="AL147" s="212" t="e">
        <v>#REF!</v>
      </c>
      <c r="AM147" s="212" t="e">
        <v>#REF!</v>
      </c>
      <c r="AN147" s="212" t="e">
        <v>#REF!</v>
      </c>
      <c r="AO147" s="212" t="e">
        <v>#REF!</v>
      </c>
    </row>
    <row r="148" spans="2:41" s="280" customFormat="1">
      <c r="B148" s="316" t="s">
        <v>1456</v>
      </c>
      <c r="C148" s="281" t="s">
        <v>221</v>
      </c>
      <c r="D148" s="317" t="s">
        <v>72</v>
      </c>
      <c r="F148" s="281"/>
      <c r="G148" s="212" t="e">
        <v>#REF!</v>
      </c>
      <c r="H148" s="212" t="e">
        <v>#REF!</v>
      </c>
      <c r="I148" s="212" t="e">
        <v>#REF!</v>
      </c>
      <c r="J148" s="212" t="e">
        <v>#REF!</v>
      </c>
      <c r="K148" s="212" t="e">
        <v>#REF!</v>
      </c>
      <c r="L148" s="212" t="e">
        <v>#REF!</v>
      </c>
      <c r="M148" s="212" t="e">
        <v>#REF!</v>
      </c>
      <c r="N148" s="212" t="e">
        <v>#REF!</v>
      </c>
      <c r="O148" s="212" t="e">
        <v>#REF!</v>
      </c>
      <c r="P148" s="212" t="e">
        <v>#REF!</v>
      </c>
      <c r="Q148" s="212" t="e">
        <v>#REF!</v>
      </c>
      <c r="R148" s="212" t="e">
        <v>#REF!</v>
      </c>
      <c r="S148" s="212" t="e">
        <v>#REF!</v>
      </c>
      <c r="T148" s="212" t="e">
        <v>#REF!</v>
      </c>
      <c r="U148" s="212" t="e">
        <v>#REF!</v>
      </c>
      <c r="V148" s="212" t="e">
        <v>#REF!</v>
      </c>
      <c r="W148" s="212" t="e">
        <v>#REF!</v>
      </c>
      <c r="X148" s="212" t="e">
        <v>#REF!</v>
      </c>
      <c r="Y148" s="212" t="e">
        <v>#REF!</v>
      </c>
      <c r="Z148" s="212" t="e">
        <v>#REF!</v>
      </c>
      <c r="AF148" s="212" t="e">
        <v>#REF!</v>
      </c>
      <c r="AG148" s="212" t="e">
        <v>#REF!</v>
      </c>
      <c r="AH148" s="212" t="e">
        <v>#REF!</v>
      </c>
      <c r="AI148" s="212" t="e">
        <v>#REF!</v>
      </c>
      <c r="AJ148" s="212" t="e">
        <v>#REF!</v>
      </c>
      <c r="AK148" s="212" t="e">
        <v>#REF!</v>
      </c>
      <c r="AL148" s="212" t="e">
        <v>#REF!</v>
      </c>
      <c r="AM148" s="212" t="e">
        <v>#REF!</v>
      </c>
      <c r="AN148" s="212" t="e">
        <v>#REF!</v>
      </c>
      <c r="AO148" s="212" t="e">
        <v>#REF!</v>
      </c>
    </row>
    <row r="149" spans="2:41" s="280" customFormat="1">
      <c r="B149" s="316" t="s">
        <v>1457</v>
      </c>
      <c r="C149" s="281" t="s">
        <v>164</v>
      </c>
      <c r="D149" s="317" t="s">
        <v>72</v>
      </c>
      <c r="F149" s="281"/>
      <c r="G149" s="212" t="e">
        <v>#REF!</v>
      </c>
      <c r="H149" s="212" t="e">
        <v>#REF!</v>
      </c>
      <c r="I149" s="212" t="e">
        <v>#REF!</v>
      </c>
      <c r="J149" s="212" t="e">
        <v>#REF!</v>
      </c>
      <c r="K149" s="212" t="e">
        <v>#REF!</v>
      </c>
      <c r="L149" s="212" t="e">
        <v>#REF!</v>
      </c>
      <c r="M149" s="212" t="e">
        <v>#REF!</v>
      </c>
      <c r="N149" s="212" t="e">
        <v>#REF!</v>
      </c>
      <c r="O149" s="212" t="e">
        <v>#REF!</v>
      </c>
      <c r="P149" s="212" t="e">
        <v>#REF!</v>
      </c>
      <c r="Q149" s="212" t="e">
        <v>#REF!</v>
      </c>
      <c r="R149" s="212" t="e">
        <v>#REF!</v>
      </c>
      <c r="S149" s="212" t="e">
        <v>#REF!</v>
      </c>
      <c r="T149" s="212" t="e">
        <v>#REF!</v>
      </c>
      <c r="U149" s="212" t="e">
        <v>#REF!</v>
      </c>
      <c r="V149" s="212" t="e">
        <v>#REF!</v>
      </c>
      <c r="W149" s="212" t="e">
        <v>#REF!</v>
      </c>
      <c r="X149" s="212" t="e">
        <v>#REF!</v>
      </c>
      <c r="Y149" s="212" t="e">
        <v>#REF!</v>
      </c>
      <c r="Z149" s="212" t="e">
        <v>#REF!</v>
      </c>
      <c r="AF149" s="212" t="e">
        <v>#REF!</v>
      </c>
      <c r="AG149" s="212" t="e">
        <v>#REF!</v>
      </c>
      <c r="AH149" s="212" t="e">
        <v>#REF!</v>
      </c>
      <c r="AI149" s="212" t="e">
        <v>#REF!</v>
      </c>
      <c r="AJ149" s="212" t="e">
        <v>#REF!</v>
      </c>
      <c r="AK149" s="212" t="e">
        <v>#REF!</v>
      </c>
      <c r="AL149" s="212" t="e">
        <v>#REF!</v>
      </c>
      <c r="AM149" s="212" t="e">
        <v>#REF!</v>
      </c>
      <c r="AN149" s="212" t="e">
        <v>#REF!</v>
      </c>
      <c r="AO149" s="212" t="e">
        <v>#REF!</v>
      </c>
    </row>
    <row r="150" spans="2:41" s="280" customFormat="1">
      <c r="B150" s="316" t="s">
        <v>1458</v>
      </c>
      <c r="C150" s="281" t="s">
        <v>1415</v>
      </c>
      <c r="D150" s="317" t="s">
        <v>72</v>
      </c>
      <c r="F150" s="281"/>
      <c r="G150" s="212" t="e">
        <v>#REF!</v>
      </c>
      <c r="H150" s="212" t="e">
        <v>#REF!</v>
      </c>
      <c r="I150" s="212" t="e">
        <v>#REF!</v>
      </c>
      <c r="J150" s="212" t="e">
        <v>#REF!</v>
      </c>
      <c r="K150" s="212" t="e">
        <v>#REF!</v>
      </c>
      <c r="L150" s="212" t="e">
        <v>#REF!</v>
      </c>
      <c r="M150" s="212" t="e">
        <v>#REF!</v>
      </c>
      <c r="N150" s="212" t="e">
        <v>#REF!</v>
      </c>
      <c r="O150" s="212" t="e">
        <v>#REF!</v>
      </c>
      <c r="P150" s="212" t="e">
        <v>#REF!</v>
      </c>
      <c r="Q150" s="212" t="e">
        <v>#REF!</v>
      </c>
      <c r="R150" s="212" t="e">
        <v>#REF!</v>
      </c>
      <c r="S150" s="212" t="e">
        <v>#REF!</v>
      </c>
      <c r="T150" s="212" t="e">
        <v>#REF!</v>
      </c>
      <c r="U150" s="212" t="e">
        <v>#REF!</v>
      </c>
      <c r="V150" s="212" t="e">
        <v>#REF!</v>
      </c>
      <c r="W150" s="212" t="e">
        <v>#REF!</v>
      </c>
      <c r="X150" s="212" t="e">
        <v>#REF!</v>
      </c>
      <c r="Y150" s="212" t="e">
        <v>#REF!</v>
      </c>
      <c r="Z150" s="212" t="e">
        <v>#REF!</v>
      </c>
      <c r="AF150" s="212" t="e">
        <v>#REF!</v>
      </c>
      <c r="AG150" s="212" t="e">
        <v>#REF!</v>
      </c>
      <c r="AH150" s="212" t="e">
        <v>#REF!</v>
      </c>
      <c r="AI150" s="212" t="e">
        <v>#REF!</v>
      </c>
      <c r="AJ150" s="212" t="e">
        <v>#REF!</v>
      </c>
      <c r="AK150" s="212" t="e">
        <v>#REF!</v>
      </c>
      <c r="AL150" s="212" t="e">
        <v>#REF!</v>
      </c>
      <c r="AM150" s="212" t="e">
        <v>#REF!</v>
      </c>
      <c r="AN150" s="212" t="e">
        <v>#REF!</v>
      </c>
      <c r="AO150" s="212" t="e">
        <v>#REF!</v>
      </c>
    </row>
    <row r="151" spans="2:41" s="280" customFormat="1"/>
    <row r="152" spans="2:41" s="280" customFormat="1">
      <c r="C152" s="279" t="s">
        <v>129</v>
      </c>
    </row>
    <row r="153" spans="2:41" s="280" customFormat="1">
      <c r="B153" s="316" t="s">
        <v>1459</v>
      </c>
      <c r="C153" s="281" t="s">
        <v>130</v>
      </c>
      <c r="D153" s="317" t="s">
        <v>72</v>
      </c>
      <c r="F153" s="281"/>
      <c r="G153" s="212">
        <v>0</v>
      </c>
      <c r="H153" s="212">
        <v>0</v>
      </c>
      <c r="I153" s="212">
        <v>17.3</v>
      </c>
      <c r="J153" s="212">
        <v>14.7</v>
      </c>
      <c r="K153" s="212">
        <v>15.4</v>
      </c>
      <c r="L153" s="212">
        <v>14.9</v>
      </c>
      <c r="M153" s="212">
        <v>11.8</v>
      </c>
      <c r="N153" s="212">
        <v>8.5</v>
      </c>
      <c r="O153" s="212">
        <v>0</v>
      </c>
      <c r="P153" s="212">
        <v>0</v>
      </c>
      <c r="Q153" s="212">
        <v>0</v>
      </c>
      <c r="R153" s="212">
        <v>0</v>
      </c>
      <c r="S153" s="212">
        <v>0</v>
      </c>
      <c r="T153" s="212">
        <v>0</v>
      </c>
      <c r="U153" s="212">
        <v>0</v>
      </c>
      <c r="V153" s="212">
        <v>0</v>
      </c>
      <c r="W153" s="212">
        <v>0</v>
      </c>
      <c r="X153" s="212">
        <v>0</v>
      </c>
      <c r="Y153" s="212">
        <v>0</v>
      </c>
      <c r="Z153" s="212">
        <v>0</v>
      </c>
      <c r="AF153" s="212">
        <v>0</v>
      </c>
      <c r="AG153" s="212">
        <v>32</v>
      </c>
      <c r="AH153" s="212">
        <v>30.3</v>
      </c>
      <c r="AI153" s="212">
        <v>20.3</v>
      </c>
      <c r="AJ153" s="212">
        <v>0</v>
      </c>
      <c r="AK153" s="212">
        <v>0</v>
      </c>
      <c r="AL153" s="212">
        <v>0</v>
      </c>
      <c r="AM153" s="212">
        <v>0</v>
      </c>
      <c r="AN153" s="212">
        <v>0</v>
      </c>
      <c r="AO153" s="212">
        <v>0</v>
      </c>
    </row>
    <row r="154" spans="2:41" s="280" customFormat="1">
      <c r="B154" s="316" t="s">
        <v>1460</v>
      </c>
      <c r="C154" s="281" t="s">
        <v>135</v>
      </c>
      <c r="D154" s="317" t="s">
        <v>72</v>
      </c>
      <c r="F154" s="281"/>
      <c r="G154" s="212">
        <v>7.5</v>
      </c>
      <c r="H154" s="212">
        <v>5.6</v>
      </c>
      <c r="I154" s="212">
        <v>9.3000000000000007</v>
      </c>
      <c r="J154" s="212">
        <v>7.5999999999999979</v>
      </c>
      <c r="K154" s="212">
        <v>7.9</v>
      </c>
      <c r="L154" s="212">
        <v>7.5</v>
      </c>
      <c r="M154" s="212">
        <v>5.6</v>
      </c>
      <c r="N154" s="212">
        <v>3.7000000000000011</v>
      </c>
      <c r="O154" s="212">
        <v>2.1</v>
      </c>
      <c r="P154" s="212">
        <v>2.1</v>
      </c>
      <c r="Q154" s="212">
        <v>2.1</v>
      </c>
      <c r="R154" s="212">
        <v>2.1</v>
      </c>
      <c r="S154" s="212">
        <v>5</v>
      </c>
      <c r="T154" s="212">
        <v>10</v>
      </c>
      <c r="U154" s="212">
        <v>11</v>
      </c>
      <c r="V154" s="212">
        <v>12</v>
      </c>
      <c r="W154" s="212">
        <v>13.2</v>
      </c>
      <c r="X154" s="212">
        <v>14.4</v>
      </c>
      <c r="Y154" s="212">
        <v>15.84</v>
      </c>
      <c r="Z154" s="212">
        <v>17.28</v>
      </c>
      <c r="AF154" s="212">
        <v>13.1</v>
      </c>
      <c r="AG154" s="212">
        <v>16.899999999999999</v>
      </c>
      <c r="AH154" s="212">
        <v>15.4</v>
      </c>
      <c r="AI154" s="212">
        <v>9.3000000000000007</v>
      </c>
      <c r="AJ154" s="212">
        <v>4.2</v>
      </c>
      <c r="AK154" s="212">
        <v>4.2</v>
      </c>
      <c r="AL154" s="212">
        <v>15</v>
      </c>
      <c r="AM154" s="212">
        <v>23</v>
      </c>
      <c r="AN154" s="212">
        <v>27.6</v>
      </c>
      <c r="AO154" s="212">
        <v>33.119999999999997</v>
      </c>
    </row>
    <row r="155" spans="2:41" s="280" customFormat="1">
      <c r="B155" s="316" t="s">
        <v>1461</v>
      </c>
      <c r="C155" s="281" t="s">
        <v>136</v>
      </c>
      <c r="D155" s="317" t="s">
        <v>72</v>
      </c>
      <c r="F155" s="281"/>
      <c r="G155" s="212">
        <v>-2.1</v>
      </c>
      <c r="H155" s="212">
        <v>-2</v>
      </c>
      <c r="I155" s="212">
        <v>-2.2999999999999998</v>
      </c>
      <c r="J155" s="212">
        <v>-1.8</v>
      </c>
      <c r="K155" s="212">
        <v>-2.2000000000000002</v>
      </c>
      <c r="L155" s="212">
        <v>-2.399999999999999</v>
      </c>
      <c r="M155" s="212">
        <v>-2.6</v>
      </c>
      <c r="N155" s="212">
        <v>-3.2</v>
      </c>
      <c r="O155" s="212">
        <v>-3.2</v>
      </c>
      <c r="P155" s="212">
        <v>-3.2</v>
      </c>
      <c r="Q155" s="212">
        <v>-4</v>
      </c>
      <c r="R155" s="212">
        <v>-5</v>
      </c>
      <c r="S155" s="212">
        <v>-5</v>
      </c>
      <c r="T155" s="212">
        <v>-5</v>
      </c>
      <c r="U155" s="212">
        <v>-5</v>
      </c>
      <c r="V155" s="212">
        <v>-5</v>
      </c>
      <c r="W155" s="212">
        <v>-6.6</v>
      </c>
      <c r="X155" s="212">
        <v>-7.1999999999999993</v>
      </c>
      <c r="Y155" s="212">
        <v>-7.919999999999999</v>
      </c>
      <c r="Z155" s="212">
        <v>-8.6399999999999988</v>
      </c>
      <c r="AF155" s="212">
        <v>-4.0999999999999996</v>
      </c>
      <c r="AG155" s="212">
        <v>-4.0999999999999996</v>
      </c>
      <c r="AH155" s="212">
        <v>-4.5999999999999996</v>
      </c>
      <c r="AI155" s="212">
        <v>-5.8</v>
      </c>
      <c r="AJ155" s="212">
        <v>-6.4</v>
      </c>
      <c r="AK155" s="212">
        <v>-9</v>
      </c>
      <c r="AL155" s="212">
        <v>-10</v>
      </c>
      <c r="AM155" s="212">
        <v>-10</v>
      </c>
      <c r="AN155" s="212">
        <v>-13.8</v>
      </c>
      <c r="AO155" s="212">
        <v>-16.559999999999999</v>
      </c>
    </row>
    <row r="156" spans="2:41" s="280" customFormat="1">
      <c r="B156" s="316" t="s">
        <v>1462</v>
      </c>
      <c r="C156" s="281" t="s">
        <v>26</v>
      </c>
      <c r="D156" s="317" t="s">
        <v>72</v>
      </c>
      <c r="F156" s="281"/>
      <c r="G156" s="212">
        <v>5.4</v>
      </c>
      <c r="H156" s="212">
        <v>3.6999999999999988</v>
      </c>
      <c r="I156" s="212">
        <v>7</v>
      </c>
      <c r="J156" s="212">
        <v>5.9</v>
      </c>
      <c r="K156" s="212">
        <v>5.6</v>
      </c>
      <c r="L156" s="212">
        <v>5.0999999999999996</v>
      </c>
      <c r="M156" s="212">
        <v>3</v>
      </c>
      <c r="N156" s="212">
        <v>0.60000000000000009</v>
      </c>
      <c r="O156" s="212">
        <v>-1.1000000000000001</v>
      </c>
      <c r="P156" s="212">
        <v>-1.1000000000000001</v>
      </c>
      <c r="Q156" s="212">
        <v>-1.9</v>
      </c>
      <c r="R156" s="212">
        <v>-2.9</v>
      </c>
      <c r="S156" s="212">
        <v>0</v>
      </c>
      <c r="T156" s="212">
        <v>5</v>
      </c>
      <c r="U156" s="212">
        <v>6</v>
      </c>
      <c r="V156" s="212">
        <v>7</v>
      </c>
      <c r="W156" s="212">
        <v>6.6</v>
      </c>
      <c r="X156" s="212">
        <v>7.1999999999999993</v>
      </c>
      <c r="Y156" s="212">
        <v>7.919999999999999</v>
      </c>
      <c r="Z156" s="212">
        <v>8.6399999999999988</v>
      </c>
      <c r="AF156" s="212">
        <v>9.1</v>
      </c>
      <c r="AG156" s="212">
        <v>12.9</v>
      </c>
      <c r="AH156" s="212">
        <v>10.7</v>
      </c>
      <c r="AI156" s="212">
        <v>3.6</v>
      </c>
      <c r="AJ156" s="212">
        <v>-2.2000000000000002</v>
      </c>
      <c r="AK156" s="212">
        <v>-4.8</v>
      </c>
      <c r="AL156" s="212">
        <v>5</v>
      </c>
      <c r="AM156" s="212">
        <v>13</v>
      </c>
      <c r="AN156" s="212">
        <v>13.8</v>
      </c>
      <c r="AO156" s="212">
        <v>16.559999999999999</v>
      </c>
    </row>
    <row r="157" spans="2:41" s="280" customFormat="1">
      <c r="B157" s="316" t="s">
        <v>1463</v>
      </c>
      <c r="C157" s="281" t="s">
        <v>139</v>
      </c>
      <c r="D157" s="317" t="s">
        <v>72</v>
      </c>
      <c r="F157" s="281"/>
      <c r="G157" s="212">
        <v>5.4</v>
      </c>
      <c r="H157" s="212">
        <v>3.6999999999999988</v>
      </c>
      <c r="I157" s="212">
        <v>7</v>
      </c>
      <c r="J157" s="212">
        <v>5.9</v>
      </c>
      <c r="K157" s="212">
        <v>6</v>
      </c>
      <c r="L157" s="212">
        <v>5.8000000000000007</v>
      </c>
      <c r="M157" s="212">
        <v>5.9</v>
      </c>
      <c r="N157" s="212">
        <v>5.9</v>
      </c>
      <c r="O157" s="212">
        <v>0</v>
      </c>
      <c r="P157" s="212">
        <v>0</v>
      </c>
      <c r="Q157" s="212">
        <v>0</v>
      </c>
      <c r="R157" s="212">
        <v>0</v>
      </c>
      <c r="S157" s="212">
        <v>0</v>
      </c>
      <c r="T157" s="212">
        <v>0</v>
      </c>
      <c r="U157" s="212">
        <v>0</v>
      </c>
      <c r="V157" s="212">
        <v>0</v>
      </c>
      <c r="W157" s="212">
        <v>0</v>
      </c>
      <c r="X157" s="212">
        <v>0</v>
      </c>
      <c r="Y157" s="212">
        <v>0</v>
      </c>
      <c r="Z157" s="212">
        <v>0</v>
      </c>
      <c r="AF157" s="212">
        <v>9.1</v>
      </c>
      <c r="AG157" s="212">
        <v>12.9</v>
      </c>
      <c r="AH157" s="212">
        <v>11.8</v>
      </c>
      <c r="AI157" s="212">
        <v>11.8</v>
      </c>
      <c r="AJ157" s="212">
        <v>0</v>
      </c>
      <c r="AK157" s="212">
        <v>0</v>
      </c>
      <c r="AL157" s="212">
        <v>0</v>
      </c>
      <c r="AM157" s="212">
        <v>0</v>
      </c>
      <c r="AN157" s="212">
        <v>0</v>
      </c>
      <c r="AO157" s="212">
        <v>0</v>
      </c>
    </row>
    <row r="158" spans="2:41" s="280" customFormat="1"/>
    <row r="159" spans="2:41" s="280" customFormat="1">
      <c r="C159" s="279" t="s">
        <v>1416</v>
      </c>
    </row>
    <row r="160" spans="2:41" s="280" customFormat="1">
      <c r="B160" s="316" t="s">
        <v>1464</v>
      </c>
      <c r="C160" s="281" t="s">
        <v>70</v>
      </c>
      <c r="D160" s="317" t="s">
        <v>72</v>
      </c>
      <c r="F160" s="281"/>
      <c r="G160" s="212" t="e">
        <v>#REF!</v>
      </c>
      <c r="H160" s="212" t="e">
        <v>#REF!</v>
      </c>
      <c r="I160" s="212" t="e">
        <v>#REF!</v>
      </c>
      <c r="J160" s="212" t="e">
        <v>#REF!</v>
      </c>
      <c r="K160" s="212" t="e">
        <v>#REF!</v>
      </c>
      <c r="L160" s="212" t="e">
        <v>#REF!</v>
      </c>
      <c r="M160" s="212" t="e">
        <v>#REF!</v>
      </c>
      <c r="N160" s="212" t="e">
        <v>#REF!</v>
      </c>
      <c r="O160" s="212" t="e">
        <v>#REF!</v>
      </c>
      <c r="P160" s="212" t="e">
        <v>#REF!</v>
      </c>
      <c r="Q160" s="212" t="e">
        <v>#REF!</v>
      </c>
      <c r="R160" s="212" t="e">
        <v>#REF!</v>
      </c>
      <c r="S160" s="212" t="e">
        <v>#REF!</v>
      </c>
      <c r="T160" s="212" t="e">
        <v>#REF!</v>
      </c>
      <c r="U160" s="212" t="e">
        <v>#REF!</v>
      </c>
      <c r="V160" s="212" t="e">
        <v>#REF!</v>
      </c>
      <c r="W160" s="212" t="e">
        <v>#REF!</v>
      </c>
      <c r="X160" s="212" t="e">
        <v>#REF!</v>
      </c>
      <c r="Y160" s="212" t="e">
        <v>#REF!</v>
      </c>
      <c r="Z160" s="212" t="e">
        <v>#REF!</v>
      </c>
      <c r="AF160" s="212" t="e">
        <v>#REF!</v>
      </c>
      <c r="AG160" s="212" t="e">
        <v>#REF!</v>
      </c>
      <c r="AH160" s="212" t="e">
        <v>#REF!</v>
      </c>
      <c r="AI160" s="212" t="e">
        <v>#REF!</v>
      </c>
      <c r="AJ160" s="212" t="e">
        <v>#REF!</v>
      </c>
      <c r="AK160" s="212" t="e">
        <v>#REF!</v>
      </c>
      <c r="AL160" s="212" t="e">
        <v>#REF!</v>
      </c>
      <c r="AM160" s="212" t="e">
        <v>#REF!</v>
      </c>
      <c r="AN160" s="212" t="e">
        <v>#REF!</v>
      </c>
      <c r="AO160" s="212" t="e">
        <v>#REF!</v>
      </c>
    </row>
    <row r="161" spans="2:41" s="280" customFormat="1">
      <c r="B161" s="316" t="s">
        <v>1465</v>
      </c>
      <c r="C161" s="281" t="s">
        <v>1284</v>
      </c>
      <c r="D161" s="317" t="s">
        <v>72</v>
      </c>
      <c r="F161" s="281"/>
      <c r="G161" s="212" t="e">
        <v>#REF!</v>
      </c>
      <c r="H161" s="212" t="e">
        <v>#REF!</v>
      </c>
      <c r="I161" s="212" t="e">
        <v>#REF!</v>
      </c>
      <c r="J161" s="212" t="e">
        <v>#REF!</v>
      </c>
      <c r="K161" s="212" t="e">
        <v>#REF!</v>
      </c>
      <c r="L161" s="212" t="e">
        <v>#REF!</v>
      </c>
      <c r="M161" s="212" t="e">
        <v>#REF!</v>
      </c>
      <c r="N161" s="212" t="e">
        <v>#REF!</v>
      </c>
      <c r="O161" s="212" t="e">
        <v>#REF!</v>
      </c>
      <c r="P161" s="212" t="e">
        <v>#REF!</v>
      </c>
      <c r="Q161" s="212" t="e">
        <v>#REF!</v>
      </c>
      <c r="R161" s="212" t="e">
        <v>#REF!</v>
      </c>
      <c r="S161" s="212" t="e">
        <v>#REF!</v>
      </c>
      <c r="T161" s="212" t="e">
        <v>#REF!</v>
      </c>
      <c r="U161" s="212" t="e">
        <v>#REF!</v>
      </c>
      <c r="V161" s="212" t="e">
        <v>#REF!</v>
      </c>
      <c r="W161" s="212" t="e">
        <v>#REF!</v>
      </c>
      <c r="X161" s="212" t="e">
        <v>#REF!</v>
      </c>
      <c r="Y161" s="212" t="e">
        <v>#REF!</v>
      </c>
      <c r="Z161" s="212" t="e">
        <v>#REF!</v>
      </c>
      <c r="AF161" s="212" t="e">
        <v>#REF!</v>
      </c>
      <c r="AG161" s="212" t="e">
        <v>#REF!</v>
      </c>
      <c r="AH161" s="212" t="e">
        <v>#REF!</v>
      </c>
      <c r="AI161" s="212" t="e">
        <v>#REF!</v>
      </c>
      <c r="AJ161" s="212" t="e">
        <v>#REF!</v>
      </c>
      <c r="AK161" s="212" t="e">
        <v>#REF!</v>
      </c>
      <c r="AL161" s="212" t="e">
        <v>#REF!</v>
      </c>
      <c r="AM161" s="212" t="e">
        <v>#REF!</v>
      </c>
      <c r="AN161" s="212" t="e">
        <v>#REF!</v>
      </c>
      <c r="AO161" s="212" t="e">
        <v>#REF!</v>
      </c>
    </row>
    <row r="162" spans="2:41" s="280" customFormat="1">
      <c r="B162" s="316" t="s">
        <v>1466</v>
      </c>
      <c r="C162" s="281" t="s">
        <v>1417</v>
      </c>
      <c r="D162" s="317" t="s">
        <v>72</v>
      </c>
      <c r="F162" s="281"/>
      <c r="G162" s="212" t="e">
        <v>#REF!</v>
      </c>
      <c r="H162" s="212" t="e">
        <v>#REF!</v>
      </c>
      <c r="I162" s="212" t="e">
        <v>#REF!</v>
      </c>
      <c r="J162" s="212" t="e">
        <v>#REF!</v>
      </c>
      <c r="K162" s="212" t="e">
        <v>#REF!</v>
      </c>
      <c r="L162" s="212" t="e">
        <v>#REF!</v>
      </c>
      <c r="M162" s="212" t="e">
        <v>#REF!</v>
      </c>
      <c r="N162" s="212" t="e">
        <v>#REF!</v>
      </c>
      <c r="O162" s="212" t="e">
        <v>#REF!</v>
      </c>
      <c r="P162" s="212" t="e">
        <v>#REF!</v>
      </c>
      <c r="Q162" s="212" t="e">
        <v>#REF!</v>
      </c>
      <c r="R162" s="212" t="e">
        <v>#REF!</v>
      </c>
      <c r="S162" s="212" t="e">
        <v>#REF!</v>
      </c>
      <c r="T162" s="212" t="e">
        <v>#REF!</v>
      </c>
      <c r="U162" s="212" t="e">
        <v>#REF!</v>
      </c>
      <c r="V162" s="212" t="e">
        <v>#REF!</v>
      </c>
      <c r="W162" s="212" t="e">
        <v>#REF!</v>
      </c>
      <c r="X162" s="212" t="e">
        <v>#REF!</v>
      </c>
      <c r="Y162" s="212" t="e">
        <v>#REF!</v>
      </c>
      <c r="Z162" s="212" t="e">
        <v>#REF!</v>
      </c>
      <c r="AF162" s="212" t="e">
        <v>#REF!</v>
      </c>
      <c r="AG162" s="212" t="e">
        <v>#REF!</v>
      </c>
      <c r="AH162" s="212" t="e">
        <v>#REF!</v>
      </c>
      <c r="AI162" s="212" t="e">
        <v>#REF!</v>
      </c>
      <c r="AJ162" s="212" t="e">
        <v>#REF!</v>
      </c>
      <c r="AK162" s="212" t="e">
        <v>#REF!</v>
      </c>
      <c r="AL162" s="212" t="e">
        <v>#REF!</v>
      </c>
      <c r="AM162" s="212" t="e">
        <v>#REF!</v>
      </c>
      <c r="AN162" s="212" t="e">
        <v>#REF!</v>
      </c>
      <c r="AO162" s="212" t="e">
        <v>#REF!</v>
      </c>
    </row>
    <row r="163" spans="2:41" s="280" customFormat="1">
      <c r="B163" s="316" t="s">
        <v>1467</v>
      </c>
      <c r="C163" s="281" t="s">
        <v>1418</v>
      </c>
      <c r="D163" s="317" t="s">
        <v>72</v>
      </c>
      <c r="F163" s="281"/>
      <c r="G163" s="212" t="e">
        <v>#REF!</v>
      </c>
      <c r="H163" s="212" t="e">
        <v>#REF!</v>
      </c>
      <c r="I163" s="212" t="e">
        <v>#REF!</v>
      </c>
      <c r="J163" s="212" t="e">
        <v>#REF!</v>
      </c>
      <c r="K163" s="212" t="e">
        <v>#REF!</v>
      </c>
      <c r="L163" s="212" t="e">
        <v>#REF!</v>
      </c>
      <c r="M163" s="212" t="e">
        <v>#REF!</v>
      </c>
      <c r="N163" s="212" t="e">
        <v>#REF!</v>
      </c>
      <c r="O163" s="212" t="e">
        <v>#REF!</v>
      </c>
      <c r="P163" s="212" t="e">
        <v>#REF!</v>
      </c>
      <c r="Q163" s="212" t="e">
        <v>#REF!</v>
      </c>
      <c r="R163" s="212" t="e">
        <v>#REF!</v>
      </c>
      <c r="S163" s="212" t="e">
        <v>#REF!</v>
      </c>
      <c r="T163" s="212" t="e">
        <v>#REF!</v>
      </c>
      <c r="U163" s="212" t="e">
        <v>#REF!</v>
      </c>
      <c r="V163" s="212" t="e">
        <v>#REF!</v>
      </c>
      <c r="W163" s="212" t="e">
        <v>#REF!</v>
      </c>
      <c r="X163" s="212" t="e">
        <v>#REF!</v>
      </c>
      <c r="Y163" s="212" t="e">
        <v>#REF!</v>
      </c>
      <c r="Z163" s="212" t="e">
        <v>#REF!</v>
      </c>
      <c r="AF163" s="212" t="e">
        <v>#REF!</v>
      </c>
      <c r="AG163" s="212" t="e">
        <v>#REF!</v>
      </c>
      <c r="AH163" s="212" t="e">
        <v>#REF!</v>
      </c>
      <c r="AI163" s="212" t="e">
        <v>#REF!</v>
      </c>
      <c r="AJ163" s="212" t="e">
        <v>#REF!</v>
      </c>
      <c r="AK163" s="212" t="e">
        <v>#REF!</v>
      </c>
      <c r="AL163" s="212" t="e">
        <v>#REF!</v>
      </c>
      <c r="AM163" s="212" t="e">
        <v>#REF!</v>
      </c>
      <c r="AN163" s="212" t="e">
        <v>#REF!</v>
      </c>
      <c r="AO163" s="212" t="e">
        <v>#REF!</v>
      </c>
    </row>
    <row r="164" spans="2:41" s="280" customFormat="1">
      <c r="B164" s="316" t="s">
        <v>1468</v>
      </c>
      <c r="C164" s="281" t="s">
        <v>1419</v>
      </c>
      <c r="D164" s="317" t="s">
        <v>72</v>
      </c>
      <c r="F164" s="281"/>
      <c r="G164" s="212" t="e">
        <v>#REF!</v>
      </c>
      <c r="H164" s="212" t="e">
        <v>#REF!</v>
      </c>
      <c r="I164" s="212" t="e">
        <v>#REF!</v>
      </c>
      <c r="J164" s="212" t="e">
        <v>#REF!</v>
      </c>
      <c r="K164" s="212" t="e">
        <v>#REF!</v>
      </c>
      <c r="L164" s="212" t="e">
        <v>#REF!</v>
      </c>
      <c r="M164" s="212" t="e">
        <v>#REF!</v>
      </c>
      <c r="N164" s="212" t="e">
        <v>#REF!</v>
      </c>
      <c r="O164" s="212" t="e">
        <v>#REF!</v>
      </c>
      <c r="P164" s="212" t="e">
        <v>#REF!</v>
      </c>
      <c r="Q164" s="212" t="e">
        <v>#REF!</v>
      </c>
      <c r="R164" s="212" t="e">
        <v>#REF!</v>
      </c>
      <c r="S164" s="212" t="e">
        <v>#REF!</v>
      </c>
      <c r="T164" s="212" t="e">
        <v>#REF!</v>
      </c>
      <c r="U164" s="212" t="e">
        <v>#REF!</v>
      </c>
      <c r="V164" s="212" t="e">
        <v>#REF!</v>
      </c>
      <c r="W164" s="212" t="e">
        <v>#REF!</v>
      </c>
      <c r="X164" s="212" t="e">
        <v>#REF!</v>
      </c>
      <c r="Y164" s="212" t="e">
        <v>#REF!</v>
      </c>
      <c r="Z164" s="212" t="e">
        <v>#REF!</v>
      </c>
      <c r="AF164" s="212" t="e">
        <v>#REF!</v>
      </c>
      <c r="AG164" s="212" t="e">
        <v>#REF!</v>
      </c>
      <c r="AH164" s="212" t="e">
        <v>#REF!</v>
      </c>
      <c r="AI164" s="212" t="e">
        <v>#REF!</v>
      </c>
      <c r="AJ164" s="212" t="e">
        <v>#REF!</v>
      </c>
      <c r="AK164" s="212" t="e">
        <v>#REF!</v>
      </c>
      <c r="AL164" s="212" t="e">
        <v>#REF!</v>
      </c>
      <c r="AM164" s="212" t="e">
        <v>#REF!</v>
      </c>
      <c r="AN164" s="212" t="e">
        <v>#REF!</v>
      </c>
      <c r="AO164" s="212" t="e">
        <v>#REF!</v>
      </c>
    </row>
    <row r="165" spans="2:41" s="280" customFormat="1">
      <c r="B165" s="316" t="s">
        <v>1469</v>
      </c>
      <c r="C165" s="281" t="s">
        <v>149</v>
      </c>
      <c r="D165" s="317" t="s">
        <v>72</v>
      </c>
      <c r="F165" s="281"/>
      <c r="G165" s="212" t="e">
        <v>#REF!</v>
      </c>
      <c r="H165" s="212" t="e">
        <v>#REF!</v>
      </c>
      <c r="I165" s="212" t="e">
        <v>#REF!</v>
      </c>
      <c r="J165" s="212" t="e">
        <v>#REF!</v>
      </c>
      <c r="K165" s="212" t="e">
        <v>#REF!</v>
      </c>
      <c r="L165" s="212" t="e">
        <v>#REF!</v>
      </c>
      <c r="M165" s="212" t="e">
        <v>#REF!</v>
      </c>
      <c r="N165" s="212" t="e">
        <v>#REF!</v>
      </c>
      <c r="O165" s="212" t="e">
        <v>#REF!</v>
      </c>
      <c r="P165" s="212" t="e">
        <v>#REF!</v>
      </c>
      <c r="Q165" s="212" t="e">
        <v>#REF!</v>
      </c>
      <c r="R165" s="212" t="e">
        <v>#REF!</v>
      </c>
      <c r="S165" s="212" t="e">
        <v>#REF!</v>
      </c>
      <c r="T165" s="212" t="e">
        <v>#REF!</v>
      </c>
      <c r="U165" s="212" t="e">
        <v>#REF!</v>
      </c>
      <c r="V165" s="212" t="e">
        <v>#REF!</v>
      </c>
      <c r="W165" s="212" t="e">
        <v>#REF!</v>
      </c>
      <c r="X165" s="212" t="e">
        <v>#REF!</v>
      </c>
      <c r="Y165" s="212" t="e">
        <v>#REF!</v>
      </c>
      <c r="Z165" s="212" t="e">
        <v>#REF!</v>
      </c>
      <c r="AF165" s="212" t="e">
        <v>#REF!</v>
      </c>
      <c r="AG165" s="212" t="e">
        <v>#REF!</v>
      </c>
      <c r="AH165" s="212" t="e">
        <v>#REF!</v>
      </c>
      <c r="AI165" s="212" t="e">
        <v>#REF!</v>
      </c>
      <c r="AJ165" s="212" t="e">
        <v>#REF!</v>
      </c>
      <c r="AK165" s="212" t="e">
        <v>#REF!</v>
      </c>
      <c r="AL165" s="212" t="e">
        <v>#REF!</v>
      </c>
      <c r="AM165" s="212" t="e">
        <v>#REF!</v>
      </c>
      <c r="AN165" s="212" t="e">
        <v>#REF!</v>
      </c>
      <c r="AO165" s="212" t="e">
        <v>#REF!</v>
      </c>
    </row>
    <row r="166" spans="2:41" s="280" customFormat="1">
      <c r="B166" s="316" t="s">
        <v>1470</v>
      </c>
      <c r="C166" s="281" t="s">
        <v>1420</v>
      </c>
      <c r="D166" s="317" t="s">
        <v>72</v>
      </c>
      <c r="F166" s="281"/>
      <c r="G166" s="212" t="e">
        <v>#REF!</v>
      </c>
      <c r="H166" s="212" t="e">
        <v>#REF!</v>
      </c>
      <c r="I166" s="212" t="e">
        <v>#REF!</v>
      </c>
      <c r="J166" s="212" t="e">
        <v>#REF!</v>
      </c>
      <c r="K166" s="212" t="e">
        <v>#REF!</v>
      </c>
      <c r="L166" s="212" t="e">
        <v>#REF!</v>
      </c>
      <c r="M166" s="212" t="e">
        <v>#REF!</v>
      </c>
      <c r="N166" s="212" t="e">
        <v>#REF!</v>
      </c>
      <c r="O166" s="212" t="e">
        <v>#REF!</v>
      </c>
      <c r="P166" s="212" t="e">
        <v>#REF!</v>
      </c>
      <c r="Q166" s="212" t="e">
        <v>#REF!</v>
      </c>
      <c r="R166" s="212" t="e">
        <v>#REF!</v>
      </c>
      <c r="S166" s="212" t="e">
        <v>#REF!</v>
      </c>
      <c r="T166" s="212" t="e">
        <v>#REF!</v>
      </c>
      <c r="U166" s="212" t="e">
        <v>#REF!</v>
      </c>
      <c r="V166" s="212" t="e">
        <v>#REF!</v>
      </c>
      <c r="W166" s="212" t="e">
        <v>#REF!</v>
      </c>
      <c r="X166" s="212" t="e">
        <v>#REF!</v>
      </c>
      <c r="Y166" s="212" t="e">
        <v>#REF!</v>
      </c>
      <c r="Z166" s="212" t="e">
        <v>#REF!</v>
      </c>
      <c r="AF166" s="212" t="e">
        <v>#REF!</v>
      </c>
      <c r="AG166" s="212" t="e">
        <v>#REF!</v>
      </c>
      <c r="AH166" s="212" t="e">
        <v>#REF!</v>
      </c>
      <c r="AI166" s="212" t="e">
        <v>#REF!</v>
      </c>
      <c r="AJ166" s="212" t="e">
        <v>#REF!</v>
      </c>
      <c r="AK166" s="212" t="e">
        <v>#REF!</v>
      </c>
      <c r="AL166" s="212" t="e">
        <v>#REF!</v>
      </c>
      <c r="AM166" s="212" t="e">
        <v>#REF!</v>
      </c>
      <c r="AN166" s="212" t="e">
        <v>#REF!</v>
      </c>
      <c r="AO166" s="212" t="e">
        <v>#REF!</v>
      </c>
    </row>
    <row r="167" spans="2:41" s="280" customFormat="1">
      <c r="B167" s="316" t="s">
        <v>1471</v>
      </c>
      <c r="C167" s="281" t="s">
        <v>146</v>
      </c>
      <c r="D167" s="317" t="s">
        <v>72</v>
      </c>
      <c r="F167" s="281"/>
      <c r="G167" s="212" t="e">
        <v>#REF!</v>
      </c>
      <c r="H167" s="212" t="e">
        <v>#REF!</v>
      </c>
      <c r="I167" s="212" t="e">
        <v>#REF!</v>
      </c>
      <c r="J167" s="212" t="e">
        <v>#REF!</v>
      </c>
      <c r="K167" s="212" t="e">
        <v>#REF!</v>
      </c>
      <c r="L167" s="212" t="e">
        <v>#REF!</v>
      </c>
      <c r="M167" s="212" t="e">
        <v>#REF!</v>
      </c>
      <c r="N167" s="212" t="e">
        <v>#REF!</v>
      </c>
      <c r="O167" s="212" t="e">
        <v>#REF!</v>
      </c>
      <c r="P167" s="212" t="e">
        <v>#REF!</v>
      </c>
      <c r="Q167" s="212" t="e">
        <v>#REF!</v>
      </c>
      <c r="R167" s="212" t="e">
        <v>#REF!</v>
      </c>
      <c r="S167" s="212" t="e">
        <v>#REF!</v>
      </c>
      <c r="T167" s="212" t="e">
        <v>#REF!</v>
      </c>
      <c r="U167" s="212" t="e">
        <v>#REF!</v>
      </c>
      <c r="V167" s="212" t="e">
        <v>#REF!</v>
      </c>
      <c r="W167" s="212" t="e">
        <v>#REF!</v>
      </c>
      <c r="X167" s="212" t="e">
        <v>#REF!</v>
      </c>
      <c r="Y167" s="212" t="e">
        <v>#REF!</v>
      </c>
      <c r="Z167" s="212" t="e">
        <v>#REF!</v>
      </c>
      <c r="AF167" s="212" t="e">
        <v>#REF!</v>
      </c>
      <c r="AG167" s="212" t="e">
        <v>#REF!</v>
      </c>
      <c r="AH167" s="212" t="e">
        <v>#REF!</v>
      </c>
      <c r="AI167" s="212" t="e">
        <v>#REF!</v>
      </c>
      <c r="AJ167" s="212" t="e">
        <v>#REF!</v>
      </c>
      <c r="AK167" s="212" t="e">
        <v>#REF!</v>
      </c>
      <c r="AL167" s="212" t="e">
        <v>#REF!</v>
      </c>
      <c r="AM167" s="212" t="e">
        <v>#REF!</v>
      </c>
      <c r="AN167" s="212" t="e">
        <v>#REF!</v>
      </c>
      <c r="AO167" s="212" t="e">
        <v>#REF!</v>
      </c>
    </row>
    <row r="168" spans="2:41" s="280" customFormat="1"/>
    <row r="169" spans="2:41" s="280" customFormat="1">
      <c r="C169" s="279" t="s">
        <v>1421</v>
      </c>
    </row>
    <row r="170" spans="2:41" s="280" customFormat="1">
      <c r="B170" s="316" t="s">
        <v>1472</v>
      </c>
      <c r="C170" s="281" t="s">
        <v>70</v>
      </c>
      <c r="D170" s="317" t="s">
        <v>72</v>
      </c>
      <c r="F170" s="281"/>
      <c r="G170" s="212" t="e">
        <v>#REF!</v>
      </c>
      <c r="H170" s="212" t="e">
        <v>#REF!</v>
      </c>
      <c r="I170" s="212" t="e">
        <v>#REF!</v>
      </c>
      <c r="J170" s="212" t="e">
        <v>#REF!</v>
      </c>
      <c r="K170" s="212" t="e">
        <v>#REF!</v>
      </c>
      <c r="L170" s="212" t="e">
        <v>#REF!</v>
      </c>
      <c r="M170" s="212" t="e">
        <v>#REF!</v>
      </c>
      <c r="N170" s="212" t="e">
        <v>#REF!</v>
      </c>
      <c r="O170" s="212" t="e">
        <v>#REF!</v>
      </c>
      <c r="P170" s="212" t="e">
        <v>#REF!</v>
      </c>
      <c r="Q170" s="212" t="e">
        <v>#REF!</v>
      </c>
      <c r="R170" s="212" t="e">
        <v>#REF!</v>
      </c>
      <c r="S170" s="212" t="e">
        <v>#REF!</v>
      </c>
      <c r="T170" s="212" t="e">
        <v>#REF!</v>
      </c>
      <c r="U170" s="212" t="e">
        <v>#REF!</v>
      </c>
      <c r="V170" s="212" t="e">
        <v>#REF!</v>
      </c>
      <c r="W170" s="212" t="e">
        <v>#REF!</v>
      </c>
      <c r="X170" s="212" t="e">
        <v>#REF!</v>
      </c>
      <c r="Y170" s="212" t="e">
        <v>#REF!</v>
      </c>
      <c r="Z170" s="212" t="e">
        <v>#REF!</v>
      </c>
      <c r="AF170" s="212" t="e">
        <v>#REF!</v>
      </c>
      <c r="AG170" s="212" t="e">
        <v>#REF!</v>
      </c>
      <c r="AH170" s="212" t="e">
        <v>#REF!</v>
      </c>
      <c r="AI170" s="212" t="e">
        <v>#REF!</v>
      </c>
      <c r="AJ170" s="212" t="e">
        <v>#REF!</v>
      </c>
      <c r="AK170" s="212" t="e">
        <v>#REF!</v>
      </c>
      <c r="AL170" s="212" t="e">
        <v>#REF!</v>
      </c>
      <c r="AM170" s="212" t="e">
        <v>#REF!</v>
      </c>
      <c r="AN170" s="212" t="e">
        <v>#REF!</v>
      </c>
      <c r="AO170" s="212" t="e">
        <v>#REF!</v>
      </c>
    </row>
    <row r="171" spans="2:41" s="280" customFormat="1">
      <c r="B171" s="316" t="s">
        <v>1473</v>
      </c>
      <c r="C171" s="281" t="s">
        <v>1284</v>
      </c>
      <c r="D171" s="317" t="s">
        <v>72</v>
      </c>
      <c r="F171" s="281"/>
      <c r="G171" s="212" t="e">
        <v>#REF!</v>
      </c>
      <c r="H171" s="212" t="e">
        <v>#REF!</v>
      </c>
      <c r="I171" s="212" t="e">
        <v>#REF!</v>
      </c>
      <c r="J171" s="212" t="e">
        <v>#REF!</v>
      </c>
      <c r="K171" s="212" t="e">
        <v>#REF!</v>
      </c>
      <c r="L171" s="212" t="e">
        <v>#REF!</v>
      </c>
      <c r="M171" s="212" t="e">
        <v>#REF!</v>
      </c>
      <c r="N171" s="212" t="e">
        <v>#REF!</v>
      </c>
      <c r="O171" s="212" t="e">
        <v>#REF!</v>
      </c>
      <c r="P171" s="212" t="e">
        <v>#REF!</v>
      </c>
      <c r="Q171" s="212" t="e">
        <v>#REF!</v>
      </c>
      <c r="R171" s="212" t="e">
        <v>#REF!</v>
      </c>
      <c r="S171" s="212" t="e">
        <v>#REF!</v>
      </c>
      <c r="T171" s="212" t="e">
        <v>#REF!</v>
      </c>
      <c r="U171" s="212" t="e">
        <v>#REF!</v>
      </c>
      <c r="V171" s="212" t="e">
        <v>#REF!</v>
      </c>
      <c r="W171" s="212" t="e">
        <v>#REF!</v>
      </c>
      <c r="X171" s="212" t="e">
        <v>#REF!</v>
      </c>
      <c r="Y171" s="212" t="e">
        <v>#REF!</v>
      </c>
      <c r="Z171" s="212" t="e">
        <v>#REF!</v>
      </c>
      <c r="AF171" s="212" t="e">
        <v>#REF!</v>
      </c>
      <c r="AG171" s="212" t="e">
        <v>#REF!</v>
      </c>
      <c r="AH171" s="212" t="e">
        <v>#REF!</v>
      </c>
      <c r="AI171" s="212" t="e">
        <v>#REF!</v>
      </c>
      <c r="AJ171" s="212" t="e">
        <v>#REF!</v>
      </c>
      <c r="AK171" s="212" t="e">
        <v>#REF!</v>
      </c>
      <c r="AL171" s="212" t="e">
        <v>#REF!</v>
      </c>
      <c r="AM171" s="212" t="e">
        <v>#REF!</v>
      </c>
      <c r="AN171" s="212" t="e">
        <v>#REF!</v>
      </c>
      <c r="AO171" s="212" t="e">
        <v>#REF!</v>
      </c>
    </row>
    <row r="172" spans="2:41" s="280" customFormat="1">
      <c r="B172" s="316" t="s">
        <v>1474</v>
      </c>
      <c r="C172" s="281" t="s">
        <v>1417</v>
      </c>
      <c r="D172" s="317" t="s">
        <v>72</v>
      </c>
      <c r="F172" s="281"/>
      <c r="G172" s="212" t="e">
        <v>#REF!</v>
      </c>
      <c r="H172" s="212" t="e">
        <v>#REF!</v>
      </c>
      <c r="I172" s="212" t="e">
        <v>#REF!</v>
      </c>
      <c r="J172" s="212" t="e">
        <v>#REF!</v>
      </c>
      <c r="K172" s="212" t="e">
        <v>#REF!</v>
      </c>
      <c r="L172" s="212" t="e">
        <v>#REF!</v>
      </c>
      <c r="M172" s="212" t="e">
        <v>#REF!</v>
      </c>
      <c r="N172" s="212" t="e">
        <v>#REF!</v>
      </c>
      <c r="O172" s="212" t="e">
        <v>#REF!</v>
      </c>
      <c r="P172" s="212" t="e">
        <v>#REF!</v>
      </c>
      <c r="Q172" s="212" t="e">
        <v>#REF!</v>
      </c>
      <c r="R172" s="212" t="e">
        <v>#REF!</v>
      </c>
      <c r="S172" s="212" t="e">
        <v>#REF!</v>
      </c>
      <c r="T172" s="212" t="e">
        <v>#REF!</v>
      </c>
      <c r="U172" s="212" t="e">
        <v>#REF!</v>
      </c>
      <c r="V172" s="212" t="e">
        <v>#REF!</v>
      </c>
      <c r="W172" s="212" t="e">
        <v>#REF!</v>
      </c>
      <c r="X172" s="212" t="e">
        <v>#REF!</v>
      </c>
      <c r="Y172" s="212" t="e">
        <v>#REF!</v>
      </c>
      <c r="Z172" s="212" t="e">
        <v>#REF!</v>
      </c>
      <c r="AF172" s="212" t="e">
        <v>#REF!</v>
      </c>
      <c r="AG172" s="212" t="e">
        <v>#REF!</v>
      </c>
      <c r="AH172" s="212" t="e">
        <v>#REF!</v>
      </c>
      <c r="AI172" s="212" t="e">
        <v>#REF!</v>
      </c>
      <c r="AJ172" s="212" t="e">
        <v>#REF!</v>
      </c>
      <c r="AK172" s="212" t="e">
        <v>#REF!</v>
      </c>
      <c r="AL172" s="212" t="e">
        <v>#REF!</v>
      </c>
      <c r="AM172" s="212" t="e">
        <v>#REF!</v>
      </c>
      <c r="AN172" s="212" t="e">
        <v>#REF!</v>
      </c>
      <c r="AO172" s="212" t="e">
        <v>#REF!</v>
      </c>
    </row>
    <row r="173" spans="2:41" s="280" customFormat="1">
      <c r="B173" s="316" t="s">
        <v>1475</v>
      </c>
      <c r="C173" s="281" t="s">
        <v>1418</v>
      </c>
      <c r="D173" s="317" t="s">
        <v>72</v>
      </c>
      <c r="F173" s="281"/>
      <c r="G173" s="212" t="e">
        <v>#REF!</v>
      </c>
      <c r="H173" s="212" t="e">
        <v>#REF!</v>
      </c>
      <c r="I173" s="212" t="e">
        <v>#REF!</v>
      </c>
      <c r="J173" s="212" t="e">
        <v>#REF!</v>
      </c>
      <c r="K173" s="212" t="e">
        <v>#REF!</v>
      </c>
      <c r="L173" s="212" t="e">
        <v>#REF!</v>
      </c>
      <c r="M173" s="212" t="e">
        <v>#REF!</v>
      </c>
      <c r="N173" s="212" t="e">
        <v>#REF!</v>
      </c>
      <c r="O173" s="212" t="e">
        <v>#REF!</v>
      </c>
      <c r="P173" s="212" t="e">
        <v>#REF!</v>
      </c>
      <c r="Q173" s="212" t="e">
        <v>#REF!</v>
      </c>
      <c r="R173" s="212" t="e">
        <v>#REF!</v>
      </c>
      <c r="S173" s="212" t="e">
        <v>#REF!</v>
      </c>
      <c r="T173" s="212" t="e">
        <v>#REF!</v>
      </c>
      <c r="U173" s="212" t="e">
        <v>#REF!</v>
      </c>
      <c r="V173" s="212" t="e">
        <v>#REF!</v>
      </c>
      <c r="W173" s="212" t="e">
        <v>#REF!</v>
      </c>
      <c r="X173" s="212" t="e">
        <v>#REF!</v>
      </c>
      <c r="Y173" s="212" t="e">
        <v>#REF!</v>
      </c>
      <c r="Z173" s="212" t="e">
        <v>#REF!</v>
      </c>
      <c r="AF173" s="212" t="e">
        <v>#REF!</v>
      </c>
      <c r="AG173" s="212" t="e">
        <v>#REF!</v>
      </c>
      <c r="AH173" s="212" t="e">
        <v>#REF!</v>
      </c>
      <c r="AI173" s="212" t="e">
        <v>#REF!</v>
      </c>
      <c r="AJ173" s="212" t="e">
        <v>#REF!</v>
      </c>
      <c r="AK173" s="212" t="e">
        <v>#REF!</v>
      </c>
      <c r="AL173" s="212" t="e">
        <v>#REF!</v>
      </c>
      <c r="AM173" s="212" t="e">
        <v>#REF!</v>
      </c>
      <c r="AN173" s="212" t="e">
        <v>#REF!</v>
      </c>
      <c r="AO173" s="212" t="e">
        <v>#REF!</v>
      </c>
    </row>
    <row r="174" spans="2:41" s="280" customFormat="1">
      <c r="B174" s="316" t="s">
        <v>1476</v>
      </c>
      <c r="C174" s="281" t="s">
        <v>1419</v>
      </c>
      <c r="D174" s="317" t="s">
        <v>72</v>
      </c>
      <c r="F174" s="281"/>
      <c r="G174" s="212" t="e">
        <v>#REF!</v>
      </c>
      <c r="H174" s="212" t="e">
        <v>#REF!</v>
      </c>
      <c r="I174" s="212" t="e">
        <v>#REF!</v>
      </c>
      <c r="J174" s="212" t="e">
        <v>#REF!</v>
      </c>
      <c r="K174" s="212" t="e">
        <v>#REF!</v>
      </c>
      <c r="L174" s="212" t="e">
        <v>#REF!</v>
      </c>
      <c r="M174" s="212" t="e">
        <v>#REF!</v>
      </c>
      <c r="N174" s="212" t="e">
        <v>#REF!</v>
      </c>
      <c r="O174" s="212" t="e">
        <v>#REF!</v>
      </c>
      <c r="P174" s="212" t="e">
        <v>#REF!</v>
      </c>
      <c r="Q174" s="212" t="e">
        <v>#REF!</v>
      </c>
      <c r="R174" s="212" t="e">
        <v>#REF!</v>
      </c>
      <c r="S174" s="212" t="e">
        <v>#REF!</v>
      </c>
      <c r="T174" s="212" t="e">
        <v>#REF!</v>
      </c>
      <c r="U174" s="212" t="e">
        <v>#REF!</v>
      </c>
      <c r="V174" s="212" t="e">
        <v>#REF!</v>
      </c>
      <c r="W174" s="212" t="e">
        <v>#REF!</v>
      </c>
      <c r="X174" s="212" t="e">
        <v>#REF!</v>
      </c>
      <c r="Y174" s="212" t="e">
        <v>#REF!</v>
      </c>
      <c r="Z174" s="212" t="e">
        <v>#REF!</v>
      </c>
      <c r="AF174" s="212" t="e">
        <v>#REF!</v>
      </c>
      <c r="AG174" s="212" t="e">
        <v>#REF!</v>
      </c>
      <c r="AH174" s="212" t="e">
        <v>#REF!</v>
      </c>
      <c r="AI174" s="212" t="e">
        <v>#REF!</v>
      </c>
      <c r="AJ174" s="212" t="e">
        <v>#REF!</v>
      </c>
      <c r="AK174" s="212" t="e">
        <v>#REF!</v>
      </c>
      <c r="AL174" s="212" t="e">
        <v>#REF!</v>
      </c>
      <c r="AM174" s="212" t="e">
        <v>#REF!</v>
      </c>
      <c r="AN174" s="212" t="e">
        <v>#REF!</v>
      </c>
      <c r="AO174" s="212" t="e">
        <v>#REF!</v>
      </c>
    </row>
    <row r="175" spans="2:41" s="280" customFormat="1">
      <c r="B175" s="316" t="s">
        <v>1477</v>
      </c>
      <c r="C175" s="281" t="s">
        <v>149</v>
      </c>
      <c r="D175" s="317" t="s">
        <v>72</v>
      </c>
      <c r="F175" s="281"/>
      <c r="G175" s="212" t="e">
        <v>#REF!</v>
      </c>
      <c r="H175" s="212" t="e">
        <v>#REF!</v>
      </c>
      <c r="I175" s="212" t="e">
        <v>#REF!</v>
      </c>
      <c r="J175" s="212" t="e">
        <v>#REF!</v>
      </c>
      <c r="K175" s="212" t="e">
        <v>#REF!</v>
      </c>
      <c r="L175" s="212" t="e">
        <v>#REF!</v>
      </c>
      <c r="M175" s="212" t="e">
        <v>#REF!</v>
      </c>
      <c r="N175" s="212" t="e">
        <v>#REF!</v>
      </c>
      <c r="O175" s="212" t="e">
        <v>#REF!</v>
      </c>
      <c r="P175" s="212" t="e">
        <v>#REF!</v>
      </c>
      <c r="Q175" s="212" t="e">
        <v>#REF!</v>
      </c>
      <c r="R175" s="212" t="e">
        <v>#REF!</v>
      </c>
      <c r="S175" s="212" t="e">
        <v>#REF!</v>
      </c>
      <c r="T175" s="212" t="e">
        <v>#REF!</v>
      </c>
      <c r="U175" s="212" t="e">
        <v>#REF!</v>
      </c>
      <c r="V175" s="212" t="e">
        <v>#REF!</v>
      </c>
      <c r="W175" s="212" t="e">
        <v>#REF!</v>
      </c>
      <c r="X175" s="212" t="e">
        <v>#REF!</v>
      </c>
      <c r="Y175" s="212" t="e">
        <v>#REF!</v>
      </c>
      <c r="Z175" s="212" t="e">
        <v>#REF!</v>
      </c>
      <c r="AF175" s="212" t="e">
        <v>#REF!</v>
      </c>
      <c r="AG175" s="212" t="e">
        <v>#REF!</v>
      </c>
      <c r="AH175" s="212" t="e">
        <v>#REF!</v>
      </c>
      <c r="AI175" s="212" t="e">
        <v>#REF!</v>
      </c>
      <c r="AJ175" s="212" t="e">
        <v>#REF!</v>
      </c>
      <c r="AK175" s="212" t="e">
        <v>#REF!</v>
      </c>
      <c r="AL175" s="212" t="e">
        <v>#REF!</v>
      </c>
      <c r="AM175" s="212" t="e">
        <v>#REF!</v>
      </c>
      <c r="AN175" s="212" t="e">
        <v>#REF!</v>
      </c>
      <c r="AO175" s="212" t="e">
        <v>#REF!</v>
      </c>
    </row>
    <row r="176" spans="2:41" s="280" customFormat="1">
      <c r="B176" s="316" t="s">
        <v>1478</v>
      </c>
      <c r="C176" s="281" t="s">
        <v>147</v>
      </c>
      <c r="D176" s="317" t="s">
        <v>72</v>
      </c>
      <c r="F176" s="281"/>
      <c r="G176" s="212" t="e">
        <v>#REF!</v>
      </c>
      <c r="H176" s="212" t="e">
        <v>#REF!</v>
      </c>
      <c r="I176" s="212" t="e">
        <v>#REF!</v>
      </c>
      <c r="J176" s="212" t="e">
        <v>#REF!</v>
      </c>
      <c r="K176" s="212" t="e">
        <v>#REF!</v>
      </c>
      <c r="L176" s="212" t="e">
        <v>#REF!</v>
      </c>
      <c r="M176" s="212" t="e">
        <v>#REF!</v>
      </c>
      <c r="N176" s="212" t="e">
        <v>#REF!</v>
      </c>
      <c r="O176" s="212" t="e">
        <v>#REF!</v>
      </c>
      <c r="P176" s="212" t="e">
        <v>#REF!</v>
      </c>
      <c r="Q176" s="212" t="e">
        <v>#REF!</v>
      </c>
      <c r="R176" s="212" t="e">
        <v>#REF!</v>
      </c>
      <c r="S176" s="212" t="e">
        <v>#REF!</v>
      </c>
      <c r="T176" s="212" t="e">
        <v>#REF!</v>
      </c>
      <c r="U176" s="212" t="e">
        <v>#REF!</v>
      </c>
      <c r="V176" s="212" t="e">
        <v>#REF!</v>
      </c>
      <c r="W176" s="212" t="e">
        <v>#REF!</v>
      </c>
      <c r="X176" s="212" t="e">
        <v>#REF!</v>
      </c>
      <c r="Y176" s="212" t="e">
        <v>#REF!</v>
      </c>
      <c r="Z176" s="212" t="e">
        <v>#REF!</v>
      </c>
      <c r="AF176" s="212" t="e">
        <v>#REF!</v>
      </c>
      <c r="AG176" s="212" t="e">
        <v>#REF!</v>
      </c>
      <c r="AH176" s="212" t="e">
        <v>#REF!</v>
      </c>
      <c r="AI176" s="212" t="e">
        <v>#REF!</v>
      </c>
      <c r="AJ176" s="212" t="e">
        <v>#REF!</v>
      </c>
      <c r="AK176" s="212" t="e">
        <v>#REF!</v>
      </c>
      <c r="AL176" s="212" t="e">
        <v>#REF!</v>
      </c>
      <c r="AM176" s="212" t="e">
        <v>#REF!</v>
      </c>
      <c r="AN176" s="212" t="e">
        <v>#REF!</v>
      </c>
      <c r="AO176" s="212" t="e">
        <v>#REF!</v>
      </c>
    </row>
    <row r="177" spans="2:41" s="280" customFormat="1">
      <c r="B177" s="316" t="s">
        <v>1479</v>
      </c>
      <c r="C177" s="281" t="s">
        <v>1422</v>
      </c>
      <c r="D177" s="317" t="s">
        <v>72</v>
      </c>
      <c r="F177" s="281"/>
      <c r="G177" s="212" t="e">
        <v>#REF!</v>
      </c>
      <c r="H177" s="212" t="e">
        <v>#REF!</v>
      </c>
      <c r="I177" s="212" t="e">
        <v>#REF!</v>
      </c>
      <c r="J177" s="212" t="e">
        <v>#REF!</v>
      </c>
      <c r="K177" s="212" t="e">
        <v>#REF!</v>
      </c>
      <c r="L177" s="212" t="e">
        <v>#REF!</v>
      </c>
      <c r="M177" s="212" t="e">
        <v>#REF!</v>
      </c>
      <c r="N177" s="212" t="e">
        <v>#REF!</v>
      </c>
      <c r="O177" s="212" t="e">
        <v>#REF!</v>
      </c>
      <c r="P177" s="212" t="e">
        <v>#REF!</v>
      </c>
      <c r="Q177" s="212" t="e">
        <v>#REF!</v>
      </c>
      <c r="R177" s="212" t="e">
        <v>#REF!</v>
      </c>
      <c r="S177" s="212" t="e">
        <v>#REF!</v>
      </c>
      <c r="T177" s="212" t="e">
        <v>#REF!</v>
      </c>
      <c r="U177" s="212" t="e">
        <v>#REF!</v>
      </c>
      <c r="V177" s="212" t="e">
        <v>#REF!</v>
      </c>
      <c r="W177" s="212" t="e">
        <v>#REF!</v>
      </c>
      <c r="X177" s="212" t="e">
        <v>#REF!</v>
      </c>
      <c r="Y177" s="212" t="e">
        <v>#REF!</v>
      </c>
      <c r="Z177" s="212" t="e">
        <v>#REF!</v>
      </c>
      <c r="AF177" s="212" t="e">
        <v>#REF!</v>
      </c>
      <c r="AG177" s="212" t="e">
        <v>#REF!</v>
      </c>
      <c r="AH177" s="212" t="e">
        <v>#REF!</v>
      </c>
      <c r="AI177" s="212" t="e">
        <v>#REF!</v>
      </c>
      <c r="AJ177" s="212" t="e">
        <v>#REF!</v>
      </c>
      <c r="AK177" s="212" t="e">
        <v>#REF!</v>
      </c>
      <c r="AL177" s="212" t="e">
        <v>#REF!</v>
      </c>
      <c r="AM177" s="212" t="e">
        <v>#REF!</v>
      </c>
      <c r="AN177" s="212" t="e">
        <v>#REF!</v>
      </c>
      <c r="AO177" s="212" t="e">
        <v>#REF!</v>
      </c>
    </row>
    <row r="178" spans="2:41" s="280" customFormat="1">
      <c r="B178" s="316" t="s">
        <v>1480</v>
      </c>
      <c r="C178" s="281" t="s">
        <v>1420</v>
      </c>
      <c r="D178" s="317" t="s">
        <v>72</v>
      </c>
      <c r="F178" s="281"/>
      <c r="G178" s="212" t="e">
        <v>#REF!</v>
      </c>
      <c r="H178" s="212" t="e">
        <v>#REF!</v>
      </c>
      <c r="I178" s="212" t="e">
        <v>#REF!</v>
      </c>
      <c r="J178" s="212" t="e">
        <v>#REF!</v>
      </c>
      <c r="K178" s="212" t="e">
        <v>#REF!</v>
      </c>
      <c r="L178" s="212" t="e">
        <v>#REF!</v>
      </c>
      <c r="M178" s="212" t="e">
        <v>#REF!</v>
      </c>
      <c r="N178" s="212" t="e">
        <v>#REF!</v>
      </c>
      <c r="O178" s="212" t="e">
        <v>#REF!</v>
      </c>
      <c r="P178" s="212" t="e">
        <v>#REF!</v>
      </c>
      <c r="Q178" s="212" t="e">
        <v>#REF!</v>
      </c>
      <c r="R178" s="212" t="e">
        <v>#REF!</v>
      </c>
      <c r="S178" s="212" t="e">
        <v>#REF!</v>
      </c>
      <c r="T178" s="212" t="e">
        <v>#REF!</v>
      </c>
      <c r="U178" s="212" t="e">
        <v>#REF!</v>
      </c>
      <c r="V178" s="212" t="e">
        <v>#REF!</v>
      </c>
      <c r="W178" s="212" t="e">
        <v>#REF!</v>
      </c>
      <c r="X178" s="212" t="e">
        <v>#REF!</v>
      </c>
      <c r="Y178" s="212" t="e">
        <v>#REF!</v>
      </c>
      <c r="Z178" s="212" t="e">
        <v>#REF!</v>
      </c>
      <c r="AF178" s="212" t="e">
        <v>#REF!</v>
      </c>
      <c r="AG178" s="212" t="e">
        <v>#REF!</v>
      </c>
      <c r="AH178" s="212" t="e">
        <v>#REF!</v>
      </c>
      <c r="AI178" s="212" t="e">
        <v>#REF!</v>
      </c>
      <c r="AJ178" s="212" t="e">
        <v>#REF!</v>
      </c>
      <c r="AK178" s="212" t="e">
        <v>#REF!</v>
      </c>
      <c r="AL178" s="212" t="e">
        <v>#REF!</v>
      </c>
      <c r="AM178" s="212" t="e">
        <v>#REF!</v>
      </c>
      <c r="AN178" s="212" t="e">
        <v>#REF!</v>
      </c>
      <c r="AO178" s="212" t="e">
        <v>#REF!</v>
      </c>
    </row>
    <row r="179" spans="2:41" s="280" customFormat="1">
      <c r="B179" s="316" t="s">
        <v>1481</v>
      </c>
      <c r="C179" s="281" t="s">
        <v>150</v>
      </c>
      <c r="D179" s="317" t="s">
        <v>72</v>
      </c>
      <c r="G179" s="212" t="e">
        <v>#REF!</v>
      </c>
      <c r="H179" s="212" t="e">
        <v>#REF!</v>
      </c>
      <c r="I179" s="212" t="e">
        <v>#REF!</v>
      </c>
      <c r="J179" s="212" t="e">
        <v>#REF!</v>
      </c>
      <c r="K179" s="212" t="e">
        <v>#REF!</v>
      </c>
      <c r="L179" s="212" t="e">
        <v>#REF!</v>
      </c>
      <c r="M179" s="212" t="e">
        <v>#REF!</v>
      </c>
      <c r="N179" s="212" t="e">
        <v>#REF!</v>
      </c>
      <c r="O179" s="212" t="e">
        <v>#REF!</v>
      </c>
      <c r="P179" s="212" t="e">
        <v>#REF!</v>
      </c>
      <c r="Q179" s="212" t="e">
        <v>#REF!</v>
      </c>
      <c r="R179" s="212" t="e">
        <v>#REF!</v>
      </c>
      <c r="S179" s="212" t="e">
        <v>#REF!</v>
      </c>
      <c r="T179" s="212" t="e">
        <v>#REF!</v>
      </c>
      <c r="U179" s="212" t="e">
        <v>#REF!</v>
      </c>
      <c r="V179" s="212" t="e">
        <v>#REF!</v>
      </c>
      <c r="W179" s="212" t="e">
        <v>#REF!</v>
      </c>
      <c r="X179" s="212" t="e">
        <v>#REF!</v>
      </c>
      <c r="Y179" s="212" t="e">
        <v>#REF!</v>
      </c>
      <c r="Z179" s="212" t="e">
        <v>#REF!</v>
      </c>
      <c r="AF179" s="212" t="e">
        <v>#REF!</v>
      </c>
      <c r="AG179" s="212" t="e">
        <v>#REF!</v>
      </c>
      <c r="AH179" s="212" t="e">
        <v>#REF!</v>
      </c>
      <c r="AI179" s="212" t="e">
        <v>#REF!</v>
      </c>
      <c r="AJ179" s="212" t="e">
        <v>#REF!</v>
      </c>
      <c r="AK179" s="212" t="e">
        <v>#REF!</v>
      </c>
      <c r="AL179" s="212" t="e">
        <v>#REF!</v>
      </c>
      <c r="AM179" s="212" t="e">
        <v>#REF!</v>
      </c>
      <c r="AN179" s="212" t="e">
        <v>#REF!</v>
      </c>
      <c r="AO179" s="212" t="e">
        <v>#REF!</v>
      </c>
    </row>
    <row r="180" spans="2:41" s="280" customFormat="1"/>
    <row r="181" spans="2:41" s="280" customFormat="1">
      <c r="C181" s="279" t="s">
        <v>1159</v>
      </c>
    </row>
    <row r="182" spans="2:41" s="280" customFormat="1">
      <c r="B182" s="316" t="s">
        <v>1482</v>
      </c>
      <c r="C182" s="281" t="s">
        <v>146</v>
      </c>
      <c r="D182" s="317" t="s">
        <v>72</v>
      </c>
      <c r="F182" s="281"/>
      <c r="G182" s="212" t="e">
        <v>#REF!</v>
      </c>
      <c r="H182" s="212" t="e">
        <v>#REF!</v>
      </c>
      <c r="I182" s="212" t="e">
        <v>#REF!</v>
      </c>
      <c r="J182" s="212" t="e">
        <v>#REF!</v>
      </c>
      <c r="K182" s="212" t="e">
        <v>#REF!</v>
      </c>
      <c r="L182" s="212" t="e">
        <v>#REF!</v>
      </c>
      <c r="M182" s="212" t="e">
        <v>#REF!</v>
      </c>
      <c r="N182" s="212" t="e">
        <v>#REF!</v>
      </c>
      <c r="O182" s="212" t="e">
        <v>#REF!</v>
      </c>
      <c r="P182" s="212" t="e">
        <v>#REF!</v>
      </c>
      <c r="Q182" s="212" t="e">
        <v>#REF!</v>
      </c>
      <c r="R182" s="212" t="e">
        <v>#REF!</v>
      </c>
      <c r="S182" s="212" t="e">
        <v>#REF!</v>
      </c>
      <c r="T182" s="212" t="e">
        <v>#REF!</v>
      </c>
      <c r="U182" s="212" t="e">
        <v>#REF!</v>
      </c>
      <c r="V182" s="212" t="e">
        <v>#REF!</v>
      </c>
      <c r="W182" s="212" t="e">
        <v>#REF!</v>
      </c>
      <c r="X182" s="212" t="e">
        <v>#REF!</v>
      </c>
      <c r="Y182" s="212" t="e">
        <v>#REF!</v>
      </c>
      <c r="Z182" s="212" t="e">
        <v>#REF!</v>
      </c>
      <c r="AF182" s="212" t="e">
        <v>#REF!</v>
      </c>
      <c r="AG182" s="212" t="e">
        <v>#REF!</v>
      </c>
      <c r="AH182" s="212" t="e">
        <v>#REF!</v>
      </c>
      <c r="AI182" s="212" t="e">
        <v>#REF!</v>
      </c>
      <c r="AJ182" s="212" t="e">
        <v>#REF!</v>
      </c>
      <c r="AK182" s="212" t="e">
        <v>#REF!</v>
      </c>
      <c r="AL182" s="212" t="e">
        <v>#REF!</v>
      </c>
      <c r="AM182" s="212" t="e">
        <v>#REF!</v>
      </c>
      <c r="AN182" s="212" t="e">
        <v>#REF!</v>
      </c>
      <c r="AO182" s="212" t="e">
        <v>#REF!</v>
      </c>
    </row>
    <row r="183" spans="2:41" s="280" customFormat="1">
      <c r="B183" s="316" t="s">
        <v>1483</v>
      </c>
      <c r="C183" s="281" t="s">
        <v>136</v>
      </c>
      <c r="D183" s="317" t="s">
        <v>72</v>
      </c>
      <c r="F183" s="281"/>
      <c r="G183" s="212">
        <v>-227.39929140775661</v>
      </c>
      <c r="H183" s="212">
        <v>-255.63718944038999</v>
      </c>
      <c r="I183" s="212">
        <v>-203.10042519685041</v>
      </c>
      <c r="J183" s="212">
        <v>-234.4196191030868</v>
      </c>
      <c r="K183" s="212">
        <v>-278.38143339587242</v>
      </c>
      <c r="L183" s="212">
        <v>-286.27762913846158</v>
      </c>
      <c r="M183" s="212">
        <v>-298.5</v>
      </c>
      <c r="N183" s="212">
        <v>-292.37776394011712</v>
      </c>
      <c r="O183" s="212">
        <v>-308.89999999999998</v>
      </c>
      <c r="P183" s="212">
        <v>-306.25106291999998</v>
      </c>
      <c r="Q183" s="212">
        <v>-331.11607559999999</v>
      </c>
      <c r="R183" s="212">
        <v>-328.93912342056001</v>
      </c>
      <c r="S183" s="212">
        <v>-345.34643495199998</v>
      </c>
      <c r="T183" s="212">
        <v>-340.5470377446776</v>
      </c>
      <c r="U183" s="212">
        <v>-357.55306816268001</v>
      </c>
      <c r="V183" s="212">
        <v>-352.57942260670649</v>
      </c>
      <c r="W183" s="212">
        <v>-371.81211408450969</v>
      </c>
      <c r="X183" s="212">
        <v>-366.95190720881948</v>
      </c>
      <c r="Y183" s="212">
        <v>-386.08295019293888</v>
      </c>
      <c r="Z183" s="212">
        <v>-380.98312275882358</v>
      </c>
      <c r="AF183" s="212">
        <v>-483.0364808481466</v>
      </c>
      <c r="AG183" s="212">
        <v>-437.52004429993718</v>
      </c>
      <c r="AH183" s="212">
        <v>-564.659062534334</v>
      </c>
      <c r="AI183" s="212">
        <v>-590.87776394011712</v>
      </c>
      <c r="AJ183" s="212">
        <v>-615.15106291999996</v>
      </c>
      <c r="AK183" s="212">
        <v>-660.05519902056005</v>
      </c>
      <c r="AL183" s="212">
        <v>-685.89347269667758</v>
      </c>
      <c r="AM183" s="212">
        <v>-710.13249076938655</v>
      </c>
      <c r="AN183" s="212">
        <v>-738.76402129332928</v>
      </c>
      <c r="AO183" s="212">
        <v>-767.06607295176252</v>
      </c>
    </row>
    <row r="184" spans="2:41" s="280" customFormat="1">
      <c r="B184" s="316" t="s">
        <v>1484</v>
      </c>
      <c r="C184" s="281" t="s">
        <v>150</v>
      </c>
      <c r="D184" s="317" t="s">
        <v>72</v>
      </c>
      <c r="F184" s="281"/>
      <c r="G184" s="212" t="e">
        <v>#REF!</v>
      </c>
      <c r="H184" s="212" t="e">
        <v>#REF!</v>
      </c>
      <c r="I184" s="212" t="e">
        <v>#REF!</v>
      </c>
      <c r="J184" s="212" t="e">
        <v>#REF!</v>
      </c>
      <c r="K184" s="212" t="e">
        <v>#REF!</v>
      </c>
      <c r="L184" s="212" t="e">
        <v>#REF!</v>
      </c>
      <c r="M184" s="212" t="e">
        <v>#REF!</v>
      </c>
      <c r="N184" s="212" t="e">
        <v>#REF!</v>
      </c>
      <c r="O184" s="212" t="e">
        <v>#REF!</v>
      </c>
      <c r="P184" s="212" t="e">
        <v>#REF!</v>
      </c>
      <c r="Q184" s="212" t="e">
        <v>#REF!</v>
      </c>
      <c r="R184" s="212" t="e">
        <v>#REF!</v>
      </c>
      <c r="S184" s="212" t="e">
        <v>#REF!</v>
      </c>
      <c r="T184" s="212" t="e">
        <v>#REF!</v>
      </c>
      <c r="U184" s="212" t="e">
        <v>#REF!</v>
      </c>
      <c r="V184" s="212" t="e">
        <v>#REF!</v>
      </c>
      <c r="W184" s="212" t="e">
        <v>#REF!</v>
      </c>
      <c r="X184" s="212" t="e">
        <v>#REF!</v>
      </c>
      <c r="Y184" s="212" t="e">
        <v>#REF!</v>
      </c>
      <c r="Z184" s="212" t="e">
        <v>#REF!</v>
      </c>
      <c r="AF184" s="212" t="e">
        <v>#REF!</v>
      </c>
      <c r="AG184" s="212" t="e">
        <v>#REF!</v>
      </c>
      <c r="AH184" s="212" t="e">
        <v>#REF!</v>
      </c>
      <c r="AI184" s="212" t="e">
        <v>#REF!</v>
      </c>
      <c r="AJ184" s="212" t="e">
        <v>#REF!</v>
      </c>
      <c r="AK184" s="212" t="e">
        <v>#REF!</v>
      </c>
      <c r="AL184" s="212" t="e">
        <v>#REF!</v>
      </c>
      <c r="AM184" s="212" t="e">
        <v>#REF!</v>
      </c>
      <c r="AN184" s="212" t="e">
        <v>#REF!</v>
      </c>
      <c r="AO184" s="212" t="e">
        <v>#REF!</v>
      </c>
    </row>
    <row r="185" spans="2:41" s="280" customFormat="1">
      <c r="B185" s="316" t="s">
        <v>1485</v>
      </c>
      <c r="C185" s="281" t="s">
        <v>1423</v>
      </c>
      <c r="D185" s="317" t="s">
        <v>72</v>
      </c>
      <c r="F185" s="281"/>
      <c r="G185" s="212">
        <v>-41.099999999999987</v>
      </c>
      <c r="H185" s="212">
        <v>-47.299999999999969</v>
      </c>
      <c r="I185" s="212">
        <v>-47.8</v>
      </c>
      <c r="J185" s="212">
        <v>-46.9</v>
      </c>
      <c r="K185" s="212">
        <v>-45.464000000000013</v>
      </c>
      <c r="L185" s="212">
        <v>-45.207999999999998</v>
      </c>
      <c r="M185" s="212">
        <v>-44.247</v>
      </c>
      <c r="N185" s="212">
        <v>-47.774000000000001</v>
      </c>
      <c r="O185" s="212">
        <v>-45.329000000000001</v>
      </c>
      <c r="P185" s="212">
        <v>-46.038206519304318</v>
      </c>
      <c r="Q185" s="212">
        <v>-46.560517064988368</v>
      </c>
      <c r="R185" s="212">
        <v>-46.803419708976449</v>
      </c>
      <c r="S185" s="212">
        <v>-46.685041834342059</v>
      </c>
      <c r="T185" s="212">
        <v>-46.612625545496982</v>
      </c>
      <c r="U185" s="212">
        <v>-46.550480999241898</v>
      </c>
      <c r="V185" s="212">
        <v>-46.525582079085162</v>
      </c>
      <c r="W185" s="212">
        <v>-46.505874402737923</v>
      </c>
      <c r="X185" s="212">
        <v>-46.519099041547953</v>
      </c>
      <c r="Y185" s="212">
        <v>-46.533934856202123</v>
      </c>
      <c r="Z185" s="212">
        <v>-46.579064676810439</v>
      </c>
      <c r="AF185" s="212">
        <v>-88.399999999999963</v>
      </c>
      <c r="AG185" s="212">
        <v>-94.699999999999989</v>
      </c>
      <c r="AH185" s="212">
        <v>-90.672000000000011</v>
      </c>
      <c r="AI185" s="212">
        <v>-92.021000000000001</v>
      </c>
      <c r="AJ185" s="212">
        <v>-91.367206519304318</v>
      </c>
      <c r="AK185" s="212">
        <v>-93.363936773964824</v>
      </c>
      <c r="AL185" s="212">
        <v>-93.297667379839041</v>
      </c>
      <c r="AM185" s="212">
        <v>-93.076063078327053</v>
      </c>
      <c r="AN185" s="212">
        <v>-93.024973444285877</v>
      </c>
      <c r="AO185" s="212">
        <v>-93.112999533012555</v>
      </c>
    </row>
    <row r="186" spans="2:41" s="280" customFormat="1">
      <c r="B186" s="316" t="s">
        <v>1486</v>
      </c>
      <c r="C186" s="281" t="s">
        <v>153</v>
      </c>
      <c r="D186" s="317" t="s">
        <v>72</v>
      </c>
      <c r="F186" s="281"/>
      <c r="G186" s="212">
        <v>76.699999999999989</v>
      </c>
      <c r="H186" s="212">
        <v>83.500000000000057</v>
      </c>
      <c r="I186" s="212">
        <v>-11.599999999999991</v>
      </c>
      <c r="J186" s="212">
        <v>54.8</v>
      </c>
      <c r="K186" s="212">
        <v>116.336</v>
      </c>
      <c r="L186" s="212">
        <v>94.792000000000002</v>
      </c>
      <c r="M186" s="212">
        <v>100.053</v>
      </c>
      <c r="N186" s="212">
        <v>85.725999999999999</v>
      </c>
      <c r="O186" s="212">
        <v>67.770999999999987</v>
      </c>
      <c r="P186" s="212">
        <v>71.975330560695767</v>
      </c>
      <c r="Q186" s="212">
        <v>62.523407335011548</v>
      </c>
      <c r="R186" s="212">
        <v>77.875587870463605</v>
      </c>
      <c r="S186" s="212">
        <v>85.192643213657931</v>
      </c>
      <c r="T186" s="212">
        <v>94.850769889825486</v>
      </c>
      <c r="U186" s="212">
        <v>97.430612638078145</v>
      </c>
      <c r="V186" s="212">
        <v>105.0039439140083</v>
      </c>
      <c r="W186" s="212">
        <v>103.4607977187525</v>
      </c>
      <c r="X186" s="212">
        <v>109.3766955421446</v>
      </c>
      <c r="Y186" s="212">
        <v>106.864214924259</v>
      </c>
      <c r="Z186" s="212">
        <v>113.29260082855851</v>
      </c>
      <c r="AF186" s="212">
        <v>160.19999999999999</v>
      </c>
      <c r="AG186" s="212">
        <v>43.200000000000017</v>
      </c>
      <c r="AH186" s="212">
        <v>211.12799999999999</v>
      </c>
      <c r="AI186" s="212">
        <v>185.779</v>
      </c>
      <c r="AJ186" s="212">
        <v>139.74633056069581</v>
      </c>
      <c r="AK186" s="212">
        <v>140.39899520547519</v>
      </c>
      <c r="AL186" s="212">
        <v>180.0434131034834</v>
      </c>
      <c r="AM186" s="212">
        <v>202.43455655208641</v>
      </c>
      <c r="AN186" s="212">
        <v>212.83749326089711</v>
      </c>
      <c r="AO186" s="212">
        <v>220.15681575281749</v>
      </c>
    </row>
    <row r="187" spans="2:41" s="280" customFormat="1">
      <c r="B187" s="316" t="s">
        <v>1487</v>
      </c>
      <c r="C187" s="281" t="s">
        <v>154</v>
      </c>
      <c r="D187" s="317" t="s">
        <v>72</v>
      </c>
      <c r="F187" s="281"/>
      <c r="G187" s="212">
        <v>-14</v>
      </c>
      <c r="H187" s="212">
        <v>-18.5</v>
      </c>
      <c r="I187" s="212">
        <v>-17.2</v>
      </c>
      <c r="J187" s="212">
        <v>-17.8</v>
      </c>
      <c r="K187" s="212">
        <v>-15.848000000000001</v>
      </c>
      <c r="L187" s="212">
        <v>-12.278</v>
      </c>
      <c r="M187" s="212">
        <v>-8.7149999999999999</v>
      </c>
      <c r="N187" s="212">
        <v>-7.2810000000000006</v>
      </c>
      <c r="O187" s="212">
        <v>-12.3</v>
      </c>
      <c r="P187" s="212">
        <v>-31.25881405479452</v>
      </c>
      <c r="Q187" s="212">
        <v>-32.233920838684099</v>
      </c>
      <c r="R187" s="212">
        <v>-31.994538809275099</v>
      </c>
      <c r="S187" s="212">
        <v>-28.250639851242578</v>
      </c>
      <c r="T187" s="212">
        <v>-27.42042096632802</v>
      </c>
      <c r="U187" s="212">
        <v>-27.597374683673809</v>
      </c>
      <c r="V187" s="212">
        <v>-26.996398200643931</v>
      </c>
      <c r="W187" s="212">
        <v>-21.885638311676509</v>
      </c>
      <c r="X187" s="212">
        <v>-21.180279712643351</v>
      </c>
      <c r="Y187" s="212">
        <v>-21.291922319684051</v>
      </c>
      <c r="Z187" s="212">
        <v>-20.683186103560701</v>
      </c>
      <c r="AF187" s="212">
        <v>-32.5</v>
      </c>
      <c r="AG187" s="212">
        <v>-35</v>
      </c>
      <c r="AH187" s="212">
        <v>-28.126000000000001</v>
      </c>
      <c r="AI187" s="212">
        <v>-15.996</v>
      </c>
      <c r="AJ187" s="212">
        <v>-43.558814054794517</v>
      </c>
      <c r="AK187" s="212">
        <v>-64.228459647959198</v>
      </c>
      <c r="AL187" s="212">
        <v>-55.671060817570613</v>
      </c>
      <c r="AM187" s="212">
        <v>-54.59377288431773</v>
      </c>
      <c r="AN187" s="212">
        <v>-43.06591802431987</v>
      </c>
      <c r="AO187" s="212">
        <v>-41.975108423244748</v>
      </c>
    </row>
    <row r="188" spans="2:41" s="280" customFormat="1">
      <c r="B188" s="316" t="s">
        <v>1488</v>
      </c>
      <c r="C188" s="281" t="s">
        <v>155</v>
      </c>
      <c r="D188" s="317" t="s">
        <v>72</v>
      </c>
      <c r="F188" s="281"/>
      <c r="G188" s="212">
        <v>62.699999999999989</v>
      </c>
      <c r="H188" s="212">
        <v>65.000000000000057</v>
      </c>
      <c r="I188" s="212">
        <v>-28.79999999999999</v>
      </c>
      <c r="J188" s="212">
        <v>37</v>
      </c>
      <c r="K188" s="212">
        <v>100.488</v>
      </c>
      <c r="L188" s="212">
        <v>82.513999999999996</v>
      </c>
      <c r="M188" s="212">
        <v>91.338000000000008</v>
      </c>
      <c r="N188" s="212">
        <v>78.444999999999993</v>
      </c>
      <c r="O188" s="212">
        <v>55.470999999999989</v>
      </c>
      <c r="P188" s="212">
        <v>40.716516505901239</v>
      </c>
      <c r="Q188" s="212">
        <v>30.289486496327449</v>
      </c>
      <c r="R188" s="212">
        <v>45.881049061188513</v>
      </c>
      <c r="S188" s="212">
        <v>56.942003362415349</v>
      </c>
      <c r="T188" s="212">
        <v>67.430348923497462</v>
      </c>
      <c r="U188" s="212">
        <v>69.833237954404339</v>
      </c>
      <c r="V188" s="212">
        <v>78.007545713364351</v>
      </c>
      <c r="W188" s="212">
        <v>81.575159407075944</v>
      </c>
      <c r="X188" s="212">
        <v>88.196415829501291</v>
      </c>
      <c r="Y188" s="212">
        <v>85.57229260457494</v>
      </c>
      <c r="Z188" s="212">
        <v>92.609414724997833</v>
      </c>
      <c r="AF188" s="212">
        <v>127.7</v>
      </c>
      <c r="AG188" s="212">
        <v>8.2000000000000099</v>
      </c>
      <c r="AH188" s="212">
        <v>183.00200000000001</v>
      </c>
      <c r="AI188" s="212">
        <v>169.78299999999999</v>
      </c>
      <c r="AJ188" s="212">
        <v>96.187516505901229</v>
      </c>
      <c r="AK188" s="212">
        <v>76.170535557515962</v>
      </c>
      <c r="AL188" s="212">
        <v>124.3723522859128</v>
      </c>
      <c r="AM188" s="212">
        <v>147.8407836677687</v>
      </c>
      <c r="AN188" s="212">
        <v>169.77157523657721</v>
      </c>
      <c r="AO188" s="212">
        <v>178.18170732957279</v>
      </c>
    </row>
    <row r="189" spans="2:41" s="280" customFormat="1">
      <c r="B189" s="316" t="s">
        <v>1489</v>
      </c>
      <c r="C189" s="281" t="s">
        <v>156</v>
      </c>
      <c r="D189" s="317" t="s">
        <v>72</v>
      </c>
      <c r="F189" s="281"/>
      <c r="G189" s="212">
        <v>-19.499999999999989</v>
      </c>
      <c r="H189" s="212">
        <v>-18.20000000000006</v>
      </c>
      <c r="I189" s="212">
        <v>9.2999999999999901</v>
      </c>
      <c r="J189" s="212">
        <v>-7.8000000000000007</v>
      </c>
      <c r="K189" s="212">
        <v>-27.687999999999999</v>
      </c>
      <c r="L189" s="212">
        <v>-22.614000000000001</v>
      </c>
      <c r="M189" s="212">
        <v>-26.838000000000012</v>
      </c>
      <c r="N189" s="212">
        <v>-19.74499999999999</v>
      </c>
      <c r="O189" s="212">
        <v>-17.670999999999989</v>
      </c>
      <c r="P189" s="212">
        <v>-12.21495495177037</v>
      </c>
      <c r="Q189" s="212">
        <v>-9.0868459488982349</v>
      </c>
      <c r="R189" s="212">
        <v>-13.76431471835655</v>
      </c>
      <c r="S189" s="212">
        <v>-17.082601008724609</v>
      </c>
      <c r="T189" s="212">
        <v>-20.229104677049239</v>
      </c>
      <c r="U189" s="212">
        <v>-20.949971386321302</v>
      </c>
      <c r="V189" s="212">
        <v>-23.402263714009301</v>
      </c>
      <c r="W189" s="212">
        <v>-24.472547822122781</v>
      </c>
      <c r="X189" s="212">
        <v>-26.458924748850389</v>
      </c>
      <c r="Y189" s="212">
        <v>-25.67168778137248</v>
      </c>
      <c r="Z189" s="212">
        <v>-27.782824417499349</v>
      </c>
      <c r="AF189" s="212">
        <v>-37.700000000000053</v>
      </c>
      <c r="AG189" s="212">
        <v>1.4999999999999889</v>
      </c>
      <c r="AH189" s="212">
        <v>-50.302000000000007</v>
      </c>
      <c r="AI189" s="212">
        <v>-46.582999999999998</v>
      </c>
      <c r="AJ189" s="212">
        <v>-29.885954951770369</v>
      </c>
      <c r="AK189" s="212">
        <v>-22.851160667254788</v>
      </c>
      <c r="AL189" s="212">
        <v>-37.311705685773838</v>
      </c>
      <c r="AM189" s="212">
        <v>-44.352235100330603</v>
      </c>
      <c r="AN189" s="212">
        <v>-50.93147257097317</v>
      </c>
      <c r="AO189" s="212">
        <v>-53.454512198871832</v>
      </c>
    </row>
    <row r="190" spans="2:41" s="280" customFormat="1">
      <c r="B190" s="316" t="s">
        <v>1490</v>
      </c>
      <c r="C190" s="281" t="s">
        <v>158</v>
      </c>
      <c r="D190" s="317" t="s">
        <v>72</v>
      </c>
      <c r="F190" s="281"/>
      <c r="G190" s="212">
        <v>43.2</v>
      </c>
      <c r="H190" s="212">
        <v>46.8</v>
      </c>
      <c r="I190" s="212">
        <v>-19.5</v>
      </c>
      <c r="J190" s="212">
        <v>29.2</v>
      </c>
      <c r="K190" s="212">
        <v>72.8</v>
      </c>
      <c r="L190" s="212">
        <v>59.899999999999991</v>
      </c>
      <c r="M190" s="212">
        <v>64.5</v>
      </c>
      <c r="N190" s="212">
        <v>58.7</v>
      </c>
      <c r="O190" s="212">
        <v>37.799999999999997</v>
      </c>
      <c r="P190" s="212">
        <v>28.50156155413087</v>
      </c>
      <c r="Q190" s="212">
        <v>21.202640547429208</v>
      </c>
      <c r="R190" s="212">
        <v>32.116734342831947</v>
      </c>
      <c r="S190" s="212">
        <v>39.85940235369074</v>
      </c>
      <c r="T190" s="212">
        <v>47.201244246448233</v>
      </c>
      <c r="U190" s="212">
        <v>48.883266568083037</v>
      </c>
      <c r="V190" s="212">
        <v>54.605281999355043</v>
      </c>
      <c r="W190" s="212">
        <v>57.102611584953173</v>
      </c>
      <c r="X190" s="212">
        <v>61.737491080650898</v>
      </c>
      <c r="Y190" s="212">
        <v>59.900604823202457</v>
      </c>
      <c r="Z190" s="212">
        <v>64.826590307498492</v>
      </c>
      <c r="AF190" s="212">
        <v>90</v>
      </c>
      <c r="AG190" s="212">
        <v>9.6999999999999993</v>
      </c>
      <c r="AH190" s="212">
        <v>132.69999999999999</v>
      </c>
      <c r="AI190" s="212">
        <v>123.2</v>
      </c>
      <c r="AJ190" s="212">
        <v>66.30156155413087</v>
      </c>
      <c r="AK190" s="212">
        <v>53.319374890261173</v>
      </c>
      <c r="AL190" s="212">
        <v>87.060646600138966</v>
      </c>
      <c r="AM190" s="212">
        <v>103.4885485674381</v>
      </c>
      <c r="AN190" s="212">
        <v>118.84010266560411</v>
      </c>
      <c r="AO190" s="212">
        <v>124.72719513070091</v>
      </c>
    </row>
    <row r="191" spans="2:41" s="280" customFormat="1">
      <c r="B191" s="316" t="s">
        <v>1491</v>
      </c>
      <c r="C191" s="281" t="s">
        <v>159</v>
      </c>
      <c r="D191" s="317" t="s">
        <v>257</v>
      </c>
      <c r="G191" s="212">
        <v>5.7</v>
      </c>
      <c r="H191" s="212">
        <v>6.2</v>
      </c>
      <c r="I191" s="212">
        <v>-2.6</v>
      </c>
      <c r="J191" s="212">
        <v>3.9</v>
      </c>
      <c r="K191" s="212">
        <v>9.6</v>
      </c>
      <c r="L191" s="212">
        <v>8.7000000000000011</v>
      </c>
      <c r="M191" s="212">
        <v>8.8000000000000007</v>
      </c>
      <c r="N191" s="212">
        <v>7.3999999999999986</v>
      </c>
      <c r="O191" s="212">
        <v>5</v>
      </c>
      <c r="P191" s="212">
        <v>3.7491931411023609</v>
      </c>
      <c r="Q191" s="212">
        <v>2.7890680432616199</v>
      </c>
      <c r="R191" s="212">
        <v>4.2247453664622228</v>
      </c>
      <c r="S191" s="212">
        <v>5.2432424668759063</v>
      </c>
      <c r="T191" s="212">
        <v>6.2090135252477898</v>
      </c>
      <c r="U191" s="212">
        <v>6.4302725092328377</v>
      </c>
      <c r="V191" s="212">
        <v>7.1829660403385951</v>
      </c>
      <c r="W191" s="212">
        <v>7.511473337583138</v>
      </c>
      <c r="X191" s="212">
        <v>8.1211612798421271</v>
      </c>
      <c r="Y191" s="212">
        <v>7.8795309626985803</v>
      </c>
      <c r="Z191" s="212">
        <v>8.5275119849249137</v>
      </c>
      <c r="AF191" s="212">
        <v>11.9</v>
      </c>
      <c r="AG191" s="212">
        <v>1.3</v>
      </c>
      <c r="AH191" s="212">
        <v>18.3</v>
      </c>
      <c r="AI191" s="212">
        <v>16.2</v>
      </c>
      <c r="AJ191" s="212">
        <v>8.74919314110236</v>
      </c>
      <c r="AK191" s="212">
        <v>7.0138134097238432</v>
      </c>
      <c r="AL191" s="212">
        <v>11.4522559921237</v>
      </c>
      <c r="AM191" s="212">
        <v>13.613238549571429</v>
      </c>
      <c r="AN191" s="212">
        <v>15.632634617425261</v>
      </c>
      <c r="AO191" s="212">
        <v>16.407042947623491</v>
      </c>
    </row>
    <row r="192" spans="2:41" s="280" customFormat="1">
      <c r="B192" s="316" t="s">
        <v>1492</v>
      </c>
      <c r="C192" s="281" t="s">
        <v>583</v>
      </c>
      <c r="D192" s="317" t="s">
        <v>257</v>
      </c>
      <c r="G192" s="212">
        <v>0</v>
      </c>
      <c r="H192" s="212">
        <v>7</v>
      </c>
      <c r="I192" s="212">
        <v>0</v>
      </c>
      <c r="J192" s="212">
        <v>0</v>
      </c>
      <c r="K192" s="212">
        <v>6</v>
      </c>
      <c r="L192" s="212">
        <v>6</v>
      </c>
      <c r="M192" s="212">
        <v>5.25</v>
      </c>
      <c r="N192" s="212">
        <v>0</v>
      </c>
      <c r="O192" s="212">
        <v>0</v>
      </c>
      <c r="P192" s="212">
        <v>0</v>
      </c>
      <c r="Q192" s="212">
        <v>2.9993545128818888</v>
      </c>
      <c r="R192" s="212">
        <v>2.1324825984370129E-2</v>
      </c>
      <c r="S192" s="212">
        <v>3.379796293169778</v>
      </c>
      <c r="T192" s="212">
        <v>4.1945939735007256</v>
      </c>
      <c r="U192" s="212">
        <v>4.9672108201982317</v>
      </c>
      <c r="V192" s="212">
        <v>5.1442180073862707</v>
      </c>
      <c r="W192" s="212">
        <v>5.7463728322708789</v>
      </c>
      <c r="X192" s="212">
        <v>6.0091786700665111</v>
      </c>
      <c r="Y192" s="212">
        <v>6.4969290238737019</v>
      </c>
      <c r="Z192" s="212">
        <v>6.3036247701588648</v>
      </c>
      <c r="AF192" s="212">
        <v>7</v>
      </c>
      <c r="AG192" s="212">
        <v>0</v>
      </c>
      <c r="AH192" s="212">
        <v>12</v>
      </c>
      <c r="AI192" s="212">
        <v>5.25</v>
      </c>
      <c r="AJ192" s="212">
        <v>0</v>
      </c>
      <c r="AK192" s="212">
        <v>3.0206793388662589</v>
      </c>
      <c r="AL192" s="212">
        <v>7.5743902666705036</v>
      </c>
      <c r="AM192" s="212">
        <v>10.111428827584501</v>
      </c>
      <c r="AN192" s="212">
        <v>11.75555150233739</v>
      </c>
      <c r="AO192" s="212">
        <v>12.80055379403257</v>
      </c>
    </row>
    <row r="193" spans="2:41" s="280" customFormat="1"/>
    <row r="194" spans="2:41" s="280" customFormat="1"/>
    <row r="195" spans="2:41" s="280" customFormat="1">
      <c r="C195" s="279" t="s">
        <v>1424</v>
      </c>
    </row>
    <row r="196" spans="2:41" s="280" customFormat="1">
      <c r="B196" s="316" t="s">
        <v>1493</v>
      </c>
      <c r="C196" s="281" t="s">
        <v>1425</v>
      </c>
      <c r="D196" s="317" t="s">
        <v>72</v>
      </c>
      <c r="F196" s="281"/>
      <c r="G196" s="212">
        <v>449.9</v>
      </c>
      <c r="H196" s="212">
        <v>502.1</v>
      </c>
      <c r="I196" s="212">
        <v>289.8</v>
      </c>
      <c r="J196" s="212">
        <v>349.2</v>
      </c>
      <c r="K196" s="212">
        <v>462.6</v>
      </c>
      <c r="L196" s="212">
        <v>463.6</v>
      </c>
      <c r="M196" s="212">
        <v>445.2</v>
      </c>
      <c r="N196" s="212">
        <v>483.3</v>
      </c>
      <c r="O196" s="212">
        <v>422</v>
      </c>
      <c r="P196" s="212">
        <v>422.26460000000009</v>
      </c>
      <c r="Q196" s="212">
        <v>438.2</v>
      </c>
      <c r="R196" s="212">
        <v>451.61813100000012</v>
      </c>
      <c r="S196" s="212">
        <v>475.22412000000003</v>
      </c>
      <c r="T196" s="212">
        <v>480.01043318000012</v>
      </c>
      <c r="U196" s="212">
        <v>499.53416179999999</v>
      </c>
      <c r="V196" s="212">
        <v>502.10894859979999</v>
      </c>
      <c r="W196" s="212">
        <v>519.77878620600006</v>
      </c>
      <c r="X196" s="212">
        <v>520.84770179251211</v>
      </c>
      <c r="Y196" s="212">
        <v>537.48109997339998</v>
      </c>
      <c r="Z196" s="212">
        <v>538.85478826419262</v>
      </c>
      <c r="AF196" s="212">
        <v>952</v>
      </c>
      <c r="AG196" s="212">
        <v>639</v>
      </c>
      <c r="AH196" s="212">
        <v>926.2</v>
      </c>
      <c r="AI196" s="212">
        <v>928.5</v>
      </c>
      <c r="AJ196" s="212">
        <v>844.26460000000009</v>
      </c>
      <c r="AK196" s="212">
        <v>889.81813099999999</v>
      </c>
      <c r="AL196" s="212">
        <v>955.23455318000003</v>
      </c>
      <c r="AM196" s="212">
        <v>1001.6431103998</v>
      </c>
      <c r="AN196" s="212">
        <v>1040.6264879985119</v>
      </c>
      <c r="AO196" s="212">
        <v>1076.3358882375931</v>
      </c>
    </row>
    <row r="197" spans="2:41" s="280" customFormat="1">
      <c r="B197" s="316" t="s">
        <v>1494</v>
      </c>
      <c r="C197" s="281" t="s">
        <v>136</v>
      </c>
      <c r="D197" s="317" t="s">
        <v>72</v>
      </c>
      <c r="F197" s="281"/>
      <c r="G197" s="212">
        <v>-299.39999999999998</v>
      </c>
      <c r="H197" s="212">
        <v>-338.7</v>
      </c>
      <c r="I197" s="212">
        <v>-269.39999999999998</v>
      </c>
      <c r="J197" s="212">
        <v>-272.7</v>
      </c>
      <c r="K197" s="212">
        <v>-356.3</v>
      </c>
      <c r="L197" s="212">
        <v>-404</v>
      </c>
      <c r="M197" s="212">
        <v>-344.2</v>
      </c>
      <c r="N197" s="212">
        <v>-446.1</v>
      </c>
      <c r="O197" s="212">
        <v>-308.89999999999998</v>
      </c>
      <c r="P197" s="212">
        <v>-304.25106291999998</v>
      </c>
      <c r="Q197" s="212">
        <v>-359.11607559999999</v>
      </c>
      <c r="R197" s="212">
        <v>-326.93912342056001</v>
      </c>
      <c r="S197" s="212">
        <v>-343.34643495199998</v>
      </c>
      <c r="T197" s="212">
        <v>-338.5470377446776</v>
      </c>
      <c r="U197" s="212">
        <v>-355.55306816268001</v>
      </c>
      <c r="V197" s="212">
        <v>-350.57942260670649</v>
      </c>
      <c r="W197" s="212">
        <v>-369.81211408450969</v>
      </c>
      <c r="X197" s="212">
        <v>-364.95190720881948</v>
      </c>
      <c r="Y197" s="212">
        <v>-384.08295019293888</v>
      </c>
      <c r="Z197" s="212">
        <v>-378.98312275882358</v>
      </c>
      <c r="AF197" s="212">
        <v>-638.1</v>
      </c>
      <c r="AG197" s="212">
        <v>-542.1</v>
      </c>
      <c r="AH197" s="212">
        <v>-760.3</v>
      </c>
      <c r="AI197" s="212">
        <v>-790.3</v>
      </c>
      <c r="AJ197" s="212">
        <v>-613.15106291999996</v>
      </c>
      <c r="AK197" s="212">
        <v>-686.05519902056005</v>
      </c>
      <c r="AL197" s="212">
        <v>-681.89347269667758</v>
      </c>
      <c r="AM197" s="212">
        <v>-706.13249076938655</v>
      </c>
      <c r="AN197" s="212">
        <v>-734.76402129332928</v>
      </c>
      <c r="AO197" s="212">
        <v>-763.06607295176252</v>
      </c>
    </row>
    <row r="198" spans="2:41" s="280" customFormat="1">
      <c r="B198" s="316" t="s">
        <v>1495</v>
      </c>
      <c r="C198" s="281" t="s">
        <v>1426</v>
      </c>
      <c r="D198" s="317" t="s">
        <v>72</v>
      </c>
      <c r="F198" s="281"/>
      <c r="G198" s="212">
        <v>150.5</v>
      </c>
      <c r="H198" s="212">
        <v>163.4</v>
      </c>
      <c r="I198" s="212">
        <v>20.399999999999999</v>
      </c>
      <c r="J198" s="212">
        <v>76.5</v>
      </c>
      <c r="K198" s="212">
        <v>106.3</v>
      </c>
      <c r="L198" s="212">
        <v>59.600000000000009</v>
      </c>
      <c r="M198" s="212">
        <v>101</v>
      </c>
      <c r="N198" s="212">
        <v>37.199999999999989</v>
      </c>
      <c r="O198" s="212">
        <v>113.1</v>
      </c>
      <c r="P198" s="212">
        <v>118.01353708000011</v>
      </c>
      <c r="Q198" s="212">
        <v>79.083924399999916</v>
      </c>
      <c r="R198" s="212">
        <v>124.6790075794401</v>
      </c>
      <c r="S198" s="212">
        <v>131.87768504799999</v>
      </c>
      <c r="T198" s="212">
        <v>141.4633954353225</v>
      </c>
      <c r="U198" s="212">
        <v>143.98109363731999</v>
      </c>
      <c r="V198" s="212">
        <v>151.52952599309339</v>
      </c>
      <c r="W198" s="212">
        <v>149.9666721214904</v>
      </c>
      <c r="X198" s="212">
        <v>155.89579458369261</v>
      </c>
      <c r="Y198" s="212">
        <v>153.3981497804611</v>
      </c>
      <c r="Z198" s="212">
        <v>159.87166550536901</v>
      </c>
      <c r="AF198" s="212">
        <v>313.89999999999998</v>
      </c>
      <c r="AG198" s="212">
        <v>96.9</v>
      </c>
      <c r="AH198" s="212">
        <v>165.9</v>
      </c>
      <c r="AI198" s="212">
        <v>138.19999999999999</v>
      </c>
      <c r="AJ198" s="212">
        <v>231.1135370800001</v>
      </c>
      <c r="AK198" s="212">
        <v>203.76293197944</v>
      </c>
      <c r="AL198" s="212">
        <v>273.34108048332251</v>
      </c>
      <c r="AM198" s="212">
        <v>295.51061963041349</v>
      </c>
      <c r="AN198" s="212">
        <v>305.86246670518301</v>
      </c>
      <c r="AO198" s="212">
        <v>313.26981528583008</v>
      </c>
    </row>
    <row r="199" spans="2:41" s="280" customFormat="1">
      <c r="B199" s="316" t="s">
        <v>1496</v>
      </c>
      <c r="C199" s="281" t="s">
        <v>1423</v>
      </c>
      <c r="D199" s="317" t="s">
        <v>72</v>
      </c>
      <c r="F199" s="281"/>
      <c r="G199" s="212">
        <v>-41.099999999999987</v>
      </c>
      <c r="H199" s="212">
        <v>-47.299999999999969</v>
      </c>
      <c r="I199" s="212">
        <v>-47.8</v>
      </c>
      <c r="J199" s="212">
        <v>-46.9</v>
      </c>
      <c r="K199" s="212">
        <v>-45.464000000000013</v>
      </c>
      <c r="L199" s="212">
        <v>-45.207999999999998</v>
      </c>
      <c r="M199" s="212">
        <v>-44.247</v>
      </c>
      <c r="N199" s="212">
        <v>-47.774000000000001</v>
      </c>
      <c r="O199" s="212">
        <v>-45.329000000000001</v>
      </c>
      <c r="P199" s="212">
        <v>-46.038206519304318</v>
      </c>
      <c r="Q199" s="212">
        <v>-46.560517064988368</v>
      </c>
      <c r="R199" s="212">
        <v>-46.803419708976449</v>
      </c>
      <c r="S199" s="212">
        <v>-46.685041834342059</v>
      </c>
      <c r="T199" s="212">
        <v>-46.612625545496982</v>
      </c>
      <c r="U199" s="212">
        <v>-46.550480999241898</v>
      </c>
      <c r="V199" s="212">
        <v>-46.525582079085162</v>
      </c>
      <c r="W199" s="212">
        <v>-46.505874402737923</v>
      </c>
      <c r="X199" s="212">
        <v>-46.519099041547953</v>
      </c>
      <c r="Y199" s="212">
        <v>-46.533934856202123</v>
      </c>
      <c r="Z199" s="212">
        <v>-46.579064676810439</v>
      </c>
      <c r="AF199" s="212">
        <v>-88.399999999999963</v>
      </c>
      <c r="AG199" s="212">
        <v>-94.699999999999989</v>
      </c>
      <c r="AH199" s="212">
        <v>-90.672000000000011</v>
      </c>
      <c r="AI199" s="212">
        <v>-92.021000000000001</v>
      </c>
      <c r="AJ199" s="212">
        <v>-91.367206519304318</v>
      </c>
      <c r="AK199" s="212">
        <v>-93.363936773964824</v>
      </c>
      <c r="AL199" s="212">
        <v>-93.297667379839041</v>
      </c>
      <c r="AM199" s="212">
        <v>-93.076063078327053</v>
      </c>
      <c r="AN199" s="212">
        <v>-93.024973444285877</v>
      </c>
      <c r="AO199" s="212">
        <v>-93.112999533012555</v>
      </c>
    </row>
    <row r="200" spans="2:41" s="280" customFormat="1">
      <c r="B200" s="316" t="s">
        <v>1497</v>
      </c>
      <c r="C200" s="281" t="s">
        <v>1427</v>
      </c>
      <c r="D200" s="317" t="s">
        <v>72</v>
      </c>
      <c r="F200" s="281"/>
      <c r="G200" s="212">
        <v>109.4</v>
      </c>
      <c r="H200" s="212">
        <v>116.1</v>
      </c>
      <c r="I200" s="212">
        <v>-27.4</v>
      </c>
      <c r="J200" s="212">
        <v>29.6</v>
      </c>
      <c r="K200" s="212">
        <v>60.835999999999977</v>
      </c>
      <c r="L200" s="212">
        <v>14.39200000000001</v>
      </c>
      <c r="M200" s="212">
        <v>56.753</v>
      </c>
      <c r="N200" s="212">
        <v>-10.574000000000011</v>
      </c>
      <c r="O200" s="212">
        <v>67.770999999999987</v>
      </c>
      <c r="P200" s="212">
        <v>71.975330560695767</v>
      </c>
      <c r="Q200" s="212">
        <v>32.523407335011541</v>
      </c>
      <c r="R200" s="212">
        <v>77.875587870463605</v>
      </c>
      <c r="S200" s="212">
        <v>85.192643213657931</v>
      </c>
      <c r="T200" s="212">
        <v>94.850769889825486</v>
      </c>
      <c r="U200" s="212">
        <v>97.430612638078145</v>
      </c>
      <c r="V200" s="212">
        <v>105.0039439140083</v>
      </c>
      <c r="W200" s="212">
        <v>103.4607977187525</v>
      </c>
      <c r="X200" s="212">
        <v>109.3766955421447</v>
      </c>
      <c r="Y200" s="212">
        <v>106.864214924259</v>
      </c>
      <c r="Z200" s="212">
        <v>113.29260082855851</v>
      </c>
      <c r="AF200" s="212">
        <v>225.5</v>
      </c>
      <c r="AG200" s="212">
        <v>2.2000000000000028</v>
      </c>
      <c r="AH200" s="212">
        <v>75.227999999999994</v>
      </c>
      <c r="AI200" s="212">
        <v>46.178999999999988</v>
      </c>
      <c r="AJ200" s="212">
        <v>139.74633056069581</v>
      </c>
      <c r="AK200" s="212">
        <v>110.3989952054751</v>
      </c>
      <c r="AL200" s="212">
        <v>180.0434131034834</v>
      </c>
      <c r="AM200" s="212">
        <v>202.43455655208641</v>
      </c>
      <c r="AN200" s="212">
        <v>212.83749326089711</v>
      </c>
      <c r="AO200" s="212">
        <v>220.15681575281749</v>
      </c>
    </row>
    <row r="201" spans="2:41" s="280" customFormat="1">
      <c r="B201" s="316" t="s">
        <v>1498</v>
      </c>
      <c r="C201" s="281" t="s">
        <v>154</v>
      </c>
      <c r="D201" s="317" t="s">
        <v>72</v>
      </c>
      <c r="F201" s="281"/>
      <c r="G201" s="212">
        <v>-14</v>
      </c>
      <c r="H201" s="212">
        <v>-18.5</v>
      </c>
      <c r="I201" s="212">
        <v>-17.2</v>
      </c>
      <c r="J201" s="212">
        <v>-17.8</v>
      </c>
      <c r="K201" s="212">
        <v>-15.848000000000001</v>
      </c>
      <c r="L201" s="212">
        <v>-7.6440000000000001</v>
      </c>
      <c r="M201" s="212">
        <v>-8.7149999999999999</v>
      </c>
      <c r="N201" s="212">
        <v>-7.2810000000000006</v>
      </c>
      <c r="O201" s="212">
        <v>-12.3</v>
      </c>
      <c r="P201" s="212">
        <v>-31.25881405479452</v>
      </c>
      <c r="Q201" s="212">
        <v>-32.233920838684099</v>
      </c>
      <c r="R201" s="212">
        <v>-31.994538809275099</v>
      </c>
      <c r="S201" s="212">
        <v>-28.250639851242578</v>
      </c>
      <c r="T201" s="212">
        <v>-27.42042096632802</v>
      </c>
      <c r="U201" s="212">
        <v>-27.597374683673809</v>
      </c>
      <c r="V201" s="212">
        <v>-26.996398200643931</v>
      </c>
      <c r="W201" s="212">
        <v>-21.885638311676509</v>
      </c>
      <c r="X201" s="212">
        <v>-21.180279712643351</v>
      </c>
      <c r="Y201" s="212">
        <v>-21.291922319684051</v>
      </c>
      <c r="Z201" s="212">
        <v>-20.683186103560701</v>
      </c>
      <c r="AF201" s="212">
        <v>-32.5</v>
      </c>
      <c r="AG201" s="212">
        <v>-35</v>
      </c>
      <c r="AH201" s="212">
        <v>-23.492000000000001</v>
      </c>
      <c r="AI201" s="212">
        <v>-15.996</v>
      </c>
      <c r="AJ201" s="212">
        <v>-43.558814054794517</v>
      </c>
      <c r="AK201" s="212">
        <v>-64.228459647959198</v>
      </c>
      <c r="AL201" s="212">
        <v>-55.671060817570613</v>
      </c>
      <c r="AM201" s="212">
        <v>-54.59377288431773</v>
      </c>
      <c r="AN201" s="212">
        <v>-43.06591802431987</v>
      </c>
      <c r="AO201" s="212">
        <v>-41.975108423244748</v>
      </c>
    </row>
    <row r="202" spans="2:41" s="280" customFormat="1">
      <c r="B202" s="316" t="s">
        <v>1499</v>
      </c>
      <c r="C202" s="281" t="s">
        <v>155</v>
      </c>
      <c r="D202" s="317" t="s">
        <v>72</v>
      </c>
      <c r="F202" s="281"/>
      <c r="G202" s="212">
        <v>95.4</v>
      </c>
      <c r="H202" s="212">
        <v>97.600000000000009</v>
      </c>
      <c r="I202" s="212">
        <v>-44.599999999999987</v>
      </c>
      <c r="J202" s="212">
        <v>11.8</v>
      </c>
      <c r="K202" s="212">
        <v>44.987999999999992</v>
      </c>
      <c r="L202" s="212">
        <v>6.74800000000001</v>
      </c>
      <c r="M202" s="212">
        <v>48.037999999999997</v>
      </c>
      <c r="N202" s="212">
        <v>-17.855000000000011</v>
      </c>
      <c r="O202" s="212">
        <v>55.470999999999989</v>
      </c>
      <c r="P202" s="212">
        <v>40.716516505901239</v>
      </c>
      <c r="Q202" s="212">
        <v>0.2894864963274415</v>
      </c>
      <c r="R202" s="212">
        <v>45.881049061188513</v>
      </c>
      <c r="S202" s="212">
        <v>56.942003362415349</v>
      </c>
      <c r="T202" s="212">
        <v>67.430348923497462</v>
      </c>
      <c r="U202" s="212">
        <v>69.833237954404339</v>
      </c>
      <c r="V202" s="212">
        <v>78.007545713364365</v>
      </c>
      <c r="W202" s="212">
        <v>81.575159407075944</v>
      </c>
      <c r="X202" s="212">
        <v>88.196415829501305</v>
      </c>
      <c r="Y202" s="212">
        <v>85.57229260457494</v>
      </c>
      <c r="Z202" s="212">
        <v>92.609414724997833</v>
      </c>
      <c r="AF202" s="212">
        <v>193</v>
      </c>
      <c r="AG202" s="212">
        <v>-32.799999999999997</v>
      </c>
      <c r="AH202" s="212">
        <v>51.735999999999997</v>
      </c>
      <c r="AI202" s="212">
        <v>30.182999999999989</v>
      </c>
      <c r="AJ202" s="212">
        <v>96.187516505901229</v>
      </c>
      <c r="AK202" s="212">
        <v>46.170535557515947</v>
      </c>
      <c r="AL202" s="212">
        <v>124.3723522859128</v>
      </c>
      <c r="AM202" s="212">
        <v>147.8407836677687</v>
      </c>
      <c r="AN202" s="212">
        <v>169.77157523657721</v>
      </c>
      <c r="AO202" s="212">
        <v>178.18170732957279</v>
      </c>
    </row>
    <row r="203" spans="2:41" s="280" customFormat="1">
      <c r="B203" s="316" t="s">
        <v>1500</v>
      </c>
      <c r="C203" s="281" t="s">
        <v>156</v>
      </c>
      <c r="D203" s="317" t="s">
        <v>72</v>
      </c>
      <c r="F203" s="281"/>
      <c r="G203" s="212">
        <v>-17.5</v>
      </c>
      <c r="H203" s="212">
        <v>-19.7</v>
      </c>
      <c r="I203" s="212">
        <v>10.9</v>
      </c>
      <c r="J203" s="212">
        <v>-11.7</v>
      </c>
      <c r="K203" s="212">
        <v>-22.2</v>
      </c>
      <c r="L203" s="212">
        <v>-21.56</v>
      </c>
      <c r="M203" s="212">
        <v>-25.4</v>
      </c>
      <c r="N203" s="212">
        <v>-148.08799999999999</v>
      </c>
      <c r="O203" s="212">
        <v>-17.7</v>
      </c>
      <c r="P203" s="212">
        <v>-12.21495495177037</v>
      </c>
      <c r="Q203" s="212">
        <v>-8.6845948898232453E-2</v>
      </c>
      <c r="R203" s="212">
        <v>-13.76431471835655</v>
      </c>
      <c r="S203" s="212">
        <v>-17.082601008724609</v>
      </c>
      <c r="T203" s="212">
        <v>-20.229104677049239</v>
      </c>
      <c r="U203" s="212">
        <v>-20.949971386321302</v>
      </c>
      <c r="V203" s="212">
        <v>-23.402263714009312</v>
      </c>
      <c r="W203" s="212">
        <v>-24.472547822122781</v>
      </c>
      <c r="X203" s="212">
        <v>-26.458924748850389</v>
      </c>
      <c r="Y203" s="212">
        <v>-25.67168778137248</v>
      </c>
      <c r="Z203" s="212">
        <v>-27.782824417499349</v>
      </c>
      <c r="AF203" s="212">
        <v>-37.200000000000003</v>
      </c>
      <c r="AG203" s="212">
        <v>-0.80000000000000071</v>
      </c>
      <c r="AH203" s="212">
        <v>-43.76</v>
      </c>
      <c r="AI203" s="212">
        <v>-173.488</v>
      </c>
      <c r="AJ203" s="212">
        <v>-29.914954951770369</v>
      </c>
      <c r="AK203" s="212">
        <v>-13.85116066725478</v>
      </c>
      <c r="AL203" s="212">
        <v>-37.311705685773838</v>
      </c>
      <c r="AM203" s="212">
        <v>-44.35223510033061</v>
      </c>
      <c r="AN203" s="212">
        <v>-50.93147257097317</v>
      </c>
      <c r="AO203" s="212">
        <v>-53.454512198871832</v>
      </c>
    </row>
    <row r="204" spans="2:41" s="280" customFormat="1">
      <c r="B204" s="316" t="s">
        <v>1501</v>
      </c>
      <c r="C204" s="281" t="s">
        <v>167</v>
      </c>
      <c r="D204" s="317" t="s">
        <v>72</v>
      </c>
      <c r="F204" s="281"/>
      <c r="G204" s="212">
        <v>77.900000000000006</v>
      </c>
      <c r="H204" s="212">
        <v>77.900000000000006</v>
      </c>
      <c r="I204" s="212">
        <v>-33.700000000000003</v>
      </c>
      <c r="J204" s="212">
        <v>0.10000000000000139</v>
      </c>
      <c r="K204" s="212">
        <v>22.8</v>
      </c>
      <c r="L204" s="212">
        <v>-14.824999999999999</v>
      </c>
      <c r="M204" s="212">
        <v>22.5</v>
      </c>
      <c r="N204" s="212">
        <v>-165.84800000000001</v>
      </c>
      <c r="O204" s="212">
        <v>6.1</v>
      </c>
      <c r="P204" s="212">
        <v>28.50156155413087</v>
      </c>
      <c r="Q204" s="212">
        <v>0.20264054742920909</v>
      </c>
      <c r="R204" s="212">
        <v>32.116734342831947</v>
      </c>
      <c r="S204" s="212">
        <v>39.85940235369074</v>
      </c>
      <c r="T204" s="212">
        <v>47.201244246448233</v>
      </c>
      <c r="U204" s="212">
        <v>48.883266568083037</v>
      </c>
      <c r="V204" s="212">
        <v>54.605281999355057</v>
      </c>
      <c r="W204" s="212">
        <v>57.102611584953173</v>
      </c>
      <c r="X204" s="212">
        <v>61.737491080650912</v>
      </c>
      <c r="Y204" s="212">
        <v>59.900604823202457</v>
      </c>
      <c r="Z204" s="212">
        <v>64.826590307498492</v>
      </c>
      <c r="AF204" s="212">
        <v>155.80000000000001</v>
      </c>
      <c r="AG204" s="212">
        <v>-33.6</v>
      </c>
      <c r="AH204" s="212">
        <v>7.9749999999999996</v>
      </c>
      <c r="AI204" s="212">
        <v>-143.34800000000001</v>
      </c>
      <c r="AJ204" s="212">
        <v>34.601561554130868</v>
      </c>
      <c r="AK204" s="212">
        <v>32.319374890261173</v>
      </c>
      <c r="AL204" s="212">
        <v>87.060646600138966</v>
      </c>
      <c r="AM204" s="212">
        <v>103.4885485674381</v>
      </c>
      <c r="AN204" s="212">
        <v>118.84010266560411</v>
      </c>
      <c r="AO204" s="212">
        <v>124.72719513070091</v>
      </c>
    </row>
    <row r="205" spans="2:41" s="280" customFormat="1">
      <c r="B205" s="316" t="s">
        <v>1502</v>
      </c>
      <c r="C205" s="281" t="s">
        <v>168</v>
      </c>
      <c r="D205" s="317" t="s">
        <v>257</v>
      </c>
      <c r="G205" s="212">
        <v>10.3</v>
      </c>
      <c r="H205" s="212">
        <v>10.3</v>
      </c>
      <c r="I205" s="212">
        <v>-4.5</v>
      </c>
      <c r="J205" s="212">
        <v>9.9999999999999645E-2</v>
      </c>
      <c r="K205" s="212">
        <v>3</v>
      </c>
      <c r="L205" s="212">
        <v>-1.9</v>
      </c>
      <c r="M205" s="212">
        <v>3</v>
      </c>
      <c r="N205" s="212">
        <v>-1.9</v>
      </c>
      <c r="O205" s="212">
        <v>3</v>
      </c>
      <c r="P205" s="212">
        <v>3.7491931411023609</v>
      </c>
      <c r="Q205" s="212">
        <v>2.6656032480462659E-2</v>
      </c>
      <c r="R205" s="212">
        <v>4.2247453664622228</v>
      </c>
      <c r="S205" s="212">
        <v>5.2432424668759063</v>
      </c>
      <c r="T205" s="212">
        <v>6.2090135252477898</v>
      </c>
      <c r="U205" s="212">
        <v>6.4302725092328377</v>
      </c>
      <c r="V205" s="212">
        <v>7.1829660403385978</v>
      </c>
      <c r="W205" s="212">
        <v>7.511473337583138</v>
      </c>
      <c r="X205" s="212">
        <v>8.1211612798421271</v>
      </c>
      <c r="Y205" s="212">
        <v>7.8795309626985803</v>
      </c>
      <c r="Z205" s="212">
        <v>8.5275119849249137</v>
      </c>
      <c r="AF205" s="212">
        <v>20.6</v>
      </c>
      <c r="AG205" s="212">
        <v>-4.4000000000000004</v>
      </c>
      <c r="AH205" s="212">
        <v>1.1000000000000001</v>
      </c>
      <c r="AI205" s="212">
        <v>1.1000000000000001</v>
      </c>
      <c r="AJ205" s="212">
        <v>6.7491931411023609</v>
      </c>
      <c r="AK205" s="212">
        <v>4.2514013989426864</v>
      </c>
      <c r="AL205" s="212">
        <v>11.4522559921237</v>
      </c>
      <c r="AM205" s="212">
        <v>13.613238549571429</v>
      </c>
      <c r="AN205" s="212">
        <v>15.632634617425261</v>
      </c>
      <c r="AO205" s="212">
        <v>16.407042947623491</v>
      </c>
    </row>
    <row r="206" spans="2:41" s="280" customFormat="1">
      <c r="B206" s="316" t="s">
        <v>1503</v>
      </c>
      <c r="C206" s="281" t="s">
        <v>583</v>
      </c>
      <c r="D206" s="317" t="s">
        <v>257</v>
      </c>
      <c r="G206" s="212">
        <v>0</v>
      </c>
      <c r="H206" s="212">
        <v>7</v>
      </c>
      <c r="I206" s="212">
        <v>0</v>
      </c>
      <c r="J206" s="212">
        <v>0</v>
      </c>
      <c r="K206" s="212">
        <v>6</v>
      </c>
      <c r="L206" s="212">
        <v>6</v>
      </c>
      <c r="M206" s="212">
        <v>5.25</v>
      </c>
      <c r="N206" s="212">
        <v>0</v>
      </c>
      <c r="O206" s="212">
        <v>0</v>
      </c>
      <c r="P206" s="212">
        <v>0</v>
      </c>
      <c r="Q206" s="212">
        <v>2.9993545128818888</v>
      </c>
      <c r="R206" s="212">
        <v>2.1324825984370129E-2</v>
      </c>
      <c r="S206" s="212">
        <v>3.379796293169778</v>
      </c>
      <c r="T206" s="212">
        <v>4.1945939735007256</v>
      </c>
      <c r="U206" s="212">
        <v>4.9672108201982317</v>
      </c>
      <c r="V206" s="212">
        <v>5.1442180073862707</v>
      </c>
      <c r="W206" s="212">
        <v>5.7463728322708789</v>
      </c>
      <c r="X206" s="212">
        <v>6.0091786700665111</v>
      </c>
      <c r="Y206" s="212">
        <v>6.4969290238737019</v>
      </c>
      <c r="Z206" s="212">
        <v>6.3036247701588648</v>
      </c>
      <c r="AF206" s="212">
        <v>7</v>
      </c>
      <c r="AG206" s="212">
        <v>0</v>
      </c>
      <c r="AH206" s="212">
        <v>12</v>
      </c>
      <c r="AI206" s="212">
        <v>5.25</v>
      </c>
      <c r="AJ206" s="212">
        <v>0</v>
      </c>
      <c r="AK206" s="212">
        <v>3.0206793388662589</v>
      </c>
      <c r="AL206" s="212">
        <v>7.5743902666705036</v>
      </c>
      <c r="AM206" s="212">
        <v>10.111428827584501</v>
      </c>
      <c r="AN206" s="212">
        <v>11.75555150233739</v>
      </c>
      <c r="AO206" s="212">
        <v>12.80055379403257</v>
      </c>
    </row>
    <row r="207" spans="2:41" s="280" customFormat="1"/>
    <row r="208" spans="2:41" s="280" customFormat="1">
      <c r="C208" s="279" t="s">
        <v>331</v>
      </c>
    </row>
    <row r="209" spans="1:41" s="280" customFormat="1">
      <c r="B209" s="316" t="s">
        <v>1504</v>
      </c>
      <c r="C209" s="281" t="s">
        <v>344</v>
      </c>
      <c r="D209" s="317" t="s">
        <v>88</v>
      </c>
      <c r="F209" s="154">
        <v>0.11</v>
      </c>
      <c r="AE209" s="154">
        <v>0.11</v>
      </c>
    </row>
    <row r="210" spans="1:41" s="280" customFormat="1">
      <c r="B210" s="316" t="s">
        <v>1505</v>
      </c>
      <c r="C210" s="281" t="s">
        <v>1428</v>
      </c>
      <c r="D210" s="317" t="s">
        <v>185</v>
      </c>
      <c r="F210" s="282">
        <v>10</v>
      </c>
      <c r="AE210" s="282">
        <v>10</v>
      </c>
    </row>
    <row r="211" spans="1:41" s="280" customFormat="1">
      <c r="B211" s="316" t="s">
        <v>1506</v>
      </c>
      <c r="C211" s="281" t="s">
        <v>8</v>
      </c>
      <c r="D211" s="317" t="s">
        <v>1429</v>
      </c>
      <c r="F211" s="214">
        <v>1.365898587947431</v>
      </c>
      <c r="AE211" s="214">
        <v>1.365898587947431</v>
      </c>
    </row>
    <row r="212" spans="1:41" s="280" customFormat="1">
      <c r="B212" s="316" t="s">
        <v>1507</v>
      </c>
      <c r="C212" s="281" t="s">
        <v>333</v>
      </c>
      <c r="D212" s="317" t="s">
        <v>82</v>
      </c>
      <c r="F212" s="283">
        <v>45711</v>
      </c>
      <c r="AE212" s="283">
        <v>45711</v>
      </c>
    </row>
    <row r="213" spans="1:41">
      <c r="C213" s="49"/>
      <c r="F213" s="276"/>
      <c r="AE213" s="276"/>
    </row>
    <row r="214" spans="1:41" s="284" customFormat="1">
      <c r="A214" s="284" t="s">
        <v>7</v>
      </c>
    </row>
    <row r="217" spans="1:41">
      <c r="A217" t="s">
        <v>7</v>
      </c>
      <c r="C217" s="285" t="s">
        <v>33</v>
      </c>
      <c r="D217" s="286"/>
      <c r="E217" s="286"/>
      <c r="F217" s="286"/>
      <c r="G217" s="286"/>
      <c r="H217" s="286"/>
      <c r="I217" s="286"/>
      <c r="J217" s="286"/>
      <c r="K217" s="286"/>
      <c r="L217" s="286"/>
      <c r="M217" s="286"/>
      <c r="N217" s="286"/>
      <c r="O217" s="286"/>
      <c r="P217" s="286"/>
      <c r="Q217" s="286"/>
      <c r="R217" s="287"/>
      <c r="S217" s="287"/>
      <c r="T217" s="287"/>
      <c r="U217" s="287"/>
      <c r="V217" s="287"/>
      <c r="W217" s="287"/>
      <c r="X217" s="287"/>
      <c r="Y217" s="287"/>
      <c r="Z217" s="287"/>
      <c r="AA217" s="287"/>
      <c r="AB217" s="287"/>
      <c r="AC217" s="287"/>
      <c r="AD217" s="286"/>
      <c r="AE217" s="286"/>
      <c r="AF217" s="287"/>
      <c r="AG217" s="288"/>
      <c r="AH217" s="287"/>
      <c r="AI217" s="289"/>
    </row>
    <row r="218" spans="1:41">
      <c r="C218" s="290"/>
      <c r="D218" s="286"/>
      <c r="E218" s="286"/>
      <c r="F218" s="286"/>
      <c r="G218" s="286"/>
      <c r="H218" s="286"/>
      <c r="I218" s="286"/>
      <c r="J218" s="286"/>
      <c r="K218" s="286"/>
      <c r="L218" s="286"/>
      <c r="M218" s="286"/>
      <c r="N218" s="286"/>
      <c r="O218" s="286"/>
      <c r="P218" s="286"/>
      <c r="Q218" s="286"/>
      <c r="R218" s="287"/>
      <c r="S218" s="287"/>
      <c r="T218" s="287"/>
      <c r="U218" s="287"/>
      <c r="V218" s="287"/>
      <c r="W218" s="287"/>
      <c r="X218" s="287"/>
      <c r="Y218" s="287"/>
      <c r="Z218" s="287"/>
      <c r="AA218" s="287"/>
      <c r="AB218" s="287"/>
      <c r="AC218" s="287"/>
      <c r="AD218" s="286"/>
      <c r="AE218" s="286"/>
      <c r="AF218" s="287"/>
      <c r="AG218" s="288"/>
      <c r="AH218" s="287"/>
      <c r="AI218" s="289"/>
    </row>
    <row r="219" spans="1:41">
      <c r="C219" s="291"/>
      <c r="D219" s="291" t="s">
        <v>1329</v>
      </c>
      <c r="E219" s="291"/>
      <c r="F219" s="291" t="str">
        <f t="shared" ref="F219:Z219" si="20">F$5</f>
        <v>VAL</v>
      </c>
      <c r="G219" s="292" t="str">
        <f t="shared" si="20"/>
        <v>1H21A</v>
      </c>
      <c r="H219" s="293" t="str">
        <f t="shared" si="20"/>
        <v>2H21A</v>
      </c>
      <c r="I219" s="292" t="str">
        <f t="shared" si="20"/>
        <v>1H22A</v>
      </c>
      <c r="J219" s="293" t="str">
        <f t="shared" si="20"/>
        <v>2H22A</v>
      </c>
      <c r="K219" s="292" t="str">
        <f t="shared" si="20"/>
        <v>1H23A</v>
      </c>
      <c r="L219" s="293" t="str">
        <f t="shared" si="20"/>
        <v>2H23A</v>
      </c>
      <c r="M219" s="292" t="str">
        <f t="shared" si="20"/>
        <v>1H24E</v>
      </c>
      <c r="N219" s="293" t="str">
        <f t="shared" si="20"/>
        <v>2H24E</v>
      </c>
      <c r="O219" s="292" t="str">
        <f t="shared" si="20"/>
        <v>1H25E</v>
      </c>
      <c r="P219" s="293" t="str">
        <f t="shared" si="20"/>
        <v>2H25E</v>
      </c>
      <c r="Q219" s="292" t="str">
        <f t="shared" si="20"/>
        <v>1H26E</v>
      </c>
      <c r="R219" s="293" t="str">
        <f t="shared" si="20"/>
        <v>2H26E</v>
      </c>
      <c r="S219" s="292" t="str">
        <f t="shared" si="20"/>
        <v>1H27E</v>
      </c>
      <c r="T219" s="293" t="str">
        <f t="shared" si="20"/>
        <v>2H27E</v>
      </c>
      <c r="U219" s="292" t="str">
        <f t="shared" si="20"/>
        <v>1H28E</v>
      </c>
      <c r="V219" s="293" t="str">
        <f t="shared" si="20"/>
        <v>2H28E</v>
      </c>
      <c r="W219" s="292" t="str">
        <f t="shared" si="20"/>
        <v>1H29E</v>
      </c>
      <c r="X219" s="293" t="str">
        <f t="shared" si="20"/>
        <v>2H29E</v>
      </c>
      <c r="Y219" s="292" t="str">
        <f t="shared" si="20"/>
        <v>1H30E</v>
      </c>
      <c r="Z219" s="293" t="str">
        <f t="shared" si="20"/>
        <v>2H30E</v>
      </c>
      <c r="AA219" s="294"/>
      <c r="AB219" s="291"/>
      <c r="AC219" s="291" t="s">
        <v>1329</v>
      </c>
      <c r="AD219" s="291"/>
      <c r="AE219" s="291" t="str">
        <f t="shared" ref="AE219:AO219" si="21">AE$5</f>
        <v>VAL</v>
      </c>
      <c r="AF219" s="295" t="str">
        <f t="shared" si="21"/>
        <v>FY21A</v>
      </c>
      <c r="AG219" s="295" t="str">
        <f t="shared" si="21"/>
        <v>FY22A</v>
      </c>
      <c r="AH219" s="295" t="str">
        <f t="shared" si="21"/>
        <v>FY23A</v>
      </c>
      <c r="AI219" s="295" t="str">
        <f t="shared" si="21"/>
        <v>FY24A</v>
      </c>
      <c r="AJ219" s="295" t="str">
        <f t="shared" si="21"/>
        <v>FY25A</v>
      </c>
      <c r="AK219" s="295" t="str">
        <f t="shared" si="21"/>
        <v>FY26A</v>
      </c>
      <c r="AL219" s="295" t="str">
        <f t="shared" si="21"/>
        <v>FY27A</v>
      </c>
      <c r="AM219" s="295" t="str">
        <f t="shared" si="21"/>
        <v>FY28A</v>
      </c>
      <c r="AN219" s="295" t="str">
        <f t="shared" si="21"/>
        <v>FY29A</v>
      </c>
      <c r="AO219" s="295" t="str">
        <f t="shared" si="21"/>
        <v>FY30A</v>
      </c>
    </row>
    <row r="220" spans="1:41">
      <c r="C220" s="296"/>
      <c r="D220" s="296"/>
      <c r="E220" s="296"/>
      <c r="F220" s="296"/>
      <c r="G220" s="297">
        <f t="shared" ref="G220:Z220" si="22">G$6</f>
        <v>44196</v>
      </c>
      <c r="H220" s="298">
        <f t="shared" si="22"/>
        <v>44377</v>
      </c>
      <c r="I220" s="297">
        <f t="shared" si="22"/>
        <v>44561</v>
      </c>
      <c r="J220" s="298">
        <f t="shared" si="22"/>
        <v>44742</v>
      </c>
      <c r="K220" s="297">
        <f t="shared" si="22"/>
        <v>44926</v>
      </c>
      <c r="L220" s="298">
        <f t="shared" si="22"/>
        <v>45107</v>
      </c>
      <c r="M220" s="297">
        <f t="shared" si="22"/>
        <v>45291</v>
      </c>
      <c r="N220" s="298">
        <f t="shared" si="22"/>
        <v>45473</v>
      </c>
      <c r="O220" s="297">
        <f t="shared" si="22"/>
        <v>45657</v>
      </c>
      <c r="P220" s="298">
        <f t="shared" si="22"/>
        <v>45838</v>
      </c>
      <c r="Q220" s="297">
        <f t="shared" si="22"/>
        <v>46022</v>
      </c>
      <c r="R220" s="298">
        <f t="shared" si="22"/>
        <v>46203</v>
      </c>
      <c r="S220" s="297">
        <f t="shared" si="22"/>
        <v>46387</v>
      </c>
      <c r="T220" s="298">
        <f t="shared" si="22"/>
        <v>46568</v>
      </c>
      <c r="U220" s="297">
        <f t="shared" si="22"/>
        <v>46752</v>
      </c>
      <c r="V220" s="298">
        <f t="shared" si="22"/>
        <v>46934</v>
      </c>
      <c r="W220" s="297">
        <f t="shared" si="22"/>
        <v>47118</v>
      </c>
      <c r="X220" s="298">
        <f t="shared" si="22"/>
        <v>47299</v>
      </c>
      <c r="Y220" s="297">
        <f t="shared" si="22"/>
        <v>47483</v>
      </c>
      <c r="Z220" s="296">
        <f t="shared" si="22"/>
        <v>47664</v>
      </c>
      <c r="AA220" s="299"/>
      <c r="AB220" s="296"/>
      <c r="AC220" s="296"/>
      <c r="AD220" s="296"/>
      <c r="AE220" s="296"/>
      <c r="AF220" s="300">
        <f t="shared" ref="AF220:AO220" si="23">AF$6</f>
        <v>44377</v>
      </c>
      <c r="AG220" s="300">
        <f t="shared" si="23"/>
        <v>44742</v>
      </c>
      <c r="AH220" s="300">
        <f t="shared" si="23"/>
        <v>45107</v>
      </c>
      <c r="AI220" s="300">
        <f t="shared" si="23"/>
        <v>45473</v>
      </c>
      <c r="AJ220" s="300">
        <f t="shared" si="23"/>
        <v>45838</v>
      </c>
      <c r="AK220" s="300">
        <f t="shared" si="23"/>
        <v>46203</v>
      </c>
      <c r="AL220" s="300">
        <f t="shared" si="23"/>
        <v>46568</v>
      </c>
      <c r="AM220" s="300">
        <f t="shared" si="23"/>
        <v>46934</v>
      </c>
      <c r="AN220" s="300">
        <f t="shared" si="23"/>
        <v>47299</v>
      </c>
      <c r="AO220" s="300">
        <f t="shared" si="23"/>
        <v>47664</v>
      </c>
    </row>
    <row r="221" spans="1:41">
      <c r="B221" s="301" t="s">
        <v>1430</v>
      </c>
      <c r="C221" s="302" t="s">
        <v>1508</v>
      </c>
      <c r="D221" s="303" t="str">
        <f t="array" ref="D221">_xlfn.XLOOKUP($B221,$B$114:$B$212,_xlfn.XLOOKUP(D$219,$D$5:$AO$5,$D$114:$AO$212))</f>
        <v>NZ$m</v>
      </c>
      <c r="E221" s="303"/>
      <c r="F221" s="303"/>
      <c r="G221" s="304">
        <f t="array" ref="G221">_xlfn.XLOOKUP($B221,$B$114:$B$212,_xlfn.XLOOKUP(G$219,$D$5:$AO$5,$D$114:$AO$212))</f>
        <v>105.096</v>
      </c>
      <c r="H221" s="304">
        <f t="array" ref="H221">_xlfn.XLOOKUP($B221,$B$114:$B$212,_xlfn.XLOOKUP(H$219,$D$5:$AO$5,$D$114:$AO$212))</f>
        <v>138.50747999999999</v>
      </c>
      <c r="I221" s="304">
        <f t="array" ref="I221">_xlfn.XLOOKUP($B221,$B$114:$B$212,_xlfn.XLOOKUP(I$219,$D$5:$AO$5,$D$114:$AO$212))</f>
        <v>52.2</v>
      </c>
      <c r="J221" s="304">
        <f t="array" ref="J221">_xlfn.XLOOKUP($B221,$B$114:$B$212,_xlfn.XLOOKUP(J$219,$D$5:$AO$5,$D$114:$AO$212))</f>
        <v>109.185</v>
      </c>
      <c r="K221" s="304">
        <f t="array" ref="K221">_xlfn.XLOOKUP($B221,$B$114:$B$212,_xlfn.XLOOKUP(K$219,$D$5:$AO$5,$D$114:$AO$212))</f>
        <v>135.80699999999999</v>
      </c>
      <c r="L221" s="304">
        <f t="array" ref="L221">_xlfn.XLOOKUP($B221,$B$114:$B$212,_xlfn.XLOOKUP(L$219,$D$5:$AO$5,$D$114:$AO$212))</f>
        <v>129.804</v>
      </c>
      <c r="M221" s="304">
        <f t="array" ref="M221">_xlfn.XLOOKUP($B221,$B$114:$B$212,_xlfn.XLOOKUP(M$219,$D$5:$AO$5,$D$114:$AO$212))</f>
        <v>127.9</v>
      </c>
      <c r="N221" s="304">
        <f t="array" ref="N221">_xlfn.XLOOKUP($B221,$B$114:$B$212,_xlfn.XLOOKUP(N$219,$D$5:$AO$5,$D$114:$AO$212))</f>
        <v>119.973</v>
      </c>
      <c r="O221" s="304">
        <f t="array" ref="O221">_xlfn.XLOOKUP($B221,$B$114:$B$212,_xlfn.XLOOKUP(O$219,$D$5:$AO$5,$D$114:$AO$212))</f>
        <v>118.3</v>
      </c>
      <c r="P221" s="304">
        <f t="array" ref="P221">_xlfn.XLOOKUP($B221,$B$114:$B$212,_xlfn.XLOOKUP(P$219,$D$5:$AO$5,$D$114:$AO$212))</f>
        <v>117.9577</v>
      </c>
      <c r="Q221" s="304">
        <f t="array" ref="Q221">_xlfn.XLOOKUP($B221,$B$114:$B$212,_xlfn.XLOOKUP(Q$219,$D$5:$AO$5,$D$114:$AO$212))</f>
        <v>125.398</v>
      </c>
      <c r="R221" s="304">
        <f t="array" ref="R221">_xlfn.XLOOKUP($B221,$B$114:$B$212,_xlfn.XLOOKUP(R$219,$D$5:$AO$5,$D$114:$AO$212))</f>
        <v>125.035162</v>
      </c>
      <c r="S221" s="304">
        <f t="array" ref="S221">_xlfn.XLOOKUP($B221,$B$114:$B$212,_xlfn.XLOOKUP(S$219,$D$5:$AO$5,$D$114:$AO$212))</f>
        <v>135.42984000000001</v>
      </c>
      <c r="T221" s="304">
        <f t="array" ref="T221">_xlfn.XLOOKUP($B221,$B$114:$B$212,_xlfn.XLOOKUP(T$219,$D$5:$AO$5,$D$114:$AO$212))</f>
        <v>135.03797496000001</v>
      </c>
      <c r="U221" s="304">
        <f t="array" ref="U221">_xlfn.XLOOKUP($B221,$B$114:$B$212,_xlfn.XLOOKUP(U$219,$D$5:$AO$5,$D$114:$AO$212))</f>
        <v>142.87848120000001</v>
      </c>
      <c r="V221" s="304">
        <f t="array" ref="V221">_xlfn.XLOOKUP($B221,$B$114:$B$212,_xlfn.XLOOKUP(V$219,$D$5:$AO$5,$D$114:$AO$212))</f>
        <v>143.25216338160001</v>
      </c>
      <c r="W221" s="304">
        <f t="array" ref="W221">_xlfn.XLOOKUP($B221,$B$114:$B$212,_xlfn.XLOOKUP(W$219,$D$5:$AO$5,$D$114:$AO$212))</f>
        <v>150.736797666</v>
      </c>
      <c r="X221" s="304">
        <f t="array" ref="X221">_xlfn.XLOOKUP($B221,$B$114:$B$212,_xlfn.XLOOKUP(X$219,$D$5:$AO$5,$D$114:$AO$212))</f>
        <v>150.30064207985399</v>
      </c>
      <c r="Y221" s="304">
        <f t="array" ref="Y221">_xlfn.XLOOKUP($B221,$B$114:$B$212,_xlfn.XLOOKUP(Y$219,$D$5:$AO$5,$D$114:$AO$212))</f>
        <v>155.25890159598001</v>
      </c>
      <c r="Z221" s="304">
        <f t="array" ref="Z221">_xlfn.XLOOKUP($B221,$B$114:$B$212,_xlfn.XLOOKUP(Z$219,$D$5:$AO$5,$D$114:$AO$212))</f>
        <v>154.8096613422496</v>
      </c>
      <c r="AA221" s="305"/>
      <c r="AB221" s="302" t="str">
        <f t="shared" ref="AB221:AB244" si="24">C221</f>
        <v>Slot Revenue - old</v>
      </c>
      <c r="AC221" s="303" t="str">
        <f t="shared" ref="AC221:AC244" si="25">D221</f>
        <v>NZ$m</v>
      </c>
      <c r="AD221" s="303"/>
      <c r="AE221" s="303"/>
      <c r="AF221" s="304">
        <f t="array" ref="AF221">_xlfn.XLOOKUP($B221,$B$114:$B$212,_xlfn.XLOOKUP(AF$219,$D$5:$AO$5,$D$114:$AO$212))</f>
        <v>243.60347999999999</v>
      </c>
      <c r="AG221" s="304">
        <f t="array" ref="AG221">_xlfn.XLOOKUP($B221,$B$114:$B$212,_xlfn.XLOOKUP(AG$219,$D$5:$AO$5,$D$114:$AO$212))</f>
        <v>161.38499999999999</v>
      </c>
      <c r="AH221" s="304">
        <f t="array" ref="AH221">_xlfn.XLOOKUP($B221,$B$114:$B$212,_xlfn.XLOOKUP(AH$219,$D$5:$AO$5,$D$114:$AO$212))</f>
        <v>265.61099999999999</v>
      </c>
      <c r="AI221" s="304">
        <f t="array" ref="AI221">_xlfn.XLOOKUP($B221,$B$114:$B$212,_xlfn.XLOOKUP(AI$219,$D$5:$AO$5,$D$114:$AO$212))</f>
        <v>247.87299999999999</v>
      </c>
      <c r="AJ221" s="304">
        <f t="array" ref="AJ221">_xlfn.XLOOKUP($B221,$B$114:$B$212,_xlfn.XLOOKUP(AJ$219,$D$5:$AO$5,$D$114:$AO$212))</f>
        <v>236.2577</v>
      </c>
      <c r="AK221" s="304">
        <f t="array" ref="AK221">_xlfn.XLOOKUP($B221,$B$114:$B$212,_xlfn.XLOOKUP(AK$219,$D$5:$AO$5,$D$114:$AO$212))</f>
        <v>250.43316200000001</v>
      </c>
      <c r="AL221" s="304">
        <f t="array" ref="AL221">_xlfn.XLOOKUP($B221,$B$114:$B$212,_xlfn.XLOOKUP(AL$219,$D$5:$AO$5,$D$114:$AO$212))</f>
        <v>270.46781496000011</v>
      </c>
      <c r="AM221" s="304">
        <f t="array" ref="AM221">_xlfn.XLOOKUP($B221,$B$114:$B$212,_xlfn.XLOOKUP(AM$219,$D$5:$AO$5,$D$114:$AO$212))</f>
        <v>286.1306445816</v>
      </c>
      <c r="AN221" s="304">
        <f t="array" ref="AN221">_xlfn.XLOOKUP($B221,$B$114:$B$212,_xlfn.XLOOKUP(AN$219,$D$5:$AO$5,$D$114:$AO$212))</f>
        <v>301.03743974585399</v>
      </c>
      <c r="AO221" s="304">
        <f t="array" ref="AO221">_xlfn.XLOOKUP($B221,$B$114:$B$212,_xlfn.XLOOKUP(AO$219,$D$5:$AO$5,$D$114:$AO$212))</f>
        <v>310.0685629382296</v>
      </c>
    </row>
    <row r="222" spans="1:41">
      <c r="B222" s="301" t="s">
        <v>1430</v>
      </c>
      <c r="C222" s="306" t="s">
        <v>1509</v>
      </c>
      <c r="D222" s="307" t="str">
        <f t="array" ref="D222">_xlfn.XLOOKUP($B222,$B$11:$B$109,_xlfn.XLOOKUP(D$219,$D$5:$AO$5,$D$11:$AO$109))</f>
        <v>NZ$m</v>
      </c>
      <c r="E222" s="307"/>
      <c r="F222" s="307"/>
      <c r="G222" s="308">
        <f t="array" ref="G222">_xlfn.XLOOKUP($B222,$B$11:$B$109,_xlfn.XLOOKUP(G$219,$D$5:$AO$5,$D$11:$AO$109))</f>
        <v>105.096</v>
      </c>
      <c r="H222" s="308">
        <f t="array" ref="H222">_xlfn.XLOOKUP($B222,$B$11:$B$109,_xlfn.XLOOKUP(H$219,$D$5:$AO$5,$D$11:$AO$109))</f>
        <v>138.50748000000002</v>
      </c>
      <c r="I222" s="308">
        <f t="array" ref="I222">_xlfn.XLOOKUP($B222,$B$11:$B$109,_xlfn.XLOOKUP(I$219,$D$5:$AO$5,$D$11:$AO$109))</f>
        <v>52.2</v>
      </c>
      <c r="J222" s="308">
        <f t="array" ref="J222">_xlfn.XLOOKUP($B222,$B$11:$B$109,_xlfn.XLOOKUP(J$219,$D$5:$AO$5,$D$11:$AO$109))</f>
        <v>109.185</v>
      </c>
      <c r="K222" s="308">
        <f t="array" ref="K222">_xlfn.XLOOKUP($B222,$B$11:$B$109,_xlfn.XLOOKUP(K$219,$D$5:$AO$5,$D$11:$AO$109))</f>
        <v>135.6</v>
      </c>
      <c r="L222" s="308">
        <f t="array" ref="L222">_xlfn.XLOOKUP($B222,$B$11:$B$109,_xlfn.XLOOKUP(L$219,$D$5:$AO$5,$D$11:$AO$109))</f>
        <v>129.70000000000002</v>
      </c>
      <c r="M222" s="308">
        <f t="array" ref="M222">_xlfn.XLOOKUP($B222,$B$11:$B$109,_xlfn.XLOOKUP(M$219,$D$5:$AO$5,$D$11:$AO$109))</f>
        <v>127.9</v>
      </c>
      <c r="N222" s="308">
        <f t="array" ref="N222">_xlfn.XLOOKUP($B222,$B$11:$B$109,_xlfn.XLOOKUP(N$219,$D$5:$AO$5,$D$11:$AO$109))</f>
        <v>119.79999999999998</v>
      </c>
      <c r="O222" s="308">
        <f t="array" ref="O222">_xlfn.XLOOKUP($B222,$B$11:$B$109,_xlfn.XLOOKUP(O$219,$D$5:$AO$5,$D$11:$AO$109))</f>
        <v>118.3</v>
      </c>
      <c r="P222" s="308">
        <f t="array" ref="P222">_xlfn.XLOOKUP($B222,$B$11:$B$109,_xlfn.XLOOKUP(P$219,$D$5:$AO$5,$D$11:$AO$109))</f>
        <v>115.60000000000001</v>
      </c>
      <c r="Q222" s="308">
        <f t="array" ref="Q222">_xlfn.XLOOKUP($B222,$B$11:$B$109,_xlfn.XLOOKUP(Q$219,$D$5:$AO$5,$D$11:$AO$109))</f>
        <v>110.9</v>
      </c>
      <c r="R222" s="308">
        <f t="array" ref="R222">_xlfn.XLOOKUP($B222,$B$11:$B$109,_xlfn.XLOOKUP(R$219,$D$5:$AO$5,$D$11:$AO$109))</f>
        <v>103.1</v>
      </c>
      <c r="S222" s="308">
        <f t="array" ref="S222">_xlfn.XLOOKUP($B222,$B$11:$B$109,_xlfn.XLOOKUP(S$219,$D$5:$AO$5,$D$11:$AO$109))</f>
        <v>99</v>
      </c>
      <c r="T222" s="308">
        <f t="array" ref="T222">_xlfn.XLOOKUP($B222,$B$11:$B$109,_xlfn.XLOOKUP(T$219,$D$5:$AO$5,$D$11:$AO$109))</f>
        <v>103</v>
      </c>
      <c r="U222" s="308">
        <f t="array" ref="U222">_xlfn.XLOOKUP($B222,$B$11:$B$109,_xlfn.XLOOKUP(U$219,$D$5:$AO$5,$D$11:$AO$109))</f>
        <v>110</v>
      </c>
      <c r="V222" s="308">
        <f t="array" ref="V222">_xlfn.XLOOKUP($B222,$B$11:$B$109,_xlfn.XLOOKUP(V$219,$D$5:$AO$5,$D$11:$AO$109))</f>
        <v>108.66499999999999</v>
      </c>
      <c r="W222" s="308">
        <f t="array" ref="W222">_xlfn.XLOOKUP($B222,$B$11:$B$109,_xlfn.XLOOKUP(W$219,$D$5:$AO$5,$D$11:$AO$109))</f>
        <v>113.3</v>
      </c>
      <c r="X222" s="308">
        <f t="array" ref="X222">_xlfn.XLOOKUP($B222,$B$11:$B$109,_xlfn.XLOOKUP(X$219,$D$5:$AO$5,$D$11:$AO$109))</f>
        <v>111.92495</v>
      </c>
      <c r="Y222" s="308">
        <f t="array" ref="Y222">_xlfn.XLOOKUP($B222,$B$11:$B$109,_xlfn.XLOOKUP(Y$219,$D$5:$AO$5,$D$11:$AO$109))</f>
        <v>116.699</v>
      </c>
      <c r="Z222" s="308">
        <f t="array" ref="Z222">_xlfn.XLOOKUP($B222,$B$11:$B$109,_xlfn.XLOOKUP(Z$219,$D$5:$AO$5,$D$11:$AO$109))</f>
        <v>115.2826985</v>
      </c>
      <c r="AA222" s="308"/>
      <c r="AB222" s="306" t="str">
        <f t="shared" si="24"/>
        <v>Slot Revenue - New</v>
      </c>
      <c r="AC222" s="307" t="str">
        <f t="shared" si="25"/>
        <v>NZ$m</v>
      </c>
      <c r="AD222" s="307"/>
      <c r="AE222" s="307"/>
      <c r="AF222" s="308">
        <f t="array" ref="AF222">_xlfn.XLOOKUP($B222,$B$11:$B$109,_xlfn.XLOOKUP(AF$219,$D$5:$AO$5,$D$11:$AO$109))</f>
        <v>243.60348000000002</v>
      </c>
      <c r="AG222" s="308">
        <f t="array" ref="AG222">_xlfn.XLOOKUP($B222,$B$11:$B$109,_xlfn.XLOOKUP(AG$219,$D$5:$AO$5,$D$11:$AO$109))</f>
        <v>161.38499999999999</v>
      </c>
      <c r="AH222" s="308">
        <f t="array" ref="AH222">_xlfn.XLOOKUP($B222,$B$11:$B$109,_xlfn.XLOOKUP(AH$219,$D$5:$AO$5,$D$11:$AO$109))</f>
        <v>265.3</v>
      </c>
      <c r="AI222" s="308">
        <f t="array" ref="AI222">_xlfn.XLOOKUP($B222,$B$11:$B$109,_xlfn.XLOOKUP(AI$219,$D$5:$AO$5,$D$11:$AO$109))</f>
        <v>247.7</v>
      </c>
      <c r="AJ222" s="308">
        <f t="array" ref="AJ222">_xlfn.XLOOKUP($B222,$B$11:$B$109,_xlfn.XLOOKUP(AJ$219,$D$5:$AO$5,$D$11:$AO$109))</f>
        <v>233.9</v>
      </c>
      <c r="AK222" s="308">
        <f t="array" ref="AK222">_xlfn.XLOOKUP($B222,$B$11:$B$109,_xlfn.XLOOKUP(AK$219,$D$5:$AO$5,$D$11:$AO$109))</f>
        <v>214</v>
      </c>
      <c r="AL222" s="308">
        <f t="array" ref="AL222">_xlfn.XLOOKUP($B222,$B$11:$B$109,_xlfn.XLOOKUP(AL$219,$D$5:$AO$5,$D$11:$AO$109))</f>
        <v>202</v>
      </c>
      <c r="AM222" s="308">
        <f t="array" ref="AM222">_xlfn.XLOOKUP($B222,$B$11:$B$109,_xlfn.XLOOKUP(AM$219,$D$5:$AO$5,$D$11:$AO$109))</f>
        <v>218.66499999999999</v>
      </c>
      <c r="AN222" s="308">
        <f t="array" ref="AN222">_xlfn.XLOOKUP($B222,$B$11:$B$109,_xlfn.XLOOKUP(AN$219,$D$5:$AO$5,$D$11:$AO$109))</f>
        <v>225.22494999999998</v>
      </c>
      <c r="AO222" s="308">
        <f t="array" ref="AO222">_xlfn.XLOOKUP($B222,$B$11:$B$109,_xlfn.XLOOKUP(AO$219,$D$5:$AO$5,$D$11:$AO$109))</f>
        <v>231.98169849999999</v>
      </c>
    </row>
    <row r="223" spans="1:41" hidden="1" outlineLevel="1">
      <c r="C223" s="309" t="s">
        <v>1510</v>
      </c>
      <c r="D223" s="303" t="s">
        <v>88</v>
      </c>
      <c r="E223" s="303"/>
      <c r="F223" s="303"/>
      <c r="G223" s="310" t="s">
        <v>967</v>
      </c>
      <c r="H223" s="310" t="s">
        <v>967</v>
      </c>
      <c r="I223" s="310">
        <f t="shared" ref="I223:Z223" si="26">I222/G222-1</f>
        <v>-0.50331125827814571</v>
      </c>
      <c r="J223" s="310">
        <f t="shared" si="26"/>
        <v>-0.21170322353709714</v>
      </c>
      <c r="K223" s="310">
        <f t="shared" si="26"/>
        <v>1.5977011494252871</v>
      </c>
      <c r="L223" s="310">
        <f t="shared" si="26"/>
        <v>0.18789210972203163</v>
      </c>
      <c r="M223" s="310">
        <f t="shared" si="26"/>
        <v>-5.6784660766961537E-2</v>
      </c>
      <c r="N223" s="310">
        <f t="shared" si="26"/>
        <v>-7.6329992289900006E-2</v>
      </c>
      <c r="O223" s="310">
        <f t="shared" si="26"/>
        <v>-7.5058639562157969E-2</v>
      </c>
      <c r="P223" s="310">
        <f t="shared" si="26"/>
        <v>-3.5058430717862854E-2</v>
      </c>
      <c r="Q223" s="310">
        <f t="shared" si="26"/>
        <v>-6.2552831783600937E-2</v>
      </c>
      <c r="R223" s="310">
        <f t="shared" si="26"/>
        <v>-0.10813148788927351</v>
      </c>
      <c r="S223" s="310">
        <f t="shared" si="26"/>
        <v>-0.10730387736699731</v>
      </c>
      <c r="T223" s="310">
        <f t="shared" si="26"/>
        <v>-9.6993210475260216E-4</v>
      </c>
      <c r="U223" s="310">
        <f t="shared" si="26"/>
        <v>0.11111111111111116</v>
      </c>
      <c r="V223" s="310">
        <f t="shared" si="26"/>
        <v>5.4999999999999938E-2</v>
      </c>
      <c r="W223" s="310">
        <f t="shared" si="26"/>
        <v>3.0000000000000027E-2</v>
      </c>
      <c r="X223" s="310">
        <f t="shared" si="26"/>
        <v>3.0000000000000027E-2</v>
      </c>
      <c r="Y223" s="310">
        <f t="shared" si="26"/>
        <v>3.0000000000000027E-2</v>
      </c>
      <c r="Z223" s="310">
        <f t="shared" si="26"/>
        <v>3.0000000000000027E-2</v>
      </c>
      <c r="AA223" s="311"/>
      <c r="AB223" s="309" t="str">
        <f t="shared" si="24"/>
        <v>- Growth</v>
      </c>
      <c r="AC223" s="303" t="str">
        <f t="shared" si="25"/>
        <v>%</v>
      </c>
      <c r="AD223" s="303"/>
      <c r="AE223" s="303"/>
      <c r="AF223" s="310" t="s">
        <v>967</v>
      </c>
      <c r="AG223" s="310">
        <f t="shared" ref="AG223:AO223" si="27">AG222/AF222-1</f>
        <v>-0.3375094641505122</v>
      </c>
      <c r="AH223" s="310">
        <f t="shared" si="27"/>
        <v>0.64389503361526801</v>
      </c>
      <c r="AI223" s="310">
        <f t="shared" si="27"/>
        <v>-6.6339992461364572E-2</v>
      </c>
      <c r="AJ223" s="310">
        <f t="shared" si="27"/>
        <v>-5.5712555510698314E-2</v>
      </c>
      <c r="AK223" s="310">
        <f t="shared" si="27"/>
        <v>-8.5079093629756297E-2</v>
      </c>
      <c r="AL223" s="310">
        <f t="shared" si="27"/>
        <v>-5.6074766355140193E-2</v>
      </c>
      <c r="AM223" s="310">
        <f t="shared" si="27"/>
        <v>8.2500000000000018E-2</v>
      </c>
      <c r="AN223" s="310">
        <f t="shared" si="27"/>
        <v>3.0000000000000027E-2</v>
      </c>
      <c r="AO223" s="310">
        <f t="shared" si="27"/>
        <v>3.0000000000000027E-2</v>
      </c>
    </row>
    <row r="224" spans="1:41" collapsed="1">
      <c r="C224" s="309" t="s">
        <v>1511</v>
      </c>
      <c r="D224" s="303" t="s">
        <v>88</v>
      </c>
      <c r="E224" s="303"/>
      <c r="F224" s="303"/>
      <c r="G224" s="310">
        <f t="shared" ref="G224:Z224" si="28">IFERROR(ROUND( G222 / G221,2) - 1, 0)</f>
        <v>0</v>
      </c>
      <c r="H224" s="310">
        <f t="shared" si="28"/>
        <v>0</v>
      </c>
      <c r="I224" s="310">
        <f t="shared" si="28"/>
        <v>0</v>
      </c>
      <c r="J224" s="310">
        <f t="shared" si="28"/>
        <v>0</v>
      </c>
      <c r="K224" s="310">
        <f t="shared" si="28"/>
        <v>0</v>
      </c>
      <c r="L224" s="310">
        <f t="shared" si="28"/>
        <v>0</v>
      </c>
      <c r="M224" s="310">
        <f t="shared" si="28"/>
        <v>0</v>
      </c>
      <c r="N224" s="310">
        <f t="shared" si="28"/>
        <v>0</v>
      </c>
      <c r="O224" s="310">
        <f t="shared" si="28"/>
        <v>0</v>
      </c>
      <c r="P224" s="310">
        <f t="shared" si="28"/>
        <v>-2.0000000000000018E-2</v>
      </c>
      <c r="Q224" s="310">
        <f t="shared" si="28"/>
        <v>-0.12</v>
      </c>
      <c r="R224" s="310">
        <f t="shared" si="28"/>
        <v>-0.18000000000000005</v>
      </c>
      <c r="S224" s="310">
        <f t="shared" si="28"/>
        <v>-0.27</v>
      </c>
      <c r="T224" s="310">
        <f t="shared" si="28"/>
        <v>-0.24</v>
      </c>
      <c r="U224" s="310">
        <f t="shared" si="28"/>
        <v>-0.22999999999999998</v>
      </c>
      <c r="V224" s="310">
        <f t="shared" si="28"/>
        <v>-0.24</v>
      </c>
      <c r="W224" s="310">
        <f t="shared" si="28"/>
        <v>-0.25</v>
      </c>
      <c r="X224" s="310">
        <f t="shared" si="28"/>
        <v>-0.26</v>
      </c>
      <c r="Y224" s="310">
        <f t="shared" si="28"/>
        <v>-0.25</v>
      </c>
      <c r="Z224" s="310">
        <f t="shared" si="28"/>
        <v>-0.26</v>
      </c>
      <c r="AA224" s="310"/>
      <c r="AB224" s="309" t="str">
        <f t="shared" si="24"/>
        <v>- Revision</v>
      </c>
      <c r="AC224" s="303" t="str">
        <f t="shared" si="25"/>
        <v>%</v>
      </c>
      <c r="AD224" s="303"/>
      <c r="AE224" s="303"/>
      <c r="AF224" s="310">
        <f t="shared" ref="AF224:AO224" si="29">IFERROR(ROUND( AF222 / AF221,2) - 1, 0)</f>
        <v>0</v>
      </c>
      <c r="AG224" s="310">
        <f t="shared" si="29"/>
        <v>0</v>
      </c>
      <c r="AH224" s="310">
        <f t="shared" si="29"/>
        <v>0</v>
      </c>
      <c r="AI224" s="310">
        <f t="shared" si="29"/>
        <v>0</v>
      </c>
      <c r="AJ224" s="310">
        <f t="shared" si="29"/>
        <v>-1.0000000000000009E-2</v>
      </c>
      <c r="AK224" s="310">
        <f t="shared" si="29"/>
        <v>-0.15000000000000002</v>
      </c>
      <c r="AL224" s="310">
        <f t="shared" si="29"/>
        <v>-0.25</v>
      </c>
      <c r="AM224" s="310">
        <f t="shared" si="29"/>
        <v>-0.24</v>
      </c>
      <c r="AN224" s="310">
        <f t="shared" si="29"/>
        <v>-0.25</v>
      </c>
      <c r="AO224" s="310">
        <f t="shared" si="29"/>
        <v>-0.25</v>
      </c>
    </row>
    <row r="225" spans="2:41">
      <c r="B225" s="301" t="s">
        <v>1431</v>
      </c>
      <c r="C225" s="302" t="s">
        <v>1512</v>
      </c>
      <c r="D225" s="303" t="str">
        <f t="array" ref="D225">_xlfn.XLOOKUP($B225,$B$114:$B$212,_xlfn.XLOOKUP(D$219,$D$5:$AO$5,$D$114:$AO$212))</f>
        <v>NZ$m</v>
      </c>
      <c r="E225" s="303"/>
      <c r="F225" s="303"/>
      <c r="G225" s="304">
        <f t="array" ref="G225">_xlfn.XLOOKUP($B225,$B$114:$B$212,_xlfn.XLOOKUP(G$219,$D$5:$AO$5,$D$114:$AO$212))</f>
        <v>54.896999999999998</v>
      </c>
      <c r="H225" s="304">
        <f t="array" ref="H225">_xlfn.XLOOKUP($B225,$B$114:$B$212,_xlfn.XLOOKUP(H$219,$D$5:$AO$5,$D$114:$AO$212))</f>
        <v>68.036609999999996</v>
      </c>
      <c r="I225" s="304">
        <f t="array" ref="I225">_xlfn.XLOOKUP($B225,$B$114:$B$212,_xlfn.XLOOKUP(I$219,$D$5:$AO$5,$D$114:$AO$212))</f>
        <v>20.445</v>
      </c>
      <c r="J225" s="304">
        <f t="array" ref="J225">_xlfn.XLOOKUP($B225,$B$114:$B$212,_xlfn.XLOOKUP(J$219,$D$5:$AO$5,$D$114:$AO$212))</f>
        <v>44.805</v>
      </c>
      <c r="K225" s="304">
        <f t="array" ref="K225">_xlfn.XLOOKUP($B225,$B$114:$B$212,_xlfn.XLOOKUP(K$219,$D$5:$AO$5,$D$114:$AO$212))</f>
        <v>57.594000000000001</v>
      </c>
      <c r="L225" s="304">
        <f t="array" ref="L225">_xlfn.XLOOKUP($B225,$B$114:$B$212,_xlfn.XLOOKUP(L$219,$D$5:$AO$5,$D$114:$AO$212))</f>
        <v>63.85799999999999</v>
      </c>
      <c r="M225" s="304">
        <f t="array" ref="M225">_xlfn.XLOOKUP($B225,$B$114:$B$212,_xlfn.XLOOKUP(M$219,$D$5:$AO$5,$D$114:$AO$212))</f>
        <v>66.400000000000006</v>
      </c>
      <c r="N225" s="304">
        <f t="array" ref="N225">_xlfn.XLOOKUP($B225,$B$114:$B$212,_xlfn.XLOOKUP(N$219,$D$5:$AO$5,$D$114:$AO$212))</f>
        <v>61.160999999999987</v>
      </c>
      <c r="O225" s="304">
        <f t="array" ref="O225">_xlfn.XLOOKUP($B225,$B$114:$B$212,_xlfn.XLOOKUP(O$219,$D$5:$AO$5,$D$114:$AO$212))</f>
        <v>57.1</v>
      </c>
      <c r="P225" s="304">
        <f t="array" ref="P225">_xlfn.XLOOKUP($B225,$B$114:$B$212,_xlfn.XLOOKUP(P$219,$D$5:$AO$5,$D$114:$AO$212))</f>
        <v>56.444850000000002</v>
      </c>
      <c r="Q225" s="304">
        <f t="array" ref="Q225">_xlfn.XLOOKUP($B225,$B$114:$B$212,_xlfn.XLOOKUP(Q$219,$D$5:$AO$5,$D$114:$AO$212))</f>
        <v>57.670999999999999</v>
      </c>
      <c r="R225" s="304">
        <f t="array" ref="R225">_xlfn.XLOOKUP($B225,$B$114:$B$212,_xlfn.XLOOKUP(R$219,$D$5:$AO$5,$D$114:$AO$212))</f>
        <v>57.0092985</v>
      </c>
      <c r="S225" s="304">
        <f t="array" ref="S225">_xlfn.XLOOKUP($B225,$B$114:$B$212,_xlfn.XLOOKUP(S$219,$D$5:$AO$5,$D$114:$AO$212))</f>
        <v>58.247709999999991</v>
      </c>
      <c r="T225" s="304">
        <f t="array" ref="T225">_xlfn.XLOOKUP($B225,$B$114:$B$212,_xlfn.XLOOKUP(T$219,$D$5:$AO$5,$D$114:$AO$212))</f>
        <v>57.579391485000002</v>
      </c>
      <c r="U225" s="304">
        <f t="array" ref="U225">_xlfn.XLOOKUP($B225,$B$114:$B$212,_xlfn.XLOOKUP(U$219,$D$5:$AO$5,$D$114:$AO$212))</f>
        <v>58.830187100000003</v>
      </c>
      <c r="V225" s="304">
        <f t="array" ref="V225">_xlfn.XLOOKUP($B225,$B$114:$B$212,_xlfn.XLOOKUP(V$219,$D$5:$AO$5,$D$114:$AO$212))</f>
        <v>58.476484766699997</v>
      </c>
      <c r="W225" s="304">
        <f t="array" ref="W225">_xlfn.XLOOKUP($B225,$B$114:$B$212,_xlfn.XLOOKUP(W$219,$D$5:$AO$5,$D$114:$AO$212))</f>
        <v>59.418488971000002</v>
      </c>
      <c r="X225" s="304">
        <f t="array" ref="X225">_xlfn.XLOOKUP($B225,$B$114:$B$212,_xlfn.XLOOKUP(X$219,$D$5:$AO$5,$D$114:$AO$212))</f>
        <v>58.73673725384851</v>
      </c>
      <c r="Y225" s="304">
        <f t="array" ref="Y225">_xlfn.XLOOKUP($B225,$B$114:$B$212,_xlfn.XLOOKUP(Y$219,$D$5:$AO$5,$D$114:$AO$212))</f>
        <v>60.012673860710002</v>
      </c>
      <c r="Z225" s="304">
        <f t="array" ref="Z225">_xlfn.XLOOKUP($B225,$B$114:$B$212,_xlfn.XLOOKUP(Z$219,$D$5:$AO$5,$D$114:$AO$212))</f>
        <v>59.32410462638699</v>
      </c>
      <c r="AA225" s="305"/>
      <c r="AB225" s="302" t="str">
        <f t="shared" si="24"/>
        <v>Tables Revenue - old</v>
      </c>
      <c r="AC225" s="303" t="str">
        <f t="shared" si="25"/>
        <v>NZ$m</v>
      </c>
      <c r="AD225" s="303"/>
      <c r="AE225" s="303"/>
      <c r="AF225" s="304">
        <f t="array" ref="AF225">_xlfn.XLOOKUP($B225,$B$114:$B$212,_xlfn.XLOOKUP(AF$219,$D$5:$AO$5,$D$114:$AO$212))</f>
        <v>122.93361</v>
      </c>
      <c r="AG225" s="304">
        <f t="array" ref="AG225">_xlfn.XLOOKUP($B225,$B$114:$B$212,_xlfn.XLOOKUP(AG$219,$D$5:$AO$5,$D$114:$AO$212))</f>
        <v>65.25</v>
      </c>
      <c r="AH225" s="304">
        <f t="array" ref="AH225">_xlfn.XLOOKUP($B225,$B$114:$B$212,_xlfn.XLOOKUP(AH$219,$D$5:$AO$5,$D$114:$AO$212))</f>
        <v>121.452</v>
      </c>
      <c r="AI225" s="304">
        <f t="array" ref="AI225">_xlfn.XLOOKUP($B225,$B$114:$B$212,_xlfn.XLOOKUP(AI$219,$D$5:$AO$5,$D$114:$AO$212))</f>
        <v>127.56100000000001</v>
      </c>
      <c r="AJ225" s="304">
        <f t="array" ref="AJ225">_xlfn.XLOOKUP($B225,$B$114:$B$212,_xlfn.XLOOKUP(AJ$219,$D$5:$AO$5,$D$114:$AO$212))</f>
        <v>113.54485</v>
      </c>
      <c r="AK225" s="304">
        <f t="array" ref="AK225">_xlfn.XLOOKUP($B225,$B$114:$B$212,_xlfn.XLOOKUP(AK$219,$D$5:$AO$5,$D$114:$AO$212))</f>
        <v>114.68029850000001</v>
      </c>
      <c r="AL225" s="304">
        <f t="array" ref="AL225">_xlfn.XLOOKUP($B225,$B$114:$B$212,_xlfn.XLOOKUP(AL$219,$D$5:$AO$5,$D$114:$AO$212))</f>
        <v>115.827101485</v>
      </c>
      <c r="AM225" s="304">
        <f t="array" ref="AM225">_xlfn.XLOOKUP($B225,$B$114:$B$212,_xlfn.XLOOKUP(AM$219,$D$5:$AO$5,$D$114:$AO$212))</f>
        <v>117.3066718667</v>
      </c>
      <c r="AN225" s="304">
        <f t="array" ref="AN225">_xlfn.XLOOKUP($B225,$B$114:$B$212,_xlfn.XLOOKUP(AN$219,$D$5:$AO$5,$D$114:$AO$212))</f>
        <v>118.15522622484851</v>
      </c>
      <c r="AO225" s="304">
        <f t="array" ref="AO225">_xlfn.XLOOKUP($B225,$B$114:$B$212,_xlfn.XLOOKUP(AO$219,$D$5:$AO$5,$D$114:$AO$212))</f>
        <v>119.33677848709701</v>
      </c>
    </row>
    <row r="226" spans="2:41">
      <c r="B226" s="301" t="s">
        <v>1431</v>
      </c>
      <c r="C226" s="306" t="s">
        <v>1513</v>
      </c>
      <c r="D226" s="307" t="str">
        <f t="array" ref="D226">_xlfn.XLOOKUP($B226,$B$11:$B$109,_xlfn.XLOOKUP(D$219,$D$5:$AO$5,$D$11:$AO$109))</f>
        <v>NZ$m</v>
      </c>
      <c r="E226" s="307"/>
      <c r="F226" s="307"/>
      <c r="G226" s="308">
        <f t="array" ref="G226">_xlfn.XLOOKUP($B226,$B$11:$B$109,_xlfn.XLOOKUP(G$219,$D$5:$AO$5,$D$11:$AO$109))</f>
        <v>54.896999999999998</v>
      </c>
      <c r="H226" s="308">
        <f t="array" ref="H226">_xlfn.XLOOKUP($B226,$B$11:$B$109,_xlfn.XLOOKUP(H$219,$D$5:$AO$5,$D$11:$AO$109))</f>
        <v>68.036609999999996</v>
      </c>
      <c r="I226" s="308">
        <f t="array" ref="I226">_xlfn.XLOOKUP($B226,$B$11:$B$109,_xlfn.XLOOKUP(I$219,$D$5:$AO$5,$D$11:$AO$109))</f>
        <v>20.445</v>
      </c>
      <c r="J226" s="308">
        <f t="array" ref="J226">_xlfn.XLOOKUP($B226,$B$11:$B$109,_xlfn.XLOOKUP(J$219,$D$5:$AO$5,$D$11:$AO$109))</f>
        <v>44.805</v>
      </c>
      <c r="K226" s="308">
        <f t="array" ref="K226">_xlfn.XLOOKUP($B226,$B$11:$B$109,_xlfn.XLOOKUP(K$219,$D$5:$AO$5,$D$11:$AO$109))</f>
        <v>57.7</v>
      </c>
      <c r="L226" s="308">
        <f t="array" ref="L226">_xlfn.XLOOKUP($B226,$B$11:$B$109,_xlfn.XLOOKUP(L$219,$D$5:$AO$5,$D$11:$AO$109))</f>
        <v>63.899999999999991</v>
      </c>
      <c r="M226" s="308">
        <f t="array" ref="M226">_xlfn.XLOOKUP($B226,$B$11:$B$109,_xlfn.XLOOKUP(M$219,$D$5:$AO$5,$D$11:$AO$109))</f>
        <v>66.400000000000006</v>
      </c>
      <c r="N226" s="308">
        <f t="array" ref="N226">_xlfn.XLOOKUP($B226,$B$11:$B$109,_xlfn.XLOOKUP(N$219,$D$5:$AO$5,$D$11:$AO$109))</f>
        <v>61.199999999999989</v>
      </c>
      <c r="O226" s="308">
        <f t="array" ref="O226">_xlfn.XLOOKUP($B226,$B$11:$B$109,_xlfn.XLOOKUP(O$219,$D$5:$AO$5,$D$11:$AO$109))</f>
        <v>57.1</v>
      </c>
      <c r="P226" s="308">
        <f t="array" ref="P226">_xlfn.XLOOKUP($B226,$B$11:$B$109,_xlfn.XLOOKUP(P$219,$D$5:$AO$5,$D$11:$AO$109))</f>
        <v>57.6</v>
      </c>
      <c r="Q226" s="308">
        <f t="array" ref="Q226">_xlfn.XLOOKUP($B226,$B$11:$B$109,_xlfn.XLOOKUP(Q$219,$D$5:$AO$5,$D$11:$AO$109))</f>
        <v>54.5</v>
      </c>
      <c r="R226" s="308">
        <f t="array" ref="R226">_xlfn.XLOOKUP($B226,$B$11:$B$109,_xlfn.XLOOKUP(R$219,$D$5:$AO$5,$D$11:$AO$109))</f>
        <v>49.900000000000006</v>
      </c>
      <c r="S226" s="308">
        <f t="array" ref="S226">_xlfn.XLOOKUP($B226,$B$11:$B$109,_xlfn.XLOOKUP(S$219,$D$5:$AO$5,$D$11:$AO$109))</f>
        <v>47</v>
      </c>
      <c r="T226" s="308">
        <f t="array" ref="T226">_xlfn.XLOOKUP($B226,$B$11:$B$109,_xlfn.XLOOKUP(T$219,$D$5:$AO$5,$D$11:$AO$109))</f>
        <v>48</v>
      </c>
      <c r="U226" s="308">
        <f t="array" ref="U226">_xlfn.XLOOKUP($B226,$B$11:$B$109,_xlfn.XLOOKUP(U$219,$D$5:$AO$5,$D$11:$AO$109))</f>
        <v>49</v>
      </c>
      <c r="V226" s="308">
        <f t="array" ref="V226">_xlfn.XLOOKUP($B226,$B$11:$B$109,_xlfn.XLOOKUP(V$219,$D$5:$AO$5,$D$11:$AO$109))</f>
        <v>49.92</v>
      </c>
      <c r="W226" s="308">
        <f t="array" ref="W226">_xlfn.XLOOKUP($B226,$B$11:$B$109,_xlfn.XLOOKUP(W$219,$D$5:$AO$5,$D$11:$AO$109))</f>
        <v>49.49</v>
      </c>
      <c r="X226" s="308">
        <f t="array" ref="X226">_xlfn.XLOOKUP($B226,$B$11:$B$109,_xlfn.XLOOKUP(X$219,$D$5:$AO$5,$D$11:$AO$109))</f>
        <v>50.419200000000004</v>
      </c>
      <c r="Y226" s="308">
        <f t="array" ref="Y226">_xlfn.XLOOKUP($B226,$B$11:$B$109,_xlfn.XLOOKUP(Y$219,$D$5:$AO$5,$D$11:$AO$109))</f>
        <v>49.984900000000003</v>
      </c>
      <c r="Z226" s="308">
        <f t="array" ref="Z226">_xlfn.XLOOKUP($B226,$B$11:$B$109,_xlfn.XLOOKUP(Z$219,$D$5:$AO$5,$D$11:$AO$109))</f>
        <v>50.923392000000007</v>
      </c>
      <c r="AA226" s="308"/>
      <c r="AB226" s="306" t="str">
        <f t="shared" si="24"/>
        <v>Tables Revenue - New</v>
      </c>
      <c r="AC226" s="307" t="str">
        <f t="shared" si="25"/>
        <v>NZ$m</v>
      </c>
      <c r="AD226" s="307"/>
      <c r="AE226" s="307"/>
      <c r="AF226" s="308">
        <f t="array" ref="AF226">_xlfn.XLOOKUP($B226,$B$11:$B$109,_xlfn.XLOOKUP(AF$219,$D$5:$AO$5,$D$11:$AO$109))</f>
        <v>122.93360999999999</v>
      </c>
      <c r="AG226" s="308">
        <f t="array" ref="AG226">_xlfn.XLOOKUP($B226,$B$11:$B$109,_xlfn.XLOOKUP(AG$219,$D$5:$AO$5,$D$11:$AO$109))</f>
        <v>65.25</v>
      </c>
      <c r="AH226" s="308">
        <f t="array" ref="AH226">_xlfn.XLOOKUP($B226,$B$11:$B$109,_xlfn.XLOOKUP(AH$219,$D$5:$AO$5,$D$11:$AO$109))</f>
        <v>121.6</v>
      </c>
      <c r="AI226" s="308">
        <f t="array" ref="AI226">_xlfn.XLOOKUP($B226,$B$11:$B$109,_xlfn.XLOOKUP(AI$219,$D$5:$AO$5,$D$11:$AO$109))</f>
        <v>127.6</v>
      </c>
      <c r="AJ226" s="308">
        <f t="array" ref="AJ226">_xlfn.XLOOKUP($B226,$B$11:$B$109,_xlfn.XLOOKUP(AJ$219,$D$5:$AO$5,$D$11:$AO$109))</f>
        <v>114.7</v>
      </c>
      <c r="AK226" s="308">
        <f t="array" ref="AK226">_xlfn.XLOOKUP($B226,$B$11:$B$109,_xlfn.XLOOKUP(AK$219,$D$5:$AO$5,$D$11:$AO$109))</f>
        <v>104.4</v>
      </c>
      <c r="AL226" s="308">
        <f t="array" ref="AL226">_xlfn.XLOOKUP($B226,$B$11:$B$109,_xlfn.XLOOKUP(AL$219,$D$5:$AO$5,$D$11:$AO$109))</f>
        <v>95</v>
      </c>
      <c r="AM226" s="308">
        <f t="array" ref="AM226">_xlfn.XLOOKUP($B226,$B$11:$B$109,_xlfn.XLOOKUP(AM$219,$D$5:$AO$5,$D$11:$AO$109))</f>
        <v>98.92</v>
      </c>
      <c r="AN226" s="308">
        <f t="array" ref="AN226">_xlfn.XLOOKUP($B226,$B$11:$B$109,_xlfn.XLOOKUP(AN$219,$D$5:$AO$5,$D$11:$AO$109))</f>
        <v>99.909199999999998</v>
      </c>
      <c r="AO226" s="308">
        <f t="array" ref="AO226">_xlfn.XLOOKUP($B226,$B$11:$B$109,_xlfn.XLOOKUP(AO$219,$D$5:$AO$5,$D$11:$AO$109))</f>
        <v>100.90829200000002</v>
      </c>
    </row>
    <row r="227" spans="2:41" hidden="1" outlineLevel="1">
      <c r="C227" s="309" t="s">
        <v>1510</v>
      </c>
      <c r="D227" s="303" t="s">
        <v>88</v>
      </c>
      <c r="E227" s="303"/>
      <c r="F227" s="303"/>
      <c r="G227" s="310" t="s">
        <v>967</v>
      </c>
      <c r="H227" s="310" t="s">
        <v>967</v>
      </c>
      <c r="I227" s="310">
        <f t="shared" ref="I227:Z227" si="30">I226/G226-1</f>
        <v>-0.62757527733755936</v>
      </c>
      <c r="J227" s="310">
        <f t="shared" si="30"/>
        <v>-0.34145748884313898</v>
      </c>
      <c r="K227" s="310">
        <f t="shared" si="30"/>
        <v>1.8222059183174371</v>
      </c>
      <c r="L227" s="310">
        <f t="shared" si="30"/>
        <v>0.42618011382658172</v>
      </c>
      <c r="M227" s="310">
        <f t="shared" si="30"/>
        <v>0.15077989601386488</v>
      </c>
      <c r="N227" s="310">
        <f t="shared" si="30"/>
        <v>-4.2253521126760618E-2</v>
      </c>
      <c r="O227" s="310">
        <f t="shared" si="30"/>
        <v>-0.1400602409638555</v>
      </c>
      <c r="P227" s="310">
        <f t="shared" si="30"/>
        <v>-5.8823529411764497E-2</v>
      </c>
      <c r="Q227" s="310">
        <f t="shared" si="30"/>
        <v>-4.5534150612959734E-2</v>
      </c>
      <c r="R227" s="310">
        <f t="shared" si="30"/>
        <v>-0.13368055555555547</v>
      </c>
      <c r="S227" s="310">
        <f t="shared" si="30"/>
        <v>-0.13761467889908252</v>
      </c>
      <c r="T227" s="310">
        <f t="shared" si="30"/>
        <v>-3.8076152304609368E-2</v>
      </c>
      <c r="U227" s="310">
        <f t="shared" si="30"/>
        <v>4.2553191489361764E-2</v>
      </c>
      <c r="V227" s="310">
        <f t="shared" si="30"/>
        <v>4.0000000000000036E-2</v>
      </c>
      <c r="W227" s="310">
        <f t="shared" si="30"/>
        <v>1.0000000000000009E-2</v>
      </c>
      <c r="X227" s="310">
        <f t="shared" si="30"/>
        <v>1.0000000000000009E-2</v>
      </c>
      <c r="Y227" s="310">
        <f t="shared" si="30"/>
        <v>1.0000000000000009E-2</v>
      </c>
      <c r="Z227" s="310">
        <f t="shared" si="30"/>
        <v>1.0000000000000009E-2</v>
      </c>
      <c r="AA227" s="311"/>
      <c r="AB227" s="309" t="str">
        <f t="shared" si="24"/>
        <v>- Growth</v>
      </c>
      <c r="AC227" s="303" t="str">
        <f t="shared" si="25"/>
        <v>%</v>
      </c>
      <c r="AD227" s="303"/>
      <c r="AE227" s="303"/>
      <c r="AF227" s="310" t="s">
        <v>967</v>
      </c>
      <c r="AG227" s="310">
        <f t="shared" ref="AG227:AO227" si="31">AG226/AF226-1</f>
        <v>-0.4692257064605847</v>
      </c>
      <c r="AH227" s="310">
        <f t="shared" si="31"/>
        <v>0.86360153256704963</v>
      </c>
      <c r="AI227" s="310">
        <f t="shared" si="31"/>
        <v>4.9342105263157965E-2</v>
      </c>
      <c r="AJ227" s="310">
        <f t="shared" si="31"/>
        <v>-0.10109717868338552</v>
      </c>
      <c r="AK227" s="310">
        <f t="shared" si="31"/>
        <v>-8.9799476896251118E-2</v>
      </c>
      <c r="AL227" s="310">
        <f t="shared" si="31"/>
        <v>-9.0038314176245304E-2</v>
      </c>
      <c r="AM227" s="310">
        <f t="shared" si="31"/>
        <v>4.126315789473689E-2</v>
      </c>
      <c r="AN227" s="310">
        <f t="shared" si="31"/>
        <v>1.0000000000000009E-2</v>
      </c>
      <c r="AO227" s="310">
        <f t="shared" si="31"/>
        <v>1.0000000000000231E-2</v>
      </c>
    </row>
    <row r="228" spans="2:41" collapsed="1">
      <c r="C228" s="309" t="s">
        <v>1511</v>
      </c>
      <c r="D228" s="303" t="s">
        <v>88</v>
      </c>
      <c r="E228" s="303"/>
      <c r="F228" s="303"/>
      <c r="G228" s="310">
        <f t="shared" ref="G228:Z228" si="32">IFERROR(ROUND( G226 / G225,2) - 1, 0)</f>
        <v>0</v>
      </c>
      <c r="H228" s="310">
        <f t="shared" si="32"/>
        <v>0</v>
      </c>
      <c r="I228" s="310">
        <f t="shared" si="32"/>
        <v>0</v>
      </c>
      <c r="J228" s="310">
        <f t="shared" si="32"/>
        <v>0</v>
      </c>
      <c r="K228" s="310">
        <f t="shared" si="32"/>
        <v>0</v>
      </c>
      <c r="L228" s="310">
        <f t="shared" si="32"/>
        <v>0</v>
      </c>
      <c r="M228" s="310">
        <f t="shared" si="32"/>
        <v>0</v>
      </c>
      <c r="N228" s="310">
        <f t="shared" si="32"/>
        <v>0</v>
      </c>
      <c r="O228" s="310">
        <f t="shared" si="32"/>
        <v>0</v>
      </c>
      <c r="P228" s="310">
        <f t="shared" si="32"/>
        <v>2.0000000000000018E-2</v>
      </c>
      <c r="Q228" s="310">
        <f t="shared" si="32"/>
        <v>-5.0000000000000044E-2</v>
      </c>
      <c r="R228" s="310">
        <f t="shared" si="32"/>
        <v>-0.12</v>
      </c>
      <c r="S228" s="310">
        <f t="shared" si="32"/>
        <v>-0.18999999999999995</v>
      </c>
      <c r="T228" s="310">
        <f t="shared" si="32"/>
        <v>-0.17000000000000004</v>
      </c>
      <c r="U228" s="310">
        <f t="shared" si="32"/>
        <v>-0.17000000000000004</v>
      </c>
      <c r="V228" s="310">
        <f t="shared" si="32"/>
        <v>-0.15000000000000002</v>
      </c>
      <c r="W228" s="310">
        <f t="shared" si="32"/>
        <v>-0.17000000000000004</v>
      </c>
      <c r="X228" s="310">
        <f t="shared" si="32"/>
        <v>-0.14000000000000001</v>
      </c>
      <c r="Y228" s="310">
        <f t="shared" si="32"/>
        <v>-0.17000000000000004</v>
      </c>
      <c r="Z228" s="310">
        <f t="shared" si="32"/>
        <v>-0.14000000000000001</v>
      </c>
      <c r="AA228" s="310"/>
      <c r="AB228" s="309" t="str">
        <f t="shared" si="24"/>
        <v>- Revision</v>
      </c>
      <c r="AC228" s="303" t="str">
        <f t="shared" si="25"/>
        <v>%</v>
      </c>
      <c r="AD228" s="303"/>
      <c r="AE228" s="303"/>
      <c r="AF228" s="310">
        <f t="shared" ref="AF228:AO228" si="33">IFERROR(ROUND( AF226 / AF225,2) - 1, 0)</f>
        <v>0</v>
      </c>
      <c r="AG228" s="310">
        <f t="shared" si="33"/>
        <v>0</v>
      </c>
      <c r="AH228" s="310">
        <f t="shared" si="33"/>
        <v>0</v>
      </c>
      <c r="AI228" s="310">
        <f t="shared" si="33"/>
        <v>0</v>
      </c>
      <c r="AJ228" s="310">
        <f t="shared" si="33"/>
        <v>1.0000000000000009E-2</v>
      </c>
      <c r="AK228" s="310">
        <f t="shared" si="33"/>
        <v>-8.9999999999999969E-2</v>
      </c>
      <c r="AL228" s="310">
        <f t="shared" si="33"/>
        <v>-0.18000000000000005</v>
      </c>
      <c r="AM228" s="310">
        <f t="shared" si="33"/>
        <v>-0.16000000000000003</v>
      </c>
      <c r="AN228" s="310">
        <f t="shared" si="33"/>
        <v>-0.15000000000000002</v>
      </c>
      <c r="AO228" s="310">
        <f t="shared" si="33"/>
        <v>-0.15000000000000002</v>
      </c>
    </row>
    <row r="229" spans="2:41">
      <c r="B229" s="301" t="s">
        <v>1432</v>
      </c>
      <c r="C229" s="302" t="s">
        <v>1514</v>
      </c>
      <c r="D229" s="303" t="str">
        <f t="array" ref="D229">_xlfn.XLOOKUP($B229,$B$114:$B$212,_xlfn.XLOOKUP(D$219,$D$5:$AO$5,$D$114:$AO$212))</f>
        <v>NZ$m</v>
      </c>
      <c r="E229" s="303"/>
      <c r="F229" s="303"/>
      <c r="G229" s="304">
        <f t="array" ref="G229">_xlfn.XLOOKUP($B229,$B$114:$B$212,_xlfn.XLOOKUP(G$219,$D$5:$AO$5,$D$114:$AO$212))</f>
        <v>46.9</v>
      </c>
      <c r="H229" s="304">
        <f t="array" ref="H229">_xlfn.XLOOKUP($B229,$B$114:$B$212,_xlfn.XLOOKUP(H$219,$D$5:$AO$5,$D$114:$AO$212))</f>
        <v>44.000000000000007</v>
      </c>
      <c r="I229" s="304">
        <f t="array" ref="I229">_xlfn.XLOOKUP($B229,$B$114:$B$212,_xlfn.XLOOKUP(I$219,$D$5:$AO$5,$D$114:$AO$212))</f>
        <v>35</v>
      </c>
      <c r="J229" s="304">
        <f t="array" ref="J229">_xlfn.XLOOKUP($B229,$B$114:$B$212,_xlfn.XLOOKUP(J$219,$D$5:$AO$5,$D$114:$AO$212))</f>
        <v>35.099999999999987</v>
      </c>
      <c r="K229" s="304">
        <f t="array" ref="K229">_xlfn.XLOOKUP($B229,$B$114:$B$212,_xlfn.XLOOKUP(K$219,$D$5:$AO$5,$D$114:$AO$212))</f>
        <v>58.6</v>
      </c>
      <c r="L229" s="304">
        <f t="array" ref="L229">_xlfn.XLOOKUP($B229,$B$114:$B$212,_xlfn.XLOOKUP(L$219,$D$5:$AO$5,$D$114:$AO$212))</f>
        <v>65.300000000000011</v>
      </c>
      <c r="M229" s="304">
        <f t="array" ref="M229">_xlfn.XLOOKUP($B229,$B$114:$B$212,_xlfn.XLOOKUP(M$219,$D$5:$AO$5,$D$114:$AO$212))</f>
        <v>73.7</v>
      </c>
      <c r="N229" s="304">
        <f t="array" ref="N229">_xlfn.XLOOKUP($B229,$B$114:$B$212,_xlfn.XLOOKUP(N$219,$D$5:$AO$5,$D$114:$AO$212))</f>
        <v>78.100000000000009</v>
      </c>
      <c r="O229" s="304">
        <f t="array" ref="O229">_xlfn.XLOOKUP($B229,$B$114:$B$212,_xlfn.XLOOKUP(O$219,$D$5:$AO$5,$D$114:$AO$212))</f>
        <v>77</v>
      </c>
      <c r="P229" s="304">
        <f t="array" ref="P229">_xlfn.XLOOKUP($B229,$B$114:$B$212,_xlfn.XLOOKUP(P$219,$D$5:$AO$5,$D$114:$AO$212))</f>
        <v>81</v>
      </c>
      <c r="Q229" s="304">
        <f t="array" ref="Q229">_xlfn.XLOOKUP($B229,$B$114:$B$212,_xlfn.XLOOKUP(Q$219,$D$5:$AO$5,$D$114:$AO$212))</f>
        <v>85</v>
      </c>
      <c r="R229" s="304">
        <f t="array" ref="R229">_xlfn.XLOOKUP($B229,$B$114:$B$212,_xlfn.XLOOKUP(R$219,$D$5:$AO$5,$D$114:$AO$212))</f>
        <v>99.37</v>
      </c>
      <c r="S229" s="304">
        <f t="array" ref="S229">_xlfn.XLOOKUP($B229,$B$114:$B$212,_xlfn.XLOOKUP(S$219,$D$5:$AO$5,$D$114:$AO$212))</f>
        <v>103.6</v>
      </c>
      <c r="T229" s="304">
        <f t="array" ref="T229">_xlfn.XLOOKUP($B229,$B$114:$B$212,_xlfn.XLOOKUP(T$219,$D$5:$AO$5,$D$114:$AO$212))</f>
        <v>104.32769999999999</v>
      </c>
      <c r="U229" s="304">
        <f t="array" ref="U229">_xlfn.XLOOKUP($B229,$B$114:$B$212,_xlfn.XLOOKUP(U$219,$D$5:$AO$5,$D$114:$AO$212))</f>
        <v>108.801</v>
      </c>
      <c r="V229" s="304">
        <f t="array" ref="V229">_xlfn.XLOOKUP($B229,$B$114:$B$212,_xlfn.XLOOKUP(V$219,$D$5:$AO$5,$D$114:$AO$212))</f>
        <v>109.539637</v>
      </c>
      <c r="W229" s="304">
        <f t="array" ref="W229">_xlfn.XLOOKUP($B229,$B$114:$B$212,_xlfn.XLOOKUP(W$219,$D$5:$AO$5,$D$114:$AO$212))</f>
        <v>113.15304</v>
      </c>
      <c r="X229" s="304">
        <f t="array" ref="X229">_xlfn.XLOOKUP($B229,$B$114:$B$212,_xlfn.XLOOKUP(X$219,$D$5:$AO$5,$D$114:$AO$212))</f>
        <v>113.92122248</v>
      </c>
      <c r="Y229" s="304">
        <f t="array" ref="Y229">_xlfn.XLOOKUP($B229,$B$114:$B$212,_xlfn.XLOOKUP(Y$219,$D$5:$AO$5,$D$114:$AO$212))</f>
        <v>117.6791616</v>
      </c>
      <c r="Z229" s="304">
        <f t="array" ref="Z229">_xlfn.XLOOKUP($B229,$B$114:$B$212,_xlfn.XLOOKUP(Z$219,$D$5:$AO$5,$D$114:$AO$212))</f>
        <v>118.4780713792</v>
      </c>
      <c r="AA229" s="305"/>
      <c r="AB229" s="302" t="str">
        <f t="shared" si="24"/>
        <v>Non Gaming Revenue - old</v>
      </c>
      <c r="AC229" s="303" t="str">
        <f t="shared" si="25"/>
        <v>NZ$m</v>
      </c>
      <c r="AD229" s="303"/>
      <c r="AE229" s="303"/>
      <c r="AF229" s="304">
        <f t="array" ref="AF229">_xlfn.XLOOKUP($B229,$B$114:$B$212,_xlfn.XLOOKUP(AF$219,$D$5:$AO$5,$D$114:$AO$212))</f>
        <v>90.9</v>
      </c>
      <c r="AG229" s="304">
        <f t="array" ref="AG229">_xlfn.XLOOKUP($B229,$B$114:$B$212,_xlfn.XLOOKUP(AG$219,$D$5:$AO$5,$D$114:$AO$212))</f>
        <v>70.099999999999994</v>
      </c>
      <c r="AH229" s="304">
        <f t="array" ref="AH229">_xlfn.XLOOKUP($B229,$B$114:$B$212,_xlfn.XLOOKUP(AH$219,$D$5:$AO$5,$D$114:$AO$212))</f>
        <v>123.9</v>
      </c>
      <c r="AI229" s="304">
        <f t="array" ref="AI229">_xlfn.XLOOKUP($B229,$B$114:$B$212,_xlfn.XLOOKUP(AI$219,$D$5:$AO$5,$D$114:$AO$212))</f>
        <v>151.80000000000001</v>
      </c>
      <c r="AJ229" s="304">
        <f t="array" ref="AJ229">_xlfn.XLOOKUP($B229,$B$114:$B$212,_xlfn.XLOOKUP(AJ$219,$D$5:$AO$5,$D$114:$AO$212))</f>
        <v>158</v>
      </c>
      <c r="AK229" s="304">
        <f t="array" ref="AK229">_xlfn.XLOOKUP($B229,$B$114:$B$212,_xlfn.XLOOKUP(AK$219,$D$5:$AO$5,$D$114:$AO$212))</f>
        <v>184.37</v>
      </c>
      <c r="AL229" s="304">
        <f t="array" ref="AL229">_xlfn.XLOOKUP($B229,$B$114:$B$212,_xlfn.XLOOKUP(AL$219,$D$5:$AO$5,$D$114:$AO$212))</f>
        <v>207.92769999999999</v>
      </c>
      <c r="AM229" s="304">
        <f t="array" ref="AM229">_xlfn.XLOOKUP($B229,$B$114:$B$212,_xlfn.XLOOKUP(AM$219,$D$5:$AO$5,$D$114:$AO$212))</f>
        <v>218.34063699999999</v>
      </c>
      <c r="AN229" s="304">
        <f t="array" ref="AN229">_xlfn.XLOOKUP($B229,$B$114:$B$212,_xlfn.XLOOKUP(AN$219,$D$5:$AO$5,$D$114:$AO$212))</f>
        <v>227.07426247999999</v>
      </c>
      <c r="AO229" s="304">
        <f t="array" ref="AO229">_xlfn.XLOOKUP($B229,$B$114:$B$212,_xlfn.XLOOKUP(AO$219,$D$5:$AO$5,$D$114:$AO$212))</f>
        <v>236.15723297919999</v>
      </c>
    </row>
    <row r="230" spans="2:41">
      <c r="B230" s="301" t="s">
        <v>1432</v>
      </c>
      <c r="C230" s="318" t="s">
        <v>1515</v>
      </c>
      <c r="D230" s="307" t="str">
        <f t="array" ref="D230">_xlfn.XLOOKUP($B230,$B$11:$B$109,_xlfn.XLOOKUP(D$219,$D$5:$AO$5,$D$11:$AO$109))</f>
        <v>NZ$m</v>
      </c>
      <c r="E230" s="307"/>
      <c r="F230" s="307"/>
      <c r="G230" s="308">
        <f t="array" ref="G230">_xlfn.XLOOKUP($B230,$B$11:$B$109,_xlfn.XLOOKUP(G$219,$D$5:$AO$5,$D$11:$AO$109))</f>
        <v>46.9</v>
      </c>
      <c r="H230" s="308">
        <f t="array" ref="H230">_xlfn.XLOOKUP($B230,$B$11:$B$109,_xlfn.XLOOKUP(H$219,$D$5:$AO$5,$D$11:$AO$109))</f>
        <v>44.000000000000007</v>
      </c>
      <c r="I230" s="308">
        <f t="array" ref="I230">_xlfn.XLOOKUP($B230,$B$11:$B$109,_xlfn.XLOOKUP(I$219,$D$5:$AO$5,$D$11:$AO$109))</f>
        <v>35</v>
      </c>
      <c r="J230" s="308">
        <f t="array" ref="J230">_xlfn.XLOOKUP($B230,$B$11:$B$109,_xlfn.XLOOKUP(J$219,$D$5:$AO$5,$D$11:$AO$109))</f>
        <v>35.099999999999987</v>
      </c>
      <c r="K230" s="308">
        <f t="array" ref="K230">_xlfn.XLOOKUP($B230,$B$11:$B$109,_xlfn.XLOOKUP(K$219,$D$5:$AO$5,$D$11:$AO$109))</f>
        <v>58.6</v>
      </c>
      <c r="L230" s="308">
        <f t="array" ref="L230">_xlfn.XLOOKUP($B230,$B$11:$B$109,_xlfn.XLOOKUP(L$219,$D$5:$AO$5,$D$11:$AO$109))</f>
        <v>65.300000000000011</v>
      </c>
      <c r="M230" s="308">
        <f t="array" ref="M230">_xlfn.XLOOKUP($B230,$B$11:$B$109,_xlfn.XLOOKUP(M$219,$D$5:$AO$5,$D$11:$AO$109))</f>
        <v>73.7</v>
      </c>
      <c r="N230" s="308">
        <f t="array" ref="N230">_xlfn.XLOOKUP($B230,$B$11:$B$109,_xlfn.XLOOKUP(N$219,$D$5:$AO$5,$D$11:$AO$109))</f>
        <v>78.100000000000009</v>
      </c>
      <c r="O230" s="308">
        <f t="array" ref="O230">_xlfn.XLOOKUP($B230,$B$11:$B$109,_xlfn.XLOOKUP(O$219,$D$5:$AO$5,$D$11:$AO$109))</f>
        <v>77</v>
      </c>
      <c r="P230" s="308">
        <f t="array" ref="P230">_xlfn.XLOOKUP($B230,$B$11:$B$109,_xlfn.XLOOKUP(P$219,$D$5:$AO$5,$D$11:$AO$109))</f>
        <v>79.400000000000006</v>
      </c>
      <c r="Q230" s="308">
        <f t="array" ref="Q230">_xlfn.XLOOKUP($B230,$B$11:$B$109,_xlfn.XLOOKUP(Q$219,$D$5:$AO$5,$D$11:$AO$109))</f>
        <v>83.5</v>
      </c>
      <c r="R230" s="308">
        <f t="array" ref="R230">_xlfn.XLOOKUP($B230,$B$11:$B$109,_xlfn.XLOOKUP(R$219,$D$5:$AO$5,$D$11:$AO$109))</f>
        <v>97.9</v>
      </c>
      <c r="S230" s="308">
        <f t="array" ref="S230">_xlfn.XLOOKUP($B230,$B$11:$B$109,_xlfn.XLOOKUP(S$219,$D$5:$AO$5,$D$11:$AO$109))</f>
        <v>107</v>
      </c>
      <c r="T230" s="308">
        <f t="array" ref="T230">_xlfn.XLOOKUP($B230,$B$11:$B$109,_xlfn.XLOOKUP(T$219,$D$5:$AO$5,$D$11:$AO$109))</f>
        <v>104</v>
      </c>
      <c r="U230" s="308">
        <f t="array" ref="U230">_xlfn.XLOOKUP($B230,$B$11:$B$109,_xlfn.XLOOKUP(U$219,$D$5:$AO$5,$D$11:$AO$109))</f>
        <v>110</v>
      </c>
      <c r="V230" s="308">
        <f t="array" ref="V230">_xlfn.XLOOKUP($B230,$B$11:$B$109,_xlfn.XLOOKUP(V$219,$D$5:$AO$5,$D$11:$AO$109))</f>
        <v>109.72</v>
      </c>
      <c r="W230" s="308">
        <f t="array" ref="W230">_xlfn.XLOOKUP($B230,$B$11:$B$109,_xlfn.XLOOKUP(W$219,$D$5:$AO$5,$D$11:$AO$109))</f>
        <v>114.4</v>
      </c>
      <c r="X230" s="308">
        <f t="array" ref="X230">_xlfn.XLOOKUP($B230,$B$11:$B$109,_xlfn.XLOOKUP(X$219,$D$5:$AO$5,$D$11:$AO$109))</f>
        <v>114.1088</v>
      </c>
      <c r="Y230" s="308">
        <f t="array" ref="Y230">_xlfn.XLOOKUP($B230,$B$11:$B$109,_xlfn.XLOOKUP(Y$219,$D$5:$AO$5,$D$11:$AO$109))</f>
        <v>118.976</v>
      </c>
      <c r="Z230" s="308">
        <f t="array" ref="Z230">_xlfn.XLOOKUP($B230,$B$11:$B$109,_xlfn.XLOOKUP(Z$219,$D$5:$AO$5,$D$11:$AO$109))</f>
        <v>118.673152</v>
      </c>
      <c r="AA230" s="308"/>
      <c r="AB230" s="306" t="str">
        <f t="shared" si="24"/>
        <v>Non Gaming Revenue - New</v>
      </c>
      <c r="AC230" s="307" t="str">
        <f t="shared" si="25"/>
        <v>NZ$m</v>
      </c>
      <c r="AD230" s="307"/>
      <c r="AE230" s="307"/>
      <c r="AF230" s="308">
        <f t="array" ref="AF230">_xlfn.XLOOKUP($B230,$B$11:$B$109,_xlfn.XLOOKUP(AF$219,$D$5:$AO$5,$D$11:$AO$109))</f>
        <v>90.9</v>
      </c>
      <c r="AG230" s="308">
        <f t="array" ref="AG230">_xlfn.XLOOKUP($B230,$B$11:$B$109,_xlfn.XLOOKUP(AG$219,$D$5:$AO$5,$D$11:$AO$109))</f>
        <v>70.099999999999994</v>
      </c>
      <c r="AH230" s="308">
        <f t="array" ref="AH230">_xlfn.XLOOKUP($B230,$B$11:$B$109,_xlfn.XLOOKUP(AH$219,$D$5:$AO$5,$D$11:$AO$109))</f>
        <v>123.9</v>
      </c>
      <c r="AI230" s="308">
        <f t="array" ref="AI230">_xlfn.XLOOKUP($B230,$B$11:$B$109,_xlfn.XLOOKUP(AI$219,$D$5:$AO$5,$D$11:$AO$109))</f>
        <v>151.80000000000001</v>
      </c>
      <c r="AJ230" s="308">
        <f t="array" ref="AJ230">_xlfn.XLOOKUP($B230,$B$11:$B$109,_xlfn.XLOOKUP(AJ$219,$D$5:$AO$5,$D$11:$AO$109))</f>
        <v>156.4</v>
      </c>
      <c r="AK230" s="308">
        <f t="array" ref="AK230">_xlfn.XLOOKUP($B230,$B$11:$B$109,_xlfn.XLOOKUP(AK$219,$D$5:$AO$5,$D$11:$AO$109))</f>
        <v>181.4</v>
      </c>
      <c r="AL230" s="308">
        <f t="array" ref="AL230">_xlfn.XLOOKUP($B230,$B$11:$B$109,_xlfn.XLOOKUP(AL$219,$D$5:$AO$5,$D$11:$AO$109))</f>
        <v>211</v>
      </c>
      <c r="AM230" s="308">
        <f t="array" ref="AM230">_xlfn.XLOOKUP($B230,$B$11:$B$109,_xlfn.XLOOKUP(AM$219,$D$5:$AO$5,$D$11:$AO$109))</f>
        <v>219.72</v>
      </c>
      <c r="AN230" s="308">
        <f t="array" ref="AN230">_xlfn.XLOOKUP($B230,$B$11:$B$109,_xlfn.XLOOKUP(AN$219,$D$5:$AO$5,$D$11:$AO$109))</f>
        <v>228.50880000000001</v>
      </c>
      <c r="AO230" s="308">
        <f t="array" ref="AO230">_xlfn.XLOOKUP($B230,$B$11:$B$109,_xlfn.XLOOKUP(AO$219,$D$5:$AO$5,$D$11:$AO$109))</f>
        <v>237.64915200000002</v>
      </c>
    </row>
    <row r="231" spans="2:41" hidden="1" outlineLevel="1">
      <c r="B231" s="301"/>
      <c r="C231" s="309" t="s">
        <v>1510</v>
      </c>
      <c r="D231" s="303" t="s">
        <v>88</v>
      </c>
      <c r="E231" s="303"/>
      <c r="F231" s="303"/>
      <c r="G231" s="310" t="s">
        <v>967</v>
      </c>
      <c r="H231" s="310" t="s">
        <v>967</v>
      </c>
      <c r="I231" s="310">
        <f t="shared" ref="I231:Z231" si="34">I230/G230-1</f>
        <v>-0.25373134328358204</v>
      </c>
      <c r="J231" s="310">
        <f t="shared" si="34"/>
        <v>-0.20227272727272771</v>
      </c>
      <c r="K231" s="310">
        <f t="shared" si="34"/>
        <v>0.67428571428571438</v>
      </c>
      <c r="L231" s="310">
        <f t="shared" si="34"/>
        <v>0.86039886039886149</v>
      </c>
      <c r="M231" s="310">
        <f t="shared" si="34"/>
        <v>0.25767918088737196</v>
      </c>
      <c r="N231" s="310">
        <f t="shared" si="34"/>
        <v>0.19601837672281763</v>
      </c>
      <c r="O231" s="310">
        <f t="shared" si="34"/>
        <v>4.4776119402984982E-2</v>
      </c>
      <c r="P231" s="310">
        <f t="shared" si="34"/>
        <v>1.6645326504481472E-2</v>
      </c>
      <c r="Q231" s="310">
        <f t="shared" si="34"/>
        <v>8.4415584415584499E-2</v>
      </c>
      <c r="R231" s="310">
        <f t="shared" si="34"/>
        <v>0.23299748110831242</v>
      </c>
      <c r="S231" s="310">
        <f t="shared" si="34"/>
        <v>0.2814371257485031</v>
      </c>
      <c r="T231" s="310">
        <f t="shared" si="34"/>
        <v>6.2308478038815007E-2</v>
      </c>
      <c r="U231" s="310">
        <f t="shared" si="34"/>
        <v>2.8037383177569986E-2</v>
      </c>
      <c r="V231" s="310">
        <f t="shared" si="34"/>
        <v>5.4999999999999938E-2</v>
      </c>
      <c r="W231" s="310">
        <f t="shared" si="34"/>
        <v>4.0000000000000036E-2</v>
      </c>
      <c r="X231" s="310">
        <f t="shared" si="34"/>
        <v>4.0000000000000036E-2</v>
      </c>
      <c r="Y231" s="310">
        <f t="shared" si="34"/>
        <v>4.0000000000000036E-2</v>
      </c>
      <c r="Z231" s="310">
        <f t="shared" si="34"/>
        <v>4.0000000000000036E-2</v>
      </c>
      <c r="AA231" s="311"/>
      <c r="AB231" s="309" t="str">
        <f t="shared" si="24"/>
        <v>- Growth</v>
      </c>
      <c r="AC231" s="303" t="str">
        <f t="shared" si="25"/>
        <v>%</v>
      </c>
      <c r="AD231" s="303"/>
      <c r="AE231" s="303"/>
      <c r="AF231" s="310" t="s">
        <v>967</v>
      </c>
      <c r="AG231" s="310">
        <f t="shared" ref="AG231:AO231" si="35">AG230/AF230-1</f>
        <v>-0.22882288228822889</v>
      </c>
      <c r="AH231" s="310">
        <f t="shared" si="35"/>
        <v>0.76747503566333841</v>
      </c>
      <c r="AI231" s="310">
        <f t="shared" si="35"/>
        <v>0.22518159806295412</v>
      </c>
      <c r="AJ231" s="310">
        <f t="shared" si="35"/>
        <v>3.0303030303030276E-2</v>
      </c>
      <c r="AK231" s="310">
        <f t="shared" si="35"/>
        <v>0.15984654731457804</v>
      </c>
      <c r="AL231" s="310">
        <f t="shared" si="35"/>
        <v>0.16317530319735396</v>
      </c>
      <c r="AM231" s="310">
        <f t="shared" si="35"/>
        <v>4.132701421800955E-2</v>
      </c>
      <c r="AN231" s="310">
        <f t="shared" si="35"/>
        <v>4.0000000000000036E-2</v>
      </c>
      <c r="AO231" s="310">
        <f t="shared" si="35"/>
        <v>4.0000000000000036E-2</v>
      </c>
    </row>
    <row r="232" spans="2:41" collapsed="1">
      <c r="B232" s="301"/>
      <c r="C232" s="309" t="s">
        <v>1511</v>
      </c>
      <c r="D232" s="303" t="s">
        <v>88</v>
      </c>
      <c r="E232" s="303"/>
      <c r="F232" s="303"/>
      <c r="G232" s="310">
        <f t="shared" ref="G232:Z232" si="36">IFERROR(ROUND( G230 / G229,2) - 1, 0)</f>
        <v>0</v>
      </c>
      <c r="H232" s="310">
        <f t="shared" si="36"/>
        <v>0</v>
      </c>
      <c r="I232" s="310">
        <f t="shared" si="36"/>
        <v>0</v>
      </c>
      <c r="J232" s="310">
        <f t="shared" si="36"/>
        <v>0</v>
      </c>
      <c r="K232" s="310">
        <f t="shared" si="36"/>
        <v>0</v>
      </c>
      <c r="L232" s="310">
        <f t="shared" si="36"/>
        <v>0</v>
      </c>
      <c r="M232" s="310">
        <f t="shared" si="36"/>
        <v>0</v>
      </c>
      <c r="N232" s="310">
        <f t="shared" si="36"/>
        <v>0</v>
      </c>
      <c r="O232" s="310">
        <f t="shared" si="36"/>
        <v>0</v>
      </c>
      <c r="P232" s="310">
        <f t="shared" si="36"/>
        <v>-2.0000000000000018E-2</v>
      </c>
      <c r="Q232" s="310">
        <f t="shared" si="36"/>
        <v>-2.0000000000000018E-2</v>
      </c>
      <c r="R232" s="310">
        <f t="shared" si="36"/>
        <v>-1.0000000000000009E-2</v>
      </c>
      <c r="S232" s="310">
        <f t="shared" si="36"/>
        <v>3.0000000000000027E-2</v>
      </c>
      <c r="T232" s="310">
        <f t="shared" si="36"/>
        <v>0</v>
      </c>
      <c r="U232" s="310">
        <f t="shared" si="36"/>
        <v>1.0000000000000009E-2</v>
      </c>
      <c r="V232" s="310">
        <f t="shared" si="36"/>
        <v>0</v>
      </c>
      <c r="W232" s="310">
        <f t="shared" si="36"/>
        <v>1.0000000000000009E-2</v>
      </c>
      <c r="X232" s="310">
        <f t="shared" si="36"/>
        <v>0</v>
      </c>
      <c r="Y232" s="310">
        <f t="shared" si="36"/>
        <v>1.0000000000000009E-2</v>
      </c>
      <c r="Z232" s="310">
        <f t="shared" si="36"/>
        <v>0</v>
      </c>
      <c r="AA232" s="310"/>
      <c r="AB232" s="309" t="str">
        <f t="shared" si="24"/>
        <v>- Revision</v>
      </c>
      <c r="AC232" s="303" t="str">
        <f t="shared" si="25"/>
        <v>%</v>
      </c>
      <c r="AD232" s="303"/>
      <c r="AE232" s="303"/>
      <c r="AF232" s="310">
        <f t="shared" ref="AF232:AO232" si="37">IFERROR(ROUND( AF230 / AF229,2) - 1, 0)</f>
        <v>0</v>
      </c>
      <c r="AG232" s="310">
        <f t="shared" si="37"/>
        <v>0</v>
      </c>
      <c r="AH232" s="310">
        <f t="shared" si="37"/>
        <v>0</v>
      </c>
      <c r="AI232" s="310">
        <f t="shared" si="37"/>
        <v>0</v>
      </c>
      <c r="AJ232" s="310">
        <f t="shared" si="37"/>
        <v>-1.0000000000000009E-2</v>
      </c>
      <c r="AK232" s="310">
        <f t="shared" si="37"/>
        <v>-2.0000000000000018E-2</v>
      </c>
      <c r="AL232" s="310">
        <f t="shared" si="37"/>
        <v>1.0000000000000009E-2</v>
      </c>
      <c r="AM232" s="310">
        <f t="shared" si="37"/>
        <v>1.0000000000000009E-2</v>
      </c>
      <c r="AN232" s="310">
        <f t="shared" si="37"/>
        <v>1.0000000000000009E-2</v>
      </c>
      <c r="AO232" s="310">
        <f t="shared" si="37"/>
        <v>1.0000000000000009E-2</v>
      </c>
    </row>
    <row r="233" spans="2:41">
      <c r="B233" s="301" t="s">
        <v>1433</v>
      </c>
      <c r="C233" s="302" t="s">
        <v>1516</v>
      </c>
      <c r="D233" s="303" t="str">
        <f t="array" ref="D233">_xlfn.XLOOKUP($B233,$B$114:$B$212,_xlfn.XLOOKUP(D$219,$D$5:$AO$5,$D$114:$AO$212))</f>
        <v>NZ$m</v>
      </c>
      <c r="E233" s="303"/>
      <c r="F233" s="303"/>
      <c r="G233" s="304">
        <f t="array" ref="G233">_xlfn.XLOOKUP($B233,$B$114:$B$212,_xlfn.XLOOKUP(G$219,$D$5:$AO$5,$D$114:$AO$212))</f>
        <v>206.893</v>
      </c>
      <c r="H233" s="304">
        <f t="array" ref="H233">_xlfn.XLOOKUP($B233,$B$114:$B$212,_xlfn.XLOOKUP(H$219,$D$5:$AO$5,$D$114:$AO$212))</f>
        <v>250.54409000000001</v>
      </c>
      <c r="I233" s="304">
        <f t="array" ref="I233">_xlfn.XLOOKUP($B233,$B$114:$B$212,_xlfn.XLOOKUP(I$219,$D$5:$AO$5,$D$114:$AO$212))</f>
        <v>107.645</v>
      </c>
      <c r="J233" s="304">
        <f t="array" ref="J233">_xlfn.XLOOKUP($B233,$B$114:$B$212,_xlfn.XLOOKUP(J$219,$D$5:$AO$5,$D$114:$AO$212))</f>
        <v>189.09</v>
      </c>
      <c r="K233" s="304">
        <f t="array" ref="K233">_xlfn.XLOOKUP($B233,$B$114:$B$212,_xlfn.XLOOKUP(K$219,$D$5:$AO$5,$D$114:$AO$212))</f>
        <v>260.08100000000002</v>
      </c>
      <c r="L233" s="304">
        <f t="array" ref="L233">_xlfn.XLOOKUP($B233,$B$114:$B$212,_xlfn.XLOOKUP(L$219,$D$5:$AO$5,$D$114:$AO$212))</f>
        <v>263.04199999999997</v>
      </c>
      <c r="M233" s="304">
        <f t="array" ref="M233">_xlfn.XLOOKUP($B233,$B$114:$B$212,_xlfn.XLOOKUP(M$219,$D$5:$AO$5,$D$114:$AO$212))</f>
        <v>280.60000000000002</v>
      </c>
      <c r="N233" s="304">
        <f t="array" ref="N233">_xlfn.XLOOKUP($B233,$B$114:$B$212,_xlfn.XLOOKUP(N$219,$D$5:$AO$5,$D$114:$AO$212))</f>
        <v>266.67399999999998</v>
      </c>
      <c r="O233" s="304">
        <f t="array" ref="O233">_xlfn.XLOOKUP($B233,$B$114:$B$212,_xlfn.XLOOKUP(O$219,$D$5:$AO$5,$D$114:$AO$212))</f>
        <v>258.3</v>
      </c>
      <c r="P233" s="304">
        <f t="array" ref="P233">_xlfn.XLOOKUP($B233,$B$114:$B$212,_xlfn.XLOOKUP(P$219,$D$5:$AO$5,$D$114:$AO$212))</f>
        <v>261.90255000000002</v>
      </c>
      <c r="Q233" s="304">
        <f t="array" ref="Q233">_xlfn.XLOOKUP($B233,$B$114:$B$212,_xlfn.XLOOKUP(Q$219,$D$5:$AO$5,$D$114:$AO$212))</f>
        <v>274.56900000000002</v>
      </c>
      <c r="R233" s="304">
        <f t="array" ref="R233">_xlfn.XLOOKUP($B233,$B$114:$B$212,_xlfn.XLOOKUP(R$219,$D$5:$AO$5,$D$114:$AO$212))</f>
        <v>288.17446050000001</v>
      </c>
      <c r="S233" s="304">
        <f t="array" ref="S233">_xlfn.XLOOKUP($B233,$B$114:$B$212,_xlfn.XLOOKUP(S$219,$D$5:$AO$5,$D$114:$AO$212))</f>
        <v>304.03755000000001</v>
      </c>
      <c r="T233" s="304">
        <f t="array" ref="T233">_xlfn.XLOOKUP($B233,$B$114:$B$212,_xlfn.XLOOKUP(T$219,$D$5:$AO$5,$D$114:$AO$212))</f>
        <v>303.97546644500011</v>
      </c>
      <c r="U233" s="304">
        <f t="array" ref="U233">_xlfn.XLOOKUP($B233,$B$114:$B$212,_xlfn.XLOOKUP(U$219,$D$5:$AO$5,$D$114:$AO$212))</f>
        <v>317.54006829999997</v>
      </c>
      <c r="V233" s="304">
        <f t="array" ref="V233">_xlfn.XLOOKUP($B233,$B$114:$B$212,_xlfn.XLOOKUP(V$219,$D$5:$AO$5,$D$114:$AO$212))</f>
        <v>318.5799011483</v>
      </c>
      <c r="W233" s="304">
        <f t="array" ref="W233">_xlfn.XLOOKUP($B233,$B$114:$B$212,_xlfn.XLOOKUP(W$219,$D$5:$AO$5,$D$114:$AO$212))</f>
        <v>330.61994263700001</v>
      </c>
      <c r="X233" s="304">
        <f t="array" ref="X233">_xlfn.XLOOKUP($B233,$B$114:$B$212,_xlfn.XLOOKUP(X$219,$D$5:$AO$5,$D$114:$AO$212))</f>
        <v>330.56268245370262</v>
      </c>
      <c r="Y233" s="304">
        <f t="array" ref="Y233">_xlfn.XLOOKUP($B233,$B$114:$B$212,_xlfn.XLOOKUP(Y$219,$D$5:$AO$5,$D$114:$AO$212))</f>
        <v>340.55481769669001</v>
      </c>
      <c r="Z233" s="304">
        <f t="array" ref="Z233">_xlfn.XLOOKUP($B233,$B$114:$B$212,_xlfn.XLOOKUP(Z$219,$D$5:$AO$5,$D$114:$AO$212))</f>
        <v>340.5200812134367</v>
      </c>
      <c r="AA233" s="305"/>
      <c r="AB233" s="302" t="str">
        <f t="shared" si="24"/>
        <v>Total Domestic Revenue - old</v>
      </c>
      <c r="AC233" s="303" t="str">
        <f t="shared" si="25"/>
        <v>NZ$m</v>
      </c>
      <c r="AD233" s="303"/>
      <c r="AE233" s="303"/>
      <c r="AF233" s="304">
        <f t="array" ref="AF233">_xlfn.XLOOKUP($B233,$B$114:$B$212,_xlfn.XLOOKUP(AF$219,$D$5:$AO$5,$D$114:$AO$212))</f>
        <v>457.43709000000001</v>
      </c>
      <c r="AG233" s="304">
        <f t="array" ref="AG233">_xlfn.XLOOKUP($B233,$B$114:$B$212,_xlfn.XLOOKUP(AG$219,$D$5:$AO$5,$D$114:$AO$212))</f>
        <v>296.73500000000001</v>
      </c>
      <c r="AH233" s="304">
        <f t="array" ref="AH233">_xlfn.XLOOKUP($B233,$B$114:$B$212,_xlfn.XLOOKUP(AH$219,$D$5:$AO$5,$D$114:$AO$212))</f>
        <v>523.12300000000005</v>
      </c>
      <c r="AI233" s="304">
        <f t="array" ref="AI233">_xlfn.XLOOKUP($B233,$B$114:$B$212,_xlfn.XLOOKUP(AI$219,$D$5:$AO$5,$D$114:$AO$212))</f>
        <v>547.274</v>
      </c>
      <c r="AJ233" s="304">
        <f t="array" ref="AJ233">_xlfn.XLOOKUP($B233,$B$114:$B$212,_xlfn.XLOOKUP(AJ$219,$D$5:$AO$5,$D$114:$AO$212))</f>
        <v>520.20254999999997</v>
      </c>
      <c r="AK233" s="304">
        <f t="array" ref="AK233">_xlfn.XLOOKUP($B233,$B$114:$B$212,_xlfn.XLOOKUP(AK$219,$D$5:$AO$5,$D$114:$AO$212))</f>
        <v>562.74346049999997</v>
      </c>
      <c r="AL233" s="304">
        <f t="array" ref="AL233">_xlfn.XLOOKUP($B233,$B$114:$B$212,_xlfn.XLOOKUP(AL$219,$D$5:$AO$5,$D$114:$AO$212))</f>
        <v>608.01301644500006</v>
      </c>
      <c r="AM233" s="304">
        <f t="array" ref="AM233">_xlfn.XLOOKUP($B233,$B$114:$B$212,_xlfn.XLOOKUP(AM$219,$D$5:$AO$5,$D$114:$AO$212))</f>
        <v>636.11996944830003</v>
      </c>
      <c r="AN233" s="304">
        <f t="array" ref="AN233">_xlfn.XLOOKUP($B233,$B$114:$B$212,_xlfn.XLOOKUP(AN$219,$D$5:$AO$5,$D$114:$AO$212))</f>
        <v>661.18262509070257</v>
      </c>
      <c r="AO233" s="304">
        <f t="array" ref="AO233">_xlfn.XLOOKUP($B233,$B$114:$B$212,_xlfn.XLOOKUP(AO$219,$D$5:$AO$5,$D$114:$AO$212))</f>
        <v>681.07489891012665</v>
      </c>
    </row>
    <row r="234" spans="2:41">
      <c r="B234" s="301" t="s">
        <v>1433</v>
      </c>
      <c r="C234" s="306" t="s">
        <v>1517</v>
      </c>
      <c r="D234" s="307" t="str">
        <f t="array" ref="D234">_xlfn.XLOOKUP($B234,$B$11:$B$109,_xlfn.XLOOKUP(D$219,$D$5:$AO$5,$D$11:$AO$109))</f>
        <v>NZ$m</v>
      </c>
      <c r="E234" s="307"/>
      <c r="F234" s="307"/>
      <c r="G234" s="308">
        <f t="array" ref="G234">_xlfn.XLOOKUP($B234,$B$11:$B$109,_xlfn.XLOOKUP(G$219,$D$5:$AO$5,$D$11:$AO$109))</f>
        <v>206.893</v>
      </c>
      <c r="H234" s="308">
        <f t="array" ref="H234">_xlfn.XLOOKUP($B234,$B$11:$B$109,_xlfn.XLOOKUP(H$219,$D$5:$AO$5,$D$11:$AO$109))</f>
        <v>250.54409000000001</v>
      </c>
      <c r="I234" s="308">
        <f t="array" ref="I234">_xlfn.XLOOKUP($B234,$B$11:$B$109,_xlfn.XLOOKUP(I$219,$D$5:$AO$5,$D$11:$AO$109))</f>
        <v>107.64500000000001</v>
      </c>
      <c r="J234" s="308">
        <f t="array" ref="J234">_xlfn.XLOOKUP($B234,$B$11:$B$109,_xlfn.XLOOKUP(J$219,$D$5:$AO$5,$D$11:$AO$109))</f>
        <v>189.09</v>
      </c>
      <c r="K234" s="308">
        <f t="array" ref="K234">_xlfn.XLOOKUP($B234,$B$11:$B$109,_xlfn.XLOOKUP(K$219,$D$5:$AO$5,$D$11:$AO$109))</f>
        <v>258.3</v>
      </c>
      <c r="L234" s="308">
        <f t="array" ref="L234">_xlfn.XLOOKUP($B234,$B$11:$B$109,_xlfn.XLOOKUP(L$219,$D$5:$AO$5,$D$11:$AO$109))</f>
        <v>259.70000000000005</v>
      </c>
      <c r="M234" s="308">
        <f t="array" ref="M234">_xlfn.XLOOKUP($B234,$B$11:$B$109,_xlfn.XLOOKUP(M$219,$D$5:$AO$5,$D$11:$AO$109))</f>
        <v>280.60000000000002</v>
      </c>
      <c r="N234" s="308">
        <f t="array" ref="N234">_xlfn.XLOOKUP($B234,$B$11:$B$109,_xlfn.XLOOKUP(N$219,$D$5:$AO$5,$D$11:$AO$109))</f>
        <v>266.09999999999997</v>
      </c>
      <c r="O234" s="308">
        <f t="array" ref="O234">_xlfn.XLOOKUP($B234,$B$11:$B$109,_xlfn.XLOOKUP(O$219,$D$5:$AO$5,$D$11:$AO$109))</f>
        <v>258.3</v>
      </c>
      <c r="P234" s="308">
        <f t="array" ref="P234">_xlfn.XLOOKUP($B234,$B$11:$B$109,_xlfn.XLOOKUP(P$219,$D$5:$AO$5,$D$11:$AO$109))</f>
        <v>255.99999999999994</v>
      </c>
      <c r="Q234" s="308">
        <f t="array" ref="Q234">_xlfn.XLOOKUP($B234,$B$11:$B$109,_xlfn.XLOOKUP(Q$219,$D$5:$AO$5,$D$11:$AO$109))</f>
        <v>248.1</v>
      </c>
      <c r="R234" s="308">
        <f t="array" ref="R234">_xlfn.XLOOKUP($B234,$B$11:$B$109,_xlfn.XLOOKUP(R$219,$D$5:$AO$5,$D$11:$AO$109))</f>
        <v>250.50000000000003</v>
      </c>
      <c r="S234" s="308">
        <f t="array" ref="S234">_xlfn.XLOOKUP($B234,$B$11:$B$109,_xlfn.XLOOKUP(S$219,$D$5:$AO$5,$D$11:$AO$109))</f>
        <v>256</v>
      </c>
      <c r="T234" s="308">
        <f t="array" ref="T234">_xlfn.XLOOKUP($B234,$B$11:$B$109,_xlfn.XLOOKUP(T$219,$D$5:$AO$5,$D$11:$AO$109))</f>
        <v>258</v>
      </c>
      <c r="U234" s="308">
        <f t="array" ref="U234">_xlfn.XLOOKUP($B234,$B$11:$B$109,_xlfn.XLOOKUP(U$219,$D$5:$AO$5,$D$11:$AO$109))</f>
        <v>272</v>
      </c>
      <c r="V234" s="308">
        <f t="array" ref="V234">_xlfn.XLOOKUP($B234,$B$11:$B$109,_xlfn.XLOOKUP(V$219,$D$5:$AO$5,$D$11:$AO$109))</f>
        <v>271.42499999999995</v>
      </c>
      <c r="W234" s="308">
        <f t="array" ref="W234">_xlfn.XLOOKUP($B234,$B$11:$B$109,_xlfn.XLOOKUP(W$219,$D$5:$AO$5,$D$11:$AO$109))</f>
        <v>280.31</v>
      </c>
      <c r="X234" s="308">
        <f t="array" ref="X234">_xlfn.XLOOKUP($B234,$B$11:$B$109,_xlfn.XLOOKUP(X$219,$D$5:$AO$5,$D$11:$AO$109))</f>
        <v>279.69775000000004</v>
      </c>
      <c r="Y234" s="308">
        <f t="array" ref="Y234">_xlfn.XLOOKUP($B234,$B$11:$B$109,_xlfn.XLOOKUP(Y$219,$D$5:$AO$5,$D$11:$AO$109))</f>
        <v>288.90469999999999</v>
      </c>
      <c r="Z234" s="308">
        <f t="array" ref="Z234">_xlfn.XLOOKUP($B234,$B$11:$B$109,_xlfn.XLOOKUP(Z$219,$D$5:$AO$5,$D$11:$AO$109))</f>
        <v>288.25383450000004</v>
      </c>
      <c r="AA234" s="308"/>
      <c r="AB234" s="306" t="str">
        <f t="shared" si="24"/>
        <v>Total Domestic Revenue - New</v>
      </c>
      <c r="AC234" s="307" t="str">
        <f t="shared" si="25"/>
        <v>NZ$m</v>
      </c>
      <c r="AD234" s="307"/>
      <c r="AE234" s="307"/>
      <c r="AF234" s="308">
        <f t="array" ref="AF234">_xlfn.XLOOKUP($B234,$B$11:$B$109,_xlfn.XLOOKUP(AF$219,$D$5:$AO$5,$D$11:$AO$109))</f>
        <v>457.43709000000001</v>
      </c>
      <c r="AG234" s="308">
        <f t="array" ref="AG234">_xlfn.XLOOKUP($B234,$B$11:$B$109,_xlfn.XLOOKUP(AG$219,$D$5:$AO$5,$D$11:$AO$109))</f>
        <v>296.73500000000001</v>
      </c>
      <c r="AH234" s="308">
        <f t="array" ref="AH234">_xlfn.XLOOKUP($B234,$B$11:$B$109,_xlfn.XLOOKUP(AH$219,$D$5:$AO$5,$D$11:$AO$109))</f>
        <v>518</v>
      </c>
      <c r="AI234" s="308">
        <f t="array" ref="AI234">_xlfn.XLOOKUP($B234,$B$11:$B$109,_xlfn.XLOOKUP(AI$219,$D$5:$AO$5,$D$11:$AO$109))</f>
        <v>546.70000000000005</v>
      </c>
      <c r="AJ234" s="308">
        <f t="array" ref="AJ234">_xlfn.XLOOKUP($B234,$B$11:$B$109,_xlfn.XLOOKUP(AJ$219,$D$5:$AO$5,$D$11:$AO$109))</f>
        <v>514.29999999999995</v>
      </c>
      <c r="AK234" s="308">
        <f t="array" ref="AK234">_xlfn.XLOOKUP($B234,$B$11:$B$109,_xlfn.XLOOKUP(AK$219,$D$5:$AO$5,$D$11:$AO$109))</f>
        <v>498.6</v>
      </c>
      <c r="AL234" s="308">
        <f t="array" ref="AL234">_xlfn.XLOOKUP($B234,$B$11:$B$109,_xlfn.XLOOKUP(AL$219,$D$5:$AO$5,$D$11:$AO$109))</f>
        <v>514</v>
      </c>
      <c r="AM234" s="308">
        <f t="array" ref="AM234">_xlfn.XLOOKUP($B234,$B$11:$B$109,_xlfn.XLOOKUP(AM$219,$D$5:$AO$5,$D$11:$AO$109))</f>
        <v>543.42499999999995</v>
      </c>
      <c r="AN234" s="308">
        <f t="array" ref="AN234">_xlfn.XLOOKUP($B234,$B$11:$B$109,_xlfn.XLOOKUP(AN$219,$D$5:$AO$5,$D$11:$AO$109))</f>
        <v>560.00774999999999</v>
      </c>
      <c r="AO234" s="308">
        <f t="array" ref="AO234">_xlfn.XLOOKUP($B234,$B$11:$B$109,_xlfn.XLOOKUP(AO$219,$D$5:$AO$5,$D$11:$AO$109))</f>
        <v>577.15853450000009</v>
      </c>
    </row>
    <row r="235" spans="2:41" hidden="1" outlineLevel="1">
      <c r="B235" s="301"/>
      <c r="C235" s="309" t="s">
        <v>1510</v>
      </c>
      <c r="D235" s="303" t="s">
        <v>88</v>
      </c>
      <c r="E235" s="303"/>
      <c r="F235" s="303"/>
      <c r="G235" s="310" t="s">
        <v>967</v>
      </c>
      <c r="H235" s="310" t="s">
        <v>967</v>
      </c>
      <c r="I235" s="310">
        <f t="shared" ref="I235:Z235" si="38">I234/G234-1</f>
        <v>-0.47970690163514473</v>
      </c>
      <c r="J235" s="310">
        <f t="shared" si="38"/>
        <v>-0.24528253689799673</v>
      </c>
      <c r="K235" s="310">
        <f t="shared" si="38"/>
        <v>1.3995540898323191</v>
      </c>
      <c r="L235" s="310">
        <f t="shared" si="38"/>
        <v>0.37342006451954113</v>
      </c>
      <c r="M235" s="310">
        <f t="shared" si="38"/>
        <v>8.6333720480062048E-2</v>
      </c>
      <c r="N235" s="310">
        <f t="shared" si="38"/>
        <v>2.4643819792067534E-2</v>
      </c>
      <c r="O235" s="310">
        <f t="shared" si="38"/>
        <v>-7.9472558802565985E-2</v>
      </c>
      <c r="P235" s="310">
        <f t="shared" si="38"/>
        <v>-3.7955655768508123E-2</v>
      </c>
      <c r="Q235" s="310">
        <f t="shared" si="38"/>
        <v>-3.9488966318234731E-2</v>
      </c>
      <c r="R235" s="310">
        <f t="shared" si="38"/>
        <v>-2.1484374999999667E-2</v>
      </c>
      <c r="S235" s="310">
        <f t="shared" si="38"/>
        <v>3.1841999193873427E-2</v>
      </c>
      <c r="T235" s="310">
        <f t="shared" si="38"/>
        <v>2.9940119760478945E-2</v>
      </c>
      <c r="U235" s="310">
        <f t="shared" si="38"/>
        <v>6.25E-2</v>
      </c>
      <c r="V235" s="310">
        <f t="shared" si="38"/>
        <v>5.2034883720930125E-2</v>
      </c>
      <c r="W235" s="310">
        <f t="shared" si="38"/>
        <v>3.0551470588235263E-2</v>
      </c>
      <c r="X235" s="310">
        <f t="shared" si="38"/>
        <v>3.0478953670443287E-2</v>
      </c>
      <c r="Y235" s="310">
        <f t="shared" si="38"/>
        <v>3.0661410581142245E-2</v>
      </c>
      <c r="Z235" s="310">
        <f t="shared" si="38"/>
        <v>3.0590465958342472E-2</v>
      </c>
      <c r="AA235" s="311"/>
      <c r="AB235" s="309" t="str">
        <f t="shared" si="24"/>
        <v>- Growth</v>
      </c>
      <c r="AC235" s="303" t="str">
        <f t="shared" si="25"/>
        <v>%</v>
      </c>
      <c r="AD235" s="303"/>
      <c r="AE235" s="303"/>
      <c r="AF235" s="310" t="s">
        <v>967</v>
      </c>
      <c r="AG235" s="310">
        <f t="shared" ref="AG235:AO235" si="39">AG234/AF234-1</f>
        <v>-0.35130970687138641</v>
      </c>
      <c r="AH235" s="310">
        <f t="shared" si="39"/>
        <v>0.74566532427923904</v>
      </c>
      <c r="AI235" s="310">
        <f t="shared" si="39"/>
        <v>5.5405405405405395E-2</v>
      </c>
      <c r="AJ235" s="310">
        <f t="shared" si="39"/>
        <v>-5.9264678982989039E-2</v>
      </c>
      <c r="AK235" s="310">
        <f t="shared" si="39"/>
        <v>-3.0526929807505265E-2</v>
      </c>
      <c r="AL235" s="310">
        <f t="shared" si="39"/>
        <v>3.08864821500201E-2</v>
      </c>
      <c r="AM235" s="310">
        <f t="shared" si="39"/>
        <v>5.7247081712062275E-2</v>
      </c>
      <c r="AN235" s="310">
        <f t="shared" si="39"/>
        <v>3.0515250494548507E-2</v>
      </c>
      <c r="AO235" s="310">
        <f t="shared" si="39"/>
        <v>3.0625977051210729E-2</v>
      </c>
    </row>
    <row r="236" spans="2:41" collapsed="1">
      <c r="B236" s="301"/>
      <c r="C236" s="309" t="s">
        <v>1511</v>
      </c>
      <c r="D236" s="303" t="s">
        <v>88</v>
      </c>
      <c r="E236" s="303"/>
      <c r="F236" s="303"/>
      <c r="G236" s="310">
        <f t="shared" ref="G236:Z236" si="40">IFERROR(ROUND( G234 / G233,2) - 1, 0)</f>
        <v>0</v>
      </c>
      <c r="H236" s="310">
        <f t="shared" si="40"/>
        <v>0</v>
      </c>
      <c r="I236" s="310">
        <f t="shared" si="40"/>
        <v>0</v>
      </c>
      <c r="J236" s="310">
        <f t="shared" si="40"/>
        <v>0</v>
      </c>
      <c r="K236" s="310">
        <f t="shared" si="40"/>
        <v>-1.0000000000000009E-2</v>
      </c>
      <c r="L236" s="310">
        <f t="shared" si="40"/>
        <v>-1.0000000000000009E-2</v>
      </c>
      <c r="M236" s="310">
        <f t="shared" si="40"/>
        <v>0</v>
      </c>
      <c r="N236" s="310">
        <f t="shared" si="40"/>
        <v>0</v>
      </c>
      <c r="O236" s="310">
        <f t="shared" si="40"/>
        <v>0</v>
      </c>
      <c r="P236" s="310">
        <f t="shared" si="40"/>
        <v>-2.0000000000000018E-2</v>
      </c>
      <c r="Q236" s="310">
        <f t="shared" si="40"/>
        <v>-9.9999999999999978E-2</v>
      </c>
      <c r="R236" s="310">
        <f t="shared" si="40"/>
        <v>-0.13</v>
      </c>
      <c r="S236" s="310">
        <f t="shared" si="40"/>
        <v>-0.16000000000000003</v>
      </c>
      <c r="T236" s="310">
        <f t="shared" si="40"/>
        <v>-0.15000000000000002</v>
      </c>
      <c r="U236" s="310">
        <f t="shared" si="40"/>
        <v>-0.14000000000000001</v>
      </c>
      <c r="V236" s="310">
        <f t="shared" si="40"/>
        <v>-0.15000000000000002</v>
      </c>
      <c r="W236" s="310">
        <f t="shared" si="40"/>
        <v>-0.15000000000000002</v>
      </c>
      <c r="X236" s="310">
        <f t="shared" si="40"/>
        <v>-0.15000000000000002</v>
      </c>
      <c r="Y236" s="310">
        <f t="shared" si="40"/>
        <v>-0.15000000000000002</v>
      </c>
      <c r="Z236" s="310">
        <f t="shared" si="40"/>
        <v>-0.15000000000000002</v>
      </c>
      <c r="AA236" s="310"/>
      <c r="AB236" s="309" t="str">
        <f t="shared" si="24"/>
        <v>- Revision</v>
      </c>
      <c r="AC236" s="303" t="str">
        <f t="shared" si="25"/>
        <v>%</v>
      </c>
      <c r="AD236" s="303"/>
      <c r="AE236" s="303"/>
      <c r="AF236" s="310">
        <f t="shared" ref="AF236:AO236" si="41">IFERROR(ROUND( AF234 / AF233,2) - 1, 0)</f>
        <v>0</v>
      </c>
      <c r="AG236" s="310">
        <f t="shared" si="41"/>
        <v>0</v>
      </c>
      <c r="AH236" s="310">
        <f t="shared" si="41"/>
        <v>-1.0000000000000009E-2</v>
      </c>
      <c r="AI236" s="310">
        <f t="shared" si="41"/>
        <v>0</v>
      </c>
      <c r="AJ236" s="310">
        <f t="shared" si="41"/>
        <v>-1.0000000000000009E-2</v>
      </c>
      <c r="AK236" s="310">
        <f t="shared" si="41"/>
        <v>-0.10999999999999999</v>
      </c>
      <c r="AL236" s="310">
        <f t="shared" si="41"/>
        <v>-0.15000000000000002</v>
      </c>
      <c r="AM236" s="310">
        <f t="shared" si="41"/>
        <v>-0.15000000000000002</v>
      </c>
      <c r="AN236" s="310">
        <f t="shared" si="41"/>
        <v>-0.15000000000000002</v>
      </c>
      <c r="AO236" s="310">
        <f t="shared" si="41"/>
        <v>-0.15000000000000002</v>
      </c>
    </row>
    <row r="237" spans="2:41">
      <c r="B237" s="301" t="s">
        <v>1434</v>
      </c>
      <c r="C237" s="302" t="s">
        <v>1518</v>
      </c>
      <c r="D237" s="303" t="str">
        <f t="array" ref="D237">_xlfn.XLOOKUP($B237,$B$114:$B$212,_xlfn.XLOOKUP(D$219,$D$5:$AO$5,$D$114:$AO$212))</f>
        <v>NZ$m</v>
      </c>
      <c r="E237" s="303"/>
      <c r="F237" s="303"/>
      <c r="G237" s="304" t="e">
        <f t="array" ref="G237">_xlfn.XLOOKUP($B237,$B$114:$B$212,_xlfn.XLOOKUP(G$219,$D$5:$AO$5,$D$114:$AO$212))</f>
        <v>#REF!</v>
      </c>
      <c r="H237" s="304" t="e">
        <f t="array" ref="H237">_xlfn.XLOOKUP($B237,$B$114:$B$212,_xlfn.XLOOKUP(H$219,$D$5:$AO$5,$D$114:$AO$212))</f>
        <v>#REF!</v>
      </c>
      <c r="I237" s="304" t="e">
        <f t="array" ref="I237">_xlfn.XLOOKUP($B237,$B$114:$B$212,_xlfn.XLOOKUP(I$219,$D$5:$AO$5,$D$114:$AO$212))</f>
        <v>#REF!</v>
      </c>
      <c r="J237" s="304" t="e">
        <f t="array" ref="J237">_xlfn.XLOOKUP($B237,$B$114:$B$212,_xlfn.XLOOKUP(J$219,$D$5:$AO$5,$D$114:$AO$212))</f>
        <v>#REF!</v>
      </c>
      <c r="K237" s="304" t="e">
        <f t="array" ref="K237">_xlfn.XLOOKUP($B237,$B$114:$B$212,_xlfn.XLOOKUP(K$219,$D$5:$AO$5,$D$114:$AO$212))</f>
        <v>#REF!</v>
      </c>
      <c r="L237" s="304" t="e">
        <f t="array" ref="L237">_xlfn.XLOOKUP($B237,$B$114:$B$212,_xlfn.XLOOKUP(L$219,$D$5:$AO$5,$D$114:$AO$212))</f>
        <v>#REF!</v>
      </c>
      <c r="M237" s="304" t="e">
        <f t="array" ref="M237">_xlfn.XLOOKUP($B237,$B$114:$B$212,_xlfn.XLOOKUP(M$219,$D$5:$AO$5,$D$114:$AO$212))</f>
        <v>#REF!</v>
      </c>
      <c r="N237" s="304" t="e">
        <f t="array" ref="N237">_xlfn.XLOOKUP($B237,$B$114:$B$212,_xlfn.XLOOKUP(N$219,$D$5:$AO$5,$D$114:$AO$212))</f>
        <v>#REF!</v>
      </c>
      <c r="O237" s="304" t="e">
        <f t="array" ref="O237">_xlfn.XLOOKUP($B237,$B$114:$B$212,_xlfn.XLOOKUP(O$219,$D$5:$AO$5,$D$114:$AO$212))</f>
        <v>#REF!</v>
      </c>
      <c r="P237" s="304" t="e">
        <f t="array" ref="P237">_xlfn.XLOOKUP($B237,$B$114:$B$212,_xlfn.XLOOKUP(P$219,$D$5:$AO$5,$D$114:$AO$212))</f>
        <v>#REF!</v>
      </c>
      <c r="Q237" s="304" t="e">
        <f t="array" ref="Q237">_xlfn.XLOOKUP($B237,$B$114:$B$212,_xlfn.XLOOKUP(Q$219,$D$5:$AO$5,$D$114:$AO$212))</f>
        <v>#REF!</v>
      </c>
      <c r="R237" s="304" t="e">
        <f t="array" ref="R237">_xlfn.XLOOKUP($B237,$B$114:$B$212,_xlfn.XLOOKUP(R$219,$D$5:$AO$5,$D$114:$AO$212))</f>
        <v>#REF!</v>
      </c>
      <c r="S237" s="304" t="e">
        <f t="array" ref="S237">_xlfn.XLOOKUP($B237,$B$114:$B$212,_xlfn.XLOOKUP(S$219,$D$5:$AO$5,$D$114:$AO$212))</f>
        <v>#REF!</v>
      </c>
      <c r="T237" s="304" t="e">
        <f t="array" ref="T237">_xlfn.XLOOKUP($B237,$B$114:$B$212,_xlfn.XLOOKUP(T$219,$D$5:$AO$5,$D$114:$AO$212))</f>
        <v>#REF!</v>
      </c>
      <c r="U237" s="304" t="e">
        <f t="array" ref="U237">_xlfn.XLOOKUP($B237,$B$114:$B$212,_xlfn.XLOOKUP(U$219,$D$5:$AO$5,$D$114:$AO$212))</f>
        <v>#REF!</v>
      </c>
      <c r="V237" s="304" t="e">
        <f t="array" ref="V237">_xlfn.XLOOKUP($B237,$B$114:$B$212,_xlfn.XLOOKUP(V$219,$D$5:$AO$5,$D$114:$AO$212))</f>
        <v>#REF!</v>
      </c>
      <c r="W237" s="304" t="e">
        <f t="array" ref="W237">_xlfn.XLOOKUP($B237,$B$114:$B$212,_xlfn.XLOOKUP(W$219,$D$5:$AO$5,$D$114:$AO$212))</f>
        <v>#REF!</v>
      </c>
      <c r="X237" s="304" t="e">
        <f t="array" ref="X237">_xlfn.XLOOKUP($B237,$B$114:$B$212,_xlfn.XLOOKUP(X$219,$D$5:$AO$5,$D$114:$AO$212))</f>
        <v>#REF!</v>
      </c>
      <c r="Y237" s="304" t="e">
        <f t="array" ref="Y237">_xlfn.XLOOKUP($B237,$B$114:$B$212,_xlfn.XLOOKUP(Y$219,$D$5:$AO$5,$D$114:$AO$212))</f>
        <v>#REF!</v>
      </c>
      <c r="Z237" s="304" t="e">
        <f t="array" ref="Z237">_xlfn.XLOOKUP($B237,$B$114:$B$212,_xlfn.XLOOKUP(Z$219,$D$5:$AO$5,$D$114:$AO$212))</f>
        <v>#REF!</v>
      </c>
      <c r="AA237" s="305"/>
      <c r="AB237" s="302" t="str">
        <f t="shared" si="24"/>
        <v>Total Domestic Revenue excl. GST - old</v>
      </c>
      <c r="AC237" s="303" t="str">
        <f t="shared" si="25"/>
        <v>NZ$m</v>
      </c>
      <c r="AD237" s="303"/>
      <c r="AE237" s="303"/>
      <c r="AF237" s="304" t="e">
        <f t="array" ref="AF237">_xlfn.XLOOKUP($B237,$B$114:$B$212,_xlfn.XLOOKUP(AF$219,$D$5:$AO$5,$D$114:$AO$212))</f>
        <v>#REF!</v>
      </c>
      <c r="AG237" s="304" t="e">
        <f t="array" ref="AG237">_xlfn.XLOOKUP($B237,$B$114:$B$212,_xlfn.XLOOKUP(AG$219,$D$5:$AO$5,$D$114:$AO$212))</f>
        <v>#REF!</v>
      </c>
      <c r="AH237" s="304" t="e">
        <f t="array" ref="AH237">_xlfn.XLOOKUP($B237,$B$114:$B$212,_xlfn.XLOOKUP(AH$219,$D$5:$AO$5,$D$114:$AO$212))</f>
        <v>#REF!</v>
      </c>
      <c r="AI237" s="304" t="e">
        <f t="array" ref="AI237">_xlfn.XLOOKUP($B237,$B$114:$B$212,_xlfn.XLOOKUP(AI$219,$D$5:$AO$5,$D$114:$AO$212))</f>
        <v>#REF!</v>
      </c>
      <c r="AJ237" s="304" t="e">
        <f t="array" ref="AJ237">_xlfn.XLOOKUP($B237,$B$114:$B$212,_xlfn.XLOOKUP(AJ$219,$D$5:$AO$5,$D$114:$AO$212))</f>
        <v>#REF!</v>
      </c>
      <c r="AK237" s="304" t="e">
        <f t="array" ref="AK237">_xlfn.XLOOKUP($B237,$B$114:$B$212,_xlfn.XLOOKUP(AK$219,$D$5:$AO$5,$D$114:$AO$212))</f>
        <v>#REF!</v>
      </c>
      <c r="AL237" s="304" t="e">
        <f t="array" ref="AL237">_xlfn.XLOOKUP($B237,$B$114:$B$212,_xlfn.XLOOKUP(AL$219,$D$5:$AO$5,$D$114:$AO$212))</f>
        <v>#REF!</v>
      </c>
      <c r="AM237" s="304" t="e">
        <f t="array" ref="AM237">_xlfn.XLOOKUP($B237,$B$114:$B$212,_xlfn.XLOOKUP(AM$219,$D$5:$AO$5,$D$114:$AO$212))</f>
        <v>#REF!</v>
      </c>
      <c r="AN237" s="304" t="e">
        <f t="array" ref="AN237">_xlfn.XLOOKUP($B237,$B$114:$B$212,_xlfn.XLOOKUP(AN$219,$D$5:$AO$5,$D$114:$AO$212))</f>
        <v>#REF!</v>
      </c>
      <c r="AO237" s="304" t="e">
        <f t="array" ref="AO237">_xlfn.XLOOKUP($B237,$B$114:$B$212,_xlfn.XLOOKUP(AO$219,$D$5:$AO$5,$D$114:$AO$212))</f>
        <v>#REF!</v>
      </c>
    </row>
    <row r="238" spans="2:41">
      <c r="B238" s="301" t="s">
        <v>1434</v>
      </c>
      <c r="C238" s="306" t="s">
        <v>1519</v>
      </c>
      <c r="D238" s="307" t="str">
        <f t="array" ref="D238">_xlfn.XLOOKUP($B238,$B$11:$B$109,_xlfn.XLOOKUP(D$219,$D$5:$AO$5,$D$11:$AO$109))</f>
        <v>NZ$m</v>
      </c>
      <c r="E238" s="307"/>
      <c r="F238" s="307"/>
      <c r="G238" s="308" t="e">
        <f t="array" ref="G238">_xlfn.XLOOKUP($B238,$B$11:$B$109,_xlfn.XLOOKUP(G$219,$D$5:$AO$5,$D$11:$AO$109))</f>
        <v>#REF!</v>
      </c>
      <c r="H238" s="308" t="e">
        <f t="array" ref="H238">_xlfn.XLOOKUP($B238,$B$11:$B$109,_xlfn.XLOOKUP(H$219,$D$5:$AO$5,$D$11:$AO$109))</f>
        <v>#REF!</v>
      </c>
      <c r="I238" s="308" t="e">
        <f t="array" ref="I238">_xlfn.XLOOKUP($B238,$B$11:$B$109,_xlfn.XLOOKUP(I$219,$D$5:$AO$5,$D$11:$AO$109))</f>
        <v>#REF!</v>
      </c>
      <c r="J238" s="308" t="e">
        <f t="array" ref="J238">_xlfn.XLOOKUP($B238,$B$11:$B$109,_xlfn.XLOOKUP(J$219,$D$5:$AO$5,$D$11:$AO$109))</f>
        <v>#REF!</v>
      </c>
      <c r="K238" s="308" t="e">
        <f t="array" ref="K238">_xlfn.XLOOKUP($B238,$B$11:$B$109,_xlfn.XLOOKUP(K$219,$D$5:$AO$5,$D$11:$AO$109))</f>
        <v>#REF!</v>
      </c>
      <c r="L238" s="308" t="e">
        <f t="array" ref="L238">_xlfn.XLOOKUP($B238,$B$11:$B$109,_xlfn.XLOOKUP(L$219,$D$5:$AO$5,$D$11:$AO$109))</f>
        <v>#REF!</v>
      </c>
      <c r="M238" s="308" t="e">
        <f t="array" ref="M238">_xlfn.XLOOKUP($B238,$B$11:$B$109,_xlfn.XLOOKUP(M$219,$D$5:$AO$5,$D$11:$AO$109))</f>
        <v>#REF!</v>
      </c>
      <c r="N238" s="308" t="e">
        <f t="array" ref="N238">_xlfn.XLOOKUP($B238,$B$11:$B$109,_xlfn.XLOOKUP(N$219,$D$5:$AO$5,$D$11:$AO$109))</f>
        <v>#REF!</v>
      </c>
      <c r="O238" s="308" t="e">
        <f t="array" ref="O238">_xlfn.XLOOKUP($B238,$B$11:$B$109,_xlfn.XLOOKUP(O$219,$D$5:$AO$5,$D$11:$AO$109))</f>
        <v>#REF!</v>
      </c>
      <c r="P238" s="308" t="e">
        <f t="array" ref="P238">_xlfn.XLOOKUP($B238,$B$11:$B$109,_xlfn.XLOOKUP(P$219,$D$5:$AO$5,$D$11:$AO$109))</f>
        <v>#REF!</v>
      </c>
      <c r="Q238" s="308" t="e">
        <f t="array" ref="Q238">_xlfn.XLOOKUP($B238,$B$11:$B$109,_xlfn.XLOOKUP(Q$219,$D$5:$AO$5,$D$11:$AO$109))</f>
        <v>#REF!</v>
      </c>
      <c r="R238" s="308" t="e">
        <f t="array" ref="R238">_xlfn.XLOOKUP($B238,$B$11:$B$109,_xlfn.XLOOKUP(R$219,$D$5:$AO$5,$D$11:$AO$109))</f>
        <v>#REF!</v>
      </c>
      <c r="S238" s="308" t="e">
        <f t="array" ref="S238">_xlfn.XLOOKUP($B238,$B$11:$B$109,_xlfn.XLOOKUP(S$219,$D$5:$AO$5,$D$11:$AO$109))</f>
        <v>#REF!</v>
      </c>
      <c r="T238" s="308" t="e">
        <f t="array" ref="T238">_xlfn.XLOOKUP($B238,$B$11:$B$109,_xlfn.XLOOKUP(T$219,$D$5:$AO$5,$D$11:$AO$109))</f>
        <v>#REF!</v>
      </c>
      <c r="U238" s="308" t="e">
        <f t="array" ref="U238">_xlfn.XLOOKUP($B238,$B$11:$B$109,_xlfn.XLOOKUP(U$219,$D$5:$AO$5,$D$11:$AO$109))</f>
        <v>#REF!</v>
      </c>
      <c r="V238" s="308" t="e">
        <f t="array" ref="V238">_xlfn.XLOOKUP($B238,$B$11:$B$109,_xlfn.XLOOKUP(V$219,$D$5:$AO$5,$D$11:$AO$109))</f>
        <v>#REF!</v>
      </c>
      <c r="W238" s="308" t="e">
        <f t="array" ref="W238">_xlfn.XLOOKUP($B238,$B$11:$B$109,_xlfn.XLOOKUP(W$219,$D$5:$AO$5,$D$11:$AO$109))</f>
        <v>#REF!</v>
      </c>
      <c r="X238" s="308" t="e">
        <f t="array" ref="X238">_xlfn.XLOOKUP($B238,$B$11:$B$109,_xlfn.XLOOKUP(X$219,$D$5:$AO$5,$D$11:$AO$109))</f>
        <v>#REF!</v>
      </c>
      <c r="Y238" s="308" t="e">
        <f t="array" ref="Y238">_xlfn.XLOOKUP($B238,$B$11:$B$109,_xlfn.XLOOKUP(Y$219,$D$5:$AO$5,$D$11:$AO$109))</f>
        <v>#REF!</v>
      </c>
      <c r="Z238" s="308" t="e">
        <f t="array" ref="Z238">_xlfn.XLOOKUP($B238,$B$11:$B$109,_xlfn.XLOOKUP(Z$219,$D$5:$AO$5,$D$11:$AO$109))</f>
        <v>#REF!</v>
      </c>
      <c r="AA238" s="308"/>
      <c r="AB238" s="306" t="str">
        <f t="shared" si="24"/>
        <v>Total Domestic Revenue excl. GST - New</v>
      </c>
      <c r="AC238" s="307" t="str">
        <f t="shared" si="25"/>
        <v>NZ$m</v>
      </c>
      <c r="AD238" s="307"/>
      <c r="AE238" s="307"/>
      <c r="AF238" s="308" t="e">
        <f t="array" ref="AF238">_xlfn.XLOOKUP($B238,$B$11:$B$109,_xlfn.XLOOKUP(AF$219,$D$5:$AO$5,$D$11:$AO$109))</f>
        <v>#REF!</v>
      </c>
      <c r="AG238" s="308" t="e">
        <f t="array" ref="AG238">_xlfn.XLOOKUP($B238,$B$11:$B$109,_xlfn.XLOOKUP(AG$219,$D$5:$AO$5,$D$11:$AO$109))</f>
        <v>#REF!</v>
      </c>
      <c r="AH238" s="308" t="e">
        <f t="array" ref="AH238">_xlfn.XLOOKUP($B238,$B$11:$B$109,_xlfn.XLOOKUP(AH$219,$D$5:$AO$5,$D$11:$AO$109))</f>
        <v>#REF!</v>
      </c>
      <c r="AI238" s="308" t="e">
        <f t="array" ref="AI238">_xlfn.XLOOKUP($B238,$B$11:$B$109,_xlfn.XLOOKUP(AI$219,$D$5:$AO$5,$D$11:$AO$109))</f>
        <v>#REF!</v>
      </c>
      <c r="AJ238" s="308" t="e">
        <f t="array" ref="AJ238">_xlfn.XLOOKUP($B238,$B$11:$B$109,_xlfn.XLOOKUP(AJ$219,$D$5:$AO$5,$D$11:$AO$109))</f>
        <v>#REF!</v>
      </c>
      <c r="AK238" s="308" t="e">
        <f t="array" ref="AK238">_xlfn.XLOOKUP($B238,$B$11:$B$109,_xlfn.XLOOKUP(AK$219,$D$5:$AO$5,$D$11:$AO$109))</f>
        <v>#REF!</v>
      </c>
      <c r="AL238" s="308" t="e">
        <f t="array" ref="AL238">_xlfn.XLOOKUP($B238,$B$11:$B$109,_xlfn.XLOOKUP(AL$219,$D$5:$AO$5,$D$11:$AO$109))</f>
        <v>#REF!</v>
      </c>
      <c r="AM238" s="308" t="e">
        <f t="array" ref="AM238">_xlfn.XLOOKUP($B238,$B$11:$B$109,_xlfn.XLOOKUP(AM$219,$D$5:$AO$5,$D$11:$AO$109))</f>
        <v>#REF!</v>
      </c>
      <c r="AN238" s="308" t="e">
        <f t="array" ref="AN238">_xlfn.XLOOKUP($B238,$B$11:$B$109,_xlfn.XLOOKUP(AN$219,$D$5:$AO$5,$D$11:$AO$109))</f>
        <v>#REF!</v>
      </c>
      <c r="AO238" s="308" t="e">
        <f t="array" ref="AO238">_xlfn.XLOOKUP($B238,$B$11:$B$109,_xlfn.XLOOKUP(AO$219,$D$5:$AO$5,$D$11:$AO$109))</f>
        <v>#REF!</v>
      </c>
    </row>
    <row r="239" spans="2:41" hidden="1" outlineLevel="1">
      <c r="B239" s="301"/>
      <c r="C239" s="309" t="s">
        <v>1510</v>
      </c>
      <c r="D239" s="303" t="s">
        <v>88</v>
      </c>
      <c r="E239" s="303"/>
      <c r="F239" s="303"/>
      <c r="G239" s="310" t="s">
        <v>967</v>
      </c>
      <c r="H239" s="310" t="s">
        <v>967</v>
      </c>
      <c r="I239" s="310" t="e">
        <f t="shared" ref="I239:Z239" si="42">I238/G238-1</f>
        <v>#REF!</v>
      </c>
      <c r="J239" s="310" t="e">
        <f t="shared" si="42"/>
        <v>#REF!</v>
      </c>
      <c r="K239" s="310" t="e">
        <f t="shared" si="42"/>
        <v>#REF!</v>
      </c>
      <c r="L239" s="310" t="e">
        <f t="shared" si="42"/>
        <v>#REF!</v>
      </c>
      <c r="M239" s="310" t="e">
        <f t="shared" si="42"/>
        <v>#REF!</v>
      </c>
      <c r="N239" s="310" t="e">
        <f t="shared" si="42"/>
        <v>#REF!</v>
      </c>
      <c r="O239" s="310" t="e">
        <f t="shared" si="42"/>
        <v>#REF!</v>
      </c>
      <c r="P239" s="310" t="e">
        <f t="shared" si="42"/>
        <v>#REF!</v>
      </c>
      <c r="Q239" s="310" t="e">
        <f t="shared" si="42"/>
        <v>#REF!</v>
      </c>
      <c r="R239" s="310" t="e">
        <f t="shared" si="42"/>
        <v>#REF!</v>
      </c>
      <c r="S239" s="310" t="e">
        <f t="shared" si="42"/>
        <v>#REF!</v>
      </c>
      <c r="T239" s="310" t="e">
        <f t="shared" si="42"/>
        <v>#REF!</v>
      </c>
      <c r="U239" s="310" t="e">
        <f t="shared" si="42"/>
        <v>#REF!</v>
      </c>
      <c r="V239" s="310" t="e">
        <f t="shared" si="42"/>
        <v>#REF!</v>
      </c>
      <c r="W239" s="310" t="e">
        <f t="shared" si="42"/>
        <v>#REF!</v>
      </c>
      <c r="X239" s="310" t="e">
        <f t="shared" si="42"/>
        <v>#REF!</v>
      </c>
      <c r="Y239" s="310" t="e">
        <f t="shared" si="42"/>
        <v>#REF!</v>
      </c>
      <c r="Z239" s="310" t="e">
        <f t="shared" si="42"/>
        <v>#REF!</v>
      </c>
      <c r="AA239" s="311"/>
      <c r="AB239" s="309" t="str">
        <f t="shared" si="24"/>
        <v>- Growth</v>
      </c>
      <c r="AC239" s="303" t="str">
        <f t="shared" si="25"/>
        <v>%</v>
      </c>
      <c r="AD239" s="303"/>
      <c r="AE239" s="303"/>
      <c r="AF239" s="310" t="s">
        <v>967</v>
      </c>
      <c r="AG239" s="310" t="e">
        <f t="shared" ref="AG239:AO239" si="43">AG238/AF238-1</f>
        <v>#REF!</v>
      </c>
      <c r="AH239" s="310" t="e">
        <f t="shared" si="43"/>
        <v>#REF!</v>
      </c>
      <c r="AI239" s="310" t="e">
        <f t="shared" si="43"/>
        <v>#REF!</v>
      </c>
      <c r="AJ239" s="310" t="e">
        <f t="shared" si="43"/>
        <v>#REF!</v>
      </c>
      <c r="AK239" s="310" t="e">
        <f t="shared" si="43"/>
        <v>#REF!</v>
      </c>
      <c r="AL239" s="310" t="e">
        <f t="shared" si="43"/>
        <v>#REF!</v>
      </c>
      <c r="AM239" s="310" t="e">
        <f t="shared" si="43"/>
        <v>#REF!</v>
      </c>
      <c r="AN239" s="310" t="e">
        <f t="shared" si="43"/>
        <v>#REF!</v>
      </c>
      <c r="AO239" s="310" t="e">
        <f t="shared" si="43"/>
        <v>#REF!</v>
      </c>
    </row>
    <row r="240" spans="2:41" collapsed="1">
      <c r="B240" s="301"/>
      <c r="C240" s="309" t="s">
        <v>1511</v>
      </c>
      <c r="D240" s="303" t="s">
        <v>88</v>
      </c>
      <c r="E240" s="303"/>
      <c r="F240" s="303"/>
      <c r="G240" s="310">
        <f t="shared" ref="G240:Z240" si="44">IFERROR(ROUND( G238 / G237,2) - 1, 0)</f>
        <v>0</v>
      </c>
      <c r="H240" s="310">
        <f t="shared" si="44"/>
        <v>0</v>
      </c>
      <c r="I240" s="310">
        <f t="shared" si="44"/>
        <v>0</v>
      </c>
      <c r="J240" s="310">
        <f t="shared" si="44"/>
        <v>0</v>
      </c>
      <c r="K240" s="310">
        <f t="shared" si="44"/>
        <v>0</v>
      </c>
      <c r="L240" s="310">
        <f t="shared" si="44"/>
        <v>0</v>
      </c>
      <c r="M240" s="310">
        <f t="shared" si="44"/>
        <v>0</v>
      </c>
      <c r="N240" s="310">
        <f t="shared" si="44"/>
        <v>0</v>
      </c>
      <c r="O240" s="310">
        <f t="shared" si="44"/>
        <v>0</v>
      </c>
      <c r="P240" s="310">
        <f t="shared" si="44"/>
        <v>0</v>
      </c>
      <c r="Q240" s="310">
        <f t="shared" si="44"/>
        <v>0</v>
      </c>
      <c r="R240" s="310">
        <f t="shared" si="44"/>
        <v>0</v>
      </c>
      <c r="S240" s="310">
        <f t="shared" si="44"/>
        <v>0</v>
      </c>
      <c r="T240" s="310">
        <f t="shared" si="44"/>
        <v>0</v>
      </c>
      <c r="U240" s="310">
        <f t="shared" si="44"/>
        <v>0</v>
      </c>
      <c r="V240" s="310">
        <f t="shared" si="44"/>
        <v>0</v>
      </c>
      <c r="W240" s="310">
        <f t="shared" si="44"/>
        <v>0</v>
      </c>
      <c r="X240" s="310">
        <f t="shared" si="44"/>
        <v>0</v>
      </c>
      <c r="Y240" s="310">
        <f t="shared" si="44"/>
        <v>0</v>
      </c>
      <c r="Z240" s="310">
        <f t="shared" si="44"/>
        <v>0</v>
      </c>
      <c r="AA240" s="310"/>
      <c r="AB240" s="309" t="str">
        <f t="shared" si="24"/>
        <v>- Revision</v>
      </c>
      <c r="AC240" s="303" t="str">
        <f t="shared" si="25"/>
        <v>%</v>
      </c>
      <c r="AD240" s="303"/>
      <c r="AE240" s="303"/>
      <c r="AF240" s="310">
        <f t="shared" ref="AF240:AO240" si="45">IFERROR(ROUND( AF238 / AF237,2) - 1, 0)</f>
        <v>0</v>
      </c>
      <c r="AG240" s="310">
        <f t="shared" si="45"/>
        <v>0</v>
      </c>
      <c r="AH240" s="310">
        <f t="shared" si="45"/>
        <v>0</v>
      </c>
      <c r="AI240" s="310">
        <f t="shared" si="45"/>
        <v>0</v>
      </c>
      <c r="AJ240" s="310">
        <f t="shared" si="45"/>
        <v>0</v>
      </c>
      <c r="AK240" s="310">
        <f t="shared" si="45"/>
        <v>0</v>
      </c>
      <c r="AL240" s="310">
        <f t="shared" si="45"/>
        <v>0</v>
      </c>
      <c r="AM240" s="310">
        <f t="shared" si="45"/>
        <v>0</v>
      </c>
      <c r="AN240" s="310">
        <f t="shared" si="45"/>
        <v>0</v>
      </c>
      <c r="AO240" s="310">
        <f t="shared" si="45"/>
        <v>0</v>
      </c>
    </row>
    <row r="241" spans="1:41">
      <c r="B241" s="301" t="s">
        <v>1435</v>
      </c>
      <c r="C241" s="302" t="s">
        <v>1520</v>
      </c>
      <c r="D241" s="303" t="str">
        <f t="array" ref="D241">_xlfn.XLOOKUP($B241,$B$114:$B$212,_xlfn.XLOOKUP(D$219,$D$5:$AO$5,$D$114:$AO$212))</f>
        <v>NZ$m</v>
      </c>
      <c r="E241" s="303"/>
      <c r="F241" s="303"/>
      <c r="G241" s="304" t="e">
        <f t="array" ref="G241">_xlfn.XLOOKUP($B241,$B$114:$B$212,_xlfn.XLOOKUP(G$219,$D$5:$AO$5,$D$114:$AO$212))</f>
        <v>#REF!</v>
      </c>
      <c r="H241" s="304" t="e">
        <f t="array" ref="H241">_xlfn.XLOOKUP($B241,$B$114:$B$212,_xlfn.XLOOKUP(H$219,$D$5:$AO$5,$D$114:$AO$212))</f>
        <v>#REF!</v>
      </c>
      <c r="I241" s="304" t="e">
        <f t="array" ref="I241">_xlfn.XLOOKUP($B241,$B$114:$B$212,_xlfn.XLOOKUP(I$219,$D$5:$AO$5,$D$114:$AO$212))</f>
        <v>#REF!</v>
      </c>
      <c r="J241" s="304" t="e">
        <f t="array" ref="J241">_xlfn.XLOOKUP($B241,$B$114:$B$212,_xlfn.XLOOKUP(J$219,$D$5:$AO$5,$D$114:$AO$212))</f>
        <v>#REF!</v>
      </c>
      <c r="K241" s="304" t="e">
        <f t="array" ref="K241">_xlfn.XLOOKUP($B241,$B$114:$B$212,_xlfn.XLOOKUP(K$219,$D$5:$AO$5,$D$114:$AO$212))</f>
        <v>#REF!</v>
      </c>
      <c r="L241" s="304" t="e">
        <f t="array" ref="L241">_xlfn.XLOOKUP($B241,$B$114:$B$212,_xlfn.XLOOKUP(L$219,$D$5:$AO$5,$D$114:$AO$212))</f>
        <v>#REF!</v>
      </c>
      <c r="M241" s="304" t="e">
        <f t="array" ref="M241">_xlfn.XLOOKUP($B241,$B$114:$B$212,_xlfn.XLOOKUP(M$219,$D$5:$AO$5,$D$114:$AO$212))</f>
        <v>#REF!</v>
      </c>
      <c r="N241" s="304" t="e">
        <f t="array" ref="N241">_xlfn.XLOOKUP($B241,$B$114:$B$212,_xlfn.XLOOKUP(N$219,$D$5:$AO$5,$D$114:$AO$212))</f>
        <v>#REF!</v>
      </c>
      <c r="O241" s="304" t="e">
        <f t="array" ref="O241">_xlfn.XLOOKUP($B241,$B$114:$B$212,_xlfn.XLOOKUP(O$219,$D$5:$AO$5,$D$114:$AO$212))</f>
        <v>#REF!</v>
      </c>
      <c r="P241" s="304" t="e">
        <f t="array" ref="P241">_xlfn.XLOOKUP($B241,$B$114:$B$212,_xlfn.XLOOKUP(P$219,$D$5:$AO$5,$D$114:$AO$212))</f>
        <v>#REF!</v>
      </c>
      <c r="Q241" s="304" t="e">
        <f t="array" ref="Q241">_xlfn.XLOOKUP($B241,$B$114:$B$212,_xlfn.XLOOKUP(Q$219,$D$5:$AO$5,$D$114:$AO$212))</f>
        <v>#REF!</v>
      </c>
      <c r="R241" s="304" t="e">
        <f t="array" ref="R241">_xlfn.XLOOKUP($B241,$B$114:$B$212,_xlfn.XLOOKUP(R$219,$D$5:$AO$5,$D$114:$AO$212))</f>
        <v>#REF!</v>
      </c>
      <c r="S241" s="304" t="e">
        <f t="array" ref="S241">_xlfn.XLOOKUP($B241,$B$114:$B$212,_xlfn.XLOOKUP(S$219,$D$5:$AO$5,$D$114:$AO$212))</f>
        <v>#REF!</v>
      </c>
      <c r="T241" s="304" t="e">
        <f t="array" ref="T241">_xlfn.XLOOKUP($B241,$B$114:$B$212,_xlfn.XLOOKUP(T$219,$D$5:$AO$5,$D$114:$AO$212))</f>
        <v>#REF!</v>
      </c>
      <c r="U241" s="304" t="e">
        <f t="array" ref="U241">_xlfn.XLOOKUP($B241,$B$114:$B$212,_xlfn.XLOOKUP(U$219,$D$5:$AO$5,$D$114:$AO$212))</f>
        <v>#REF!</v>
      </c>
      <c r="V241" s="304" t="e">
        <f t="array" ref="V241">_xlfn.XLOOKUP($B241,$B$114:$B$212,_xlfn.XLOOKUP(V$219,$D$5:$AO$5,$D$114:$AO$212))</f>
        <v>#REF!</v>
      </c>
      <c r="W241" s="304" t="e">
        <f t="array" ref="W241">_xlfn.XLOOKUP($B241,$B$114:$B$212,_xlfn.XLOOKUP(W$219,$D$5:$AO$5,$D$114:$AO$212))</f>
        <v>#REF!</v>
      </c>
      <c r="X241" s="304" t="e">
        <f t="array" ref="X241">_xlfn.XLOOKUP($B241,$B$114:$B$212,_xlfn.XLOOKUP(X$219,$D$5:$AO$5,$D$114:$AO$212))</f>
        <v>#REF!</v>
      </c>
      <c r="Y241" s="304" t="e">
        <f t="array" ref="Y241">_xlfn.XLOOKUP($B241,$B$114:$B$212,_xlfn.XLOOKUP(Y$219,$D$5:$AO$5,$D$114:$AO$212))</f>
        <v>#REF!</v>
      </c>
      <c r="Z241" s="304" t="e">
        <f t="array" ref="Z241">_xlfn.XLOOKUP($B241,$B$114:$B$212,_xlfn.XLOOKUP(Z$219,$D$5:$AO$5,$D$114:$AO$212))</f>
        <v>#REF!</v>
      </c>
      <c r="AA241" s="305"/>
      <c r="AB241" s="302" t="str">
        <f t="shared" si="24"/>
        <v>EBITDA excl. IB - old</v>
      </c>
      <c r="AC241" s="303" t="str">
        <f t="shared" si="25"/>
        <v>NZ$m</v>
      </c>
      <c r="AD241" s="303"/>
      <c r="AE241" s="303"/>
      <c r="AF241" s="304" t="e">
        <f t="array" ref="AF241">_xlfn.XLOOKUP($B241,$B$114:$B$212,_xlfn.XLOOKUP(AF$219,$D$5:$AO$5,$D$114:$AO$212))</f>
        <v>#REF!</v>
      </c>
      <c r="AG241" s="304" t="e">
        <f t="array" ref="AG241">_xlfn.XLOOKUP($B241,$B$114:$B$212,_xlfn.XLOOKUP(AG$219,$D$5:$AO$5,$D$114:$AO$212))</f>
        <v>#REF!</v>
      </c>
      <c r="AH241" s="304" t="e">
        <f t="array" ref="AH241">_xlfn.XLOOKUP($B241,$B$114:$B$212,_xlfn.XLOOKUP(AH$219,$D$5:$AO$5,$D$114:$AO$212))</f>
        <v>#REF!</v>
      </c>
      <c r="AI241" s="304" t="e">
        <f t="array" ref="AI241">_xlfn.XLOOKUP($B241,$B$114:$B$212,_xlfn.XLOOKUP(AI$219,$D$5:$AO$5,$D$114:$AO$212))</f>
        <v>#REF!</v>
      </c>
      <c r="AJ241" s="304" t="e">
        <f t="array" ref="AJ241">_xlfn.XLOOKUP($B241,$B$114:$B$212,_xlfn.XLOOKUP(AJ$219,$D$5:$AO$5,$D$114:$AO$212))</f>
        <v>#REF!</v>
      </c>
      <c r="AK241" s="304" t="e">
        <f t="array" ref="AK241">_xlfn.XLOOKUP($B241,$B$114:$B$212,_xlfn.XLOOKUP(AK$219,$D$5:$AO$5,$D$114:$AO$212))</f>
        <v>#REF!</v>
      </c>
      <c r="AL241" s="304" t="e">
        <f t="array" ref="AL241">_xlfn.XLOOKUP($B241,$B$114:$B$212,_xlfn.XLOOKUP(AL$219,$D$5:$AO$5,$D$114:$AO$212))</f>
        <v>#REF!</v>
      </c>
      <c r="AM241" s="304" t="e">
        <f t="array" ref="AM241">_xlfn.XLOOKUP($B241,$B$114:$B$212,_xlfn.XLOOKUP(AM$219,$D$5:$AO$5,$D$114:$AO$212))</f>
        <v>#REF!</v>
      </c>
      <c r="AN241" s="304" t="e">
        <f t="array" ref="AN241">_xlfn.XLOOKUP($B241,$B$114:$B$212,_xlfn.XLOOKUP(AN$219,$D$5:$AO$5,$D$114:$AO$212))</f>
        <v>#REF!</v>
      </c>
      <c r="AO241" s="304" t="e">
        <f t="array" ref="AO241">_xlfn.XLOOKUP($B241,$B$114:$B$212,_xlfn.XLOOKUP(AO$219,$D$5:$AO$5,$D$114:$AO$212))</f>
        <v>#REF!</v>
      </c>
    </row>
    <row r="242" spans="1:41">
      <c r="B242" s="301" t="s">
        <v>1435</v>
      </c>
      <c r="C242" s="306" t="s">
        <v>1521</v>
      </c>
      <c r="D242" s="307" t="str">
        <f t="array" ref="D242">_xlfn.XLOOKUP($B242,$B$11:$B$109,_xlfn.XLOOKUP(D$219,$D$5:$AO$5,$D$11:$AO$109))</f>
        <v>NZ$m</v>
      </c>
      <c r="E242" s="307"/>
      <c r="F242" s="307"/>
      <c r="G242" s="308" t="e">
        <f t="array" ref="G242">_xlfn.XLOOKUP($B242,$B$11:$B$109,_xlfn.XLOOKUP(G$219,$D$5:$AO$5,$D$11:$AO$109))</f>
        <v>#REF!</v>
      </c>
      <c r="H242" s="308" t="e">
        <f t="array" ref="H242">_xlfn.XLOOKUP($B242,$B$11:$B$109,_xlfn.XLOOKUP(H$219,$D$5:$AO$5,$D$11:$AO$109))</f>
        <v>#REF!</v>
      </c>
      <c r="I242" s="308" t="e">
        <f t="array" ref="I242">_xlfn.XLOOKUP($B242,$B$11:$B$109,_xlfn.XLOOKUP(I$219,$D$5:$AO$5,$D$11:$AO$109))</f>
        <v>#REF!</v>
      </c>
      <c r="J242" s="308" t="e">
        <f t="array" ref="J242">_xlfn.XLOOKUP($B242,$B$11:$B$109,_xlfn.XLOOKUP(J$219,$D$5:$AO$5,$D$11:$AO$109))</f>
        <v>#REF!</v>
      </c>
      <c r="K242" s="308" t="e">
        <f t="array" ref="K242">_xlfn.XLOOKUP($B242,$B$11:$B$109,_xlfn.XLOOKUP(K$219,$D$5:$AO$5,$D$11:$AO$109))</f>
        <v>#REF!</v>
      </c>
      <c r="L242" s="308" t="e">
        <f t="array" ref="L242">_xlfn.XLOOKUP($B242,$B$11:$B$109,_xlfn.XLOOKUP(L$219,$D$5:$AO$5,$D$11:$AO$109))</f>
        <v>#REF!</v>
      </c>
      <c r="M242" s="308" t="e">
        <f t="array" ref="M242">_xlfn.XLOOKUP($B242,$B$11:$B$109,_xlfn.XLOOKUP(M$219,$D$5:$AO$5,$D$11:$AO$109))</f>
        <v>#REF!</v>
      </c>
      <c r="N242" s="308" t="e">
        <f t="array" ref="N242">_xlfn.XLOOKUP($B242,$B$11:$B$109,_xlfn.XLOOKUP(N$219,$D$5:$AO$5,$D$11:$AO$109))</f>
        <v>#REF!</v>
      </c>
      <c r="O242" s="308" t="e">
        <f t="array" ref="O242">_xlfn.XLOOKUP($B242,$B$11:$B$109,_xlfn.XLOOKUP(O$219,$D$5:$AO$5,$D$11:$AO$109))</f>
        <v>#REF!</v>
      </c>
      <c r="P242" s="308" t="e">
        <f t="array" ref="P242">_xlfn.XLOOKUP($B242,$B$11:$B$109,_xlfn.XLOOKUP(P$219,$D$5:$AO$5,$D$11:$AO$109))</f>
        <v>#REF!</v>
      </c>
      <c r="Q242" s="308" t="e">
        <f t="array" ref="Q242">_xlfn.XLOOKUP($B242,$B$11:$B$109,_xlfn.XLOOKUP(Q$219,$D$5:$AO$5,$D$11:$AO$109))</f>
        <v>#REF!</v>
      </c>
      <c r="R242" s="308" t="e">
        <f t="array" ref="R242">_xlfn.XLOOKUP($B242,$B$11:$B$109,_xlfn.XLOOKUP(R$219,$D$5:$AO$5,$D$11:$AO$109))</f>
        <v>#REF!</v>
      </c>
      <c r="S242" s="308" t="e">
        <f t="array" ref="S242">_xlfn.XLOOKUP($B242,$B$11:$B$109,_xlfn.XLOOKUP(S$219,$D$5:$AO$5,$D$11:$AO$109))</f>
        <v>#REF!</v>
      </c>
      <c r="T242" s="308" t="e">
        <f t="array" ref="T242">_xlfn.XLOOKUP($B242,$B$11:$B$109,_xlfn.XLOOKUP(T$219,$D$5:$AO$5,$D$11:$AO$109))</f>
        <v>#REF!</v>
      </c>
      <c r="U242" s="308" t="e">
        <f t="array" ref="U242">_xlfn.XLOOKUP($B242,$B$11:$B$109,_xlfn.XLOOKUP(U$219,$D$5:$AO$5,$D$11:$AO$109))</f>
        <v>#REF!</v>
      </c>
      <c r="V242" s="308" t="e">
        <f t="array" ref="V242">_xlfn.XLOOKUP($B242,$B$11:$B$109,_xlfn.XLOOKUP(V$219,$D$5:$AO$5,$D$11:$AO$109))</f>
        <v>#REF!</v>
      </c>
      <c r="W242" s="308" t="e">
        <f t="array" ref="W242">_xlfn.XLOOKUP($B242,$B$11:$B$109,_xlfn.XLOOKUP(W$219,$D$5:$AO$5,$D$11:$AO$109))</f>
        <v>#REF!</v>
      </c>
      <c r="X242" s="308" t="e">
        <f t="array" ref="X242">_xlfn.XLOOKUP($B242,$B$11:$B$109,_xlfn.XLOOKUP(X$219,$D$5:$AO$5,$D$11:$AO$109))</f>
        <v>#REF!</v>
      </c>
      <c r="Y242" s="308" t="e">
        <f t="array" ref="Y242">_xlfn.XLOOKUP($B242,$B$11:$B$109,_xlfn.XLOOKUP(Y$219,$D$5:$AO$5,$D$11:$AO$109))</f>
        <v>#REF!</v>
      </c>
      <c r="Z242" s="308" t="e">
        <f t="array" ref="Z242">_xlfn.XLOOKUP($B242,$B$11:$B$109,_xlfn.XLOOKUP(Z$219,$D$5:$AO$5,$D$11:$AO$109))</f>
        <v>#REF!</v>
      </c>
      <c r="AA242" s="308"/>
      <c r="AB242" s="306" t="str">
        <f t="shared" si="24"/>
        <v>EBITDA excl. IB - New</v>
      </c>
      <c r="AC242" s="307" t="str">
        <f t="shared" si="25"/>
        <v>NZ$m</v>
      </c>
      <c r="AD242" s="307"/>
      <c r="AE242" s="307"/>
      <c r="AF242" s="308" t="e">
        <f t="array" ref="AF242">_xlfn.XLOOKUP($B242,$B$11:$B$109,_xlfn.XLOOKUP(AF$219,$D$5:$AO$5,$D$11:$AO$109))</f>
        <v>#REF!</v>
      </c>
      <c r="AG242" s="308" t="e">
        <f t="array" ref="AG242">_xlfn.XLOOKUP($B242,$B$11:$B$109,_xlfn.XLOOKUP(AG$219,$D$5:$AO$5,$D$11:$AO$109))</f>
        <v>#REF!</v>
      </c>
      <c r="AH242" s="308" t="e">
        <f t="array" ref="AH242">_xlfn.XLOOKUP($B242,$B$11:$B$109,_xlfn.XLOOKUP(AH$219,$D$5:$AO$5,$D$11:$AO$109))</f>
        <v>#REF!</v>
      </c>
      <c r="AI242" s="308" t="e">
        <f t="array" ref="AI242">_xlfn.XLOOKUP($B242,$B$11:$B$109,_xlfn.XLOOKUP(AI$219,$D$5:$AO$5,$D$11:$AO$109))</f>
        <v>#REF!</v>
      </c>
      <c r="AJ242" s="308" t="e">
        <f t="array" ref="AJ242">_xlfn.XLOOKUP($B242,$B$11:$B$109,_xlfn.XLOOKUP(AJ$219,$D$5:$AO$5,$D$11:$AO$109))</f>
        <v>#REF!</v>
      </c>
      <c r="AK242" s="308" t="e">
        <f t="array" ref="AK242">_xlfn.XLOOKUP($B242,$B$11:$B$109,_xlfn.XLOOKUP(AK$219,$D$5:$AO$5,$D$11:$AO$109))</f>
        <v>#REF!</v>
      </c>
      <c r="AL242" s="308" t="e">
        <f t="array" ref="AL242">_xlfn.XLOOKUP($B242,$B$11:$B$109,_xlfn.XLOOKUP(AL$219,$D$5:$AO$5,$D$11:$AO$109))</f>
        <v>#REF!</v>
      </c>
      <c r="AM242" s="308" t="e">
        <f t="array" ref="AM242">_xlfn.XLOOKUP($B242,$B$11:$B$109,_xlfn.XLOOKUP(AM$219,$D$5:$AO$5,$D$11:$AO$109))</f>
        <v>#REF!</v>
      </c>
      <c r="AN242" s="308" t="e">
        <f t="array" ref="AN242">_xlfn.XLOOKUP($B242,$B$11:$B$109,_xlfn.XLOOKUP(AN$219,$D$5:$AO$5,$D$11:$AO$109))</f>
        <v>#REF!</v>
      </c>
      <c r="AO242" s="308" t="e">
        <f t="array" ref="AO242">_xlfn.XLOOKUP($B242,$B$11:$B$109,_xlfn.XLOOKUP(AO$219,$D$5:$AO$5,$D$11:$AO$109))</f>
        <v>#REF!</v>
      </c>
    </row>
    <row r="243" spans="1:41" hidden="1" outlineLevel="1">
      <c r="C243" s="309" t="s">
        <v>1510</v>
      </c>
      <c r="D243" s="303" t="s">
        <v>88</v>
      </c>
      <c r="E243" s="303"/>
      <c r="F243" s="303"/>
      <c r="G243" s="310" t="s">
        <v>967</v>
      </c>
      <c r="H243" s="310" t="s">
        <v>967</v>
      </c>
      <c r="I243" s="310" t="e">
        <f t="shared" ref="I243:Z243" si="46">I242/G242-1</f>
        <v>#REF!</v>
      </c>
      <c r="J243" s="310" t="e">
        <f t="shared" si="46"/>
        <v>#REF!</v>
      </c>
      <c r="K243" s="310" t="e">
        <f t="shared" si="46"/>
        <v>#REF!</v>
      </c>
      <c r="L243" s="310" t="e">
        <f t="shared" si="46"/>
        <v>#REF!</v>
      </c>
      <c r="M243" s="310" t="e">
        <f t="shared" si="46"/>
        <v>#REF!</v>
      </c>
      <c r="N243" s="310" t="e">
        <f t="shared" si="46"/>
        <v>#REF!</v>
      </c>
      <c r="O243" s="310" t="e">
        <f t="shared" si="46"/>
        <v>#REF!</v>
      </c>
      <c r="P243" s="310" t="e">
        <f t="shared" si="46"/>
        <v>#REF!</v>
      </c>
      <c r="Q243" s="310" t="e">
        <f t="shared" si="46"/>
        <v>#REF!</v>
      </c>
      <c r="R243" s="310" t="e">
        <f t="shared" si="46"/>
        <v>#REF!</v>
      </c>
      <c r="S243" s="310" t="e">
        <f t="shared" si="46"/>
        <v>#REF!</v>
      </c>
      <c r="T243" s="310" t="e">
        <f t="shared" si="46"/>
        <v>#REF!</v>
      </c>
      <c r="U243" s="310" t="e">
        <f t="shared" si="46"/>
        <v>#REF!</v>
      </c>
      <c r="V243" s="310" t="e">
        <f t="shared" si="46"/>
        <v>#REF!</v>
      </c>
      <c r="W243" s="310" t="e">
        <f t="shared" si="46"/>
        <v>#REF!</v>
      </c>
      <c r="X243" s="310" t="e">
        <f t="shared" si="46"/>
        <v>#REF!</v>
      </c>
      <c r="Y243" s="310" t="e">
        <f t="shared" si="46"/>
        <v>#REF!</v>
      </c>
      <c r="Z243" s="310" t="e">
        <f t="shared" si="46"/>
        <v>#REF!</v>
      </c>
      <c r="AA243" s="311"/>
      <c r="AB243" s="309" t="str">
        <f t="shared" si="24"/>
        <v>- Growth</v>
      </c>
      <c r="AC243" s="303" t="str">
        <f t="shared" si="25"/>
        <v>%</v>
      </c>
      <c r="AD243" s="303"/>
      <c r="AE243" s="303"/>
      <c r="AF243" s="310" t="s">
        <v>967</v>
      </c>
      <c r="AG243" s="310" t="e">
        <f t="shared" ref="AG243:AO243" si="47">AG242/AF242-1</f>
        <v>#REF!</v>
      </c>
      <c r="AH243" s="310" t="e">
        <f t="shared" si="47"/>
        <v>#REF!</v>
      </c>
      <c r="AI243" s="310" t="e">
        <f t="shared" si="47"/>
        <v>#REF!</v>
      </c>
      <c r="AJ243" s="310" t="e">
        <f t="shared" si="47"/>
        <v>#REF!</v>
      </c>
      <c r="AK243" s="310" t="e">
        <f t="shared" si="47"/>
        <v>#REF!</v>
      </c>
      <c r="AL243" s="310" t="e">
        <f t="shared" si="47"/>
        <v>#REF!</v>
      </c>
      <c r="AM243" s="310" t="e">
        <f t="shared" si="47"/>
        <v>#REF!</v>
      </c>
      <c r="AN243" s="310" t="e">
        <f t="shared" si="47"/>
        <v>#REF!</v>
      </c>
      <c r="AO243" s="310" t="e">
        <f t="shared" si="47"/>
        <v>#REF!</v>
      </c>
    </row>
    <row r="244" spans="1:41" collapsed="1">
      <c r="C244" s="309" t="s">
        <v>1511</v>
      </c>
      <c r="D244" s="303" t="s">
        <v>88</v>
      </c>
      <c r="E244" s="303"/>
      <c r="F244" s="303"/>
      <c r="G244" s="310">
        <f t="shared" ref="G244:Z244" si="48">IFERROR(ROUND( G242 / G241,2) - 1, 0)</f>
        <v>0</v>
      </c>
      <c r="H244" s="310">
        <f t="shared" si="48"/>
        <v>0</v>
      </c>
      <c r="I244" s="310">
        <f t="shared" si="48"/>
        <v>0</v>
      </c>
      <c r="J244" s="310">
        <f t="shared" si="48"/>
        <v>0</v>
      </c>
      <c r="K244" s="310">
        <f t="shared" si="48"/>
        <v>0</v>
      </c>
      <c r="L244" s="310">
        <f t="shared" si="48"/>
        <v>0</v>
      </c>
      <c r="M244" s="310">
        <f t="shared" si="48"/>
        <v>0</v>
      </c>
      <c r="N244" s="310">
        <f t="shared" si="48"/>
        <v>0</v>
      </c>
      <c r="O244" s="310">
        <f t="shared" si="48"/>
        <v>0</v>
      </c>
      <c r="P244" s="310">
        <f t="shared" si="48"/>
        <v>0</v>
      </c>
      <c r="Q244" s="310">
        <f t="shared" si="48"/>
        <v>0</v>
      </c>
      <c r="R244" s="310">
        <f t="shared" si="48"/>
        <v>0</v>
      </c>
      <c r="S244" s="310">
        <f t="shared" si="48"/>
        <v>0</v>
      </c>
      <c r="T244" s="310">
        <f t="shared" si="48"/>
        <v>0</v>
      </c>
      <c r="U244" s="310">
        <f t="shared" si="48"/>
        <v>0</v>
      </c>
      <c r="V244" s="310">
        <f t="shared" si="48"/>
        <v>0</v>
      </c>
      <c r="W244" s="310">
        <f t="shared" si="48"/>
        <v>0</v>
      </c>
      <c r="X244" s="310">
        <f t="shared" si="48"/>
        <v>0</v>
      </c>
      <c r="Y244" s="310">
        <f t="shared" si="48"/>
        <v>0</v>
      </c>
      <c r="Z244" s="310">
        <f t="shared" si="48"/>
        <v>0</v>
      </c>
      <c r="AA244" s="310"/>
      <c r="AB244" s="309" t="str">
        <f t="shared" si="24"/>
        <v>- Revision</v>
      </c>
      <c r="AC244" s="303" t="str">
        <f t="shared" si="25"/>
        <v>%</v>
      </c>
      <c r="AD244" s="303"/>
      <c r="AE244" s="303"/>
      <c r="AF244" s="310">
        <f t="shared" ref="AF244:AO244" si="49">IFERROR(ROUND( AF242 / AF241,2) - 1, 0)</f>
        <v>0</v>
      </c>
      <c r="AG244" s="310">
        <f t="shared" si="49"/>
        <v>0</v>
      </c>
      <c r="AH244" s="310">
        <f t="shared" si="49"/>
        <v>0</v>
      </c>
      <c r="AI244" s="310">
        <f t="shared" si="49"/>
        <v>0</v>
      </c>
      <c r="AJ244" s="310">
        <f t="shared" si="49"/>
        <v>0</v>
      </c>
      <c r="AK244" s="310">
        <f t="shared" si="49"/>
        <v>0</v>
      </c>
      <c r="AL244" s="310">
        <f t="shared" si="49"/>
        <v>0</v>
      </c>
      <c r="AM244" s="310">
        <f t="shared" si="49"/>
        <v>0</v>
      </c>
      <c r="AN244" s="310">
        <f t="shared" si="49"/>
        <v>0</v>
      </c>
      <c r="AO244" s="310">
        <f t="shared" si="49"/>
        <v>0</v>
      </c>
    </row>
    <row r="245" spans="1:41">
      <c r="C245" s="309"/>
      <c r="D245" s="303"/>
      <c r="E245" s="303"/>
      <c r="F245" s="303"/>
      <c r="G245" s="310"/>
      <c r="H245" s="310"/>
      <c r="I245" s="310"/>
      <c r="J245" s="310"/>
      <c r="K245" s="310"/>
      <c r="L245" s="310"/>
      <c r="M245" s="310"/>
      <c r="N245" s="310"/>
      <c r="O245" s="310"/>
      <c r="P245" s="310"/>
      <c r="Q245" s="310"/>
      <c r="R245" s="310"/>
      <c r="S245" s="310"/>
      <c r="T245" s="310"/>
      <c r="U245" s="310"/>
      <c r="V245" s="310"/>
      <c r="W245" s="310"/>
      <c r="X245" s="310"/>
      <c r="Y245" s="310"/>
      <c r="Z245" s="310"/>
      <c r="AA245" s="310"/>
      <c r="AB245" s="309"/>
      <c r="AC245" s="303"/>
      <c r="AD245" s="303"/>
      <c r="AE245" s="303"/>
      <c r="AF245" s="310"/>
      <c r="AG245" s="310"/>
      <c r="AH245" s="310"/>
      <c r="AI245" s="310"/>
      <c r="AJ245" s="310"/>
      <c r="AK245" s="310"/>
      <c r="AL245" s="310"/>
      <c r="AM245" s="310"/>
      <c r="AN245" s="310"/>
      <c r="AO245" s="310"/>
    </row>
    <row r="246" spans="1:41">
      <c r="A246" t="s">
        <v>7</v>
      </c>
      <c r="C246" s="285" t="s">
        <v>1363</v>
      </c>
      <c r="D246" s="286"/>
      <c r="E246" s="286"/>
      <c r="F246" s="286"/>
      <c r="G246" s="286"/>
      <c r="H246" s="286"/>
      <c r="I246" s="286"/>
      <c r="J246" s="286"/>
      <c r="K246" s="286"/>
      <c r="L246" s="286"/>
      <c r="M246" s="286"/>
      <c r="N246" s="286"/>
      <c r="O246" s="286"/>
      <c r="P246" s="286"/>
      <c r="Q246" s="286"/>
      <c r="R246" s="287"/>
      <c r="S246" s="287"/>
      <c r="T246" s="287"/>
      <c r="U246" s="287"/>
      <c r="V246" s="287"/>
      <c r="W246" s="287"/>
      <c r="X246" s="287"/>
      <c r="Y246" s="287"/>
      <c r="Z246" s="287"/>
      <c r="AA246" s="287"/>
      <c r="AB246" s="287"/>
      <c r="AC246" s="287"/>
      <c r="AD246" s="286"/>
      <c r="AE246" s="286"/>
      <c r="AF246" s="287"/>
      <c r="AG246" s="288"/>
      <c r="AH246" s="287"/>
      <c r="AI246" s="289"/>
    </row>
    <row r="247" spans="1:41">
      <c r="C247" s="290"/>
      <c r="D247" s="286"/>
      <c r="E247" s="286"/>
      <c r="F247" s="286"/>
      <c r="G247" s="286"/>
      <c r="H247" s="286"/>
      <c r="I247" s="286"/>
      <c r="J247" s="286"/>
      <c r="K247" s="286"/>
      <c r="L247" s="286"/>
      <c r="M247" s="286"/>
      <c r="N247" s="286"/>
      <c r="O247" s="286"/>
      <c r="P247" s="286"/>
      <c r="Q247" s="286"/>
      <c r="R247" s="287"/>
      <c r="S247" s="287"/>
      <c r="T247" s="287"/>
      <c r="U247" s="287"/>
      <c r="V247" s="287"/>
      <c r="W247" s="287"/>
      <c r="X247" s="287"/>
      <c r="Y247" s="287"/>
      <c r="Z247" s="287"/>
      <c r="AA247" s="287"/>
      <c r="AB247" s="287"/>
      <c r="AC247" s="287"/>
      <c r="AD247" s="286"/>
      <c r="AE247" s="286"/>
      <c r="AF247" s="287"/>
      <c r="AG247" s="288"/>
      <c r="AH247" s="287"/>
      <c r="AI247" s="289"/>
    </row>
    <row r="248" spans="1:41">
      <c r="C248" s="291"/>
      <c r="D248" s="291" t="s">
        <v>1329</v>
      </c>
      <c r="E248" s="291"/>
      <c r="F248" s="291" t="str">
        <f t="shared" ref="F248:Z248" si="50">F$5</f>
        <v>VAL</v>
      </c>
      <c r="G248" s="292" t="str">
        <f t="shared" si="50"/>
        <v>1H21A</v>
      </c>
      <c r="H248" s="293" t="str">
        <f t="shared" si="50"/>
        <v>2H21A</v>
      </c>
      <c r="I248" s="292" t="str">
        <f t="shared" si="50"/>
        <v>1H22A</v>
      </c>
      <c r="J248" s="293" t="str">
        <f t="shared" si="50"/>
        <v>2H22A</v>
      </c>
      <c r="K248" s="292" t="str">
        <f t="shared" si="50"/>
        <v>1H23A</v>
      </c>
      <c r="L248" s="293" t="str">
        <f t="shared" si="50"/>
        <v>2H23A</v>
      </c>
      <c r="M248" s="292" t="str">
        <f t="shared" si="50"/>
        <v>1H24E</v>
      </c>
      <c r="N248" s="293" t="str">
        <f t="shared" si="50"/>
        <v>2H24E</v>
      </c>
      <c r="O248" s="292" t="str">
        <f t="shared" si="50"/>
        <v>1H25E</v>
      </c>
      <c r="P248" s="293" t="str">
        <f t="shared" si="50"/>
        <v>2H25E</v>
      </c>
      <c r="Q248" s="292" t="str">
        <f t="shared" si="50"/>
        <v>1H26E</v>
      </c>
      <c r="R248" s="293" t="str">
        <f t="shared" si="50"/>
        <v>2H26E</v>
      </c>
      <c r="S248" s="292" t="str">
        <f t="shared" si="50"/>
        <v>1H27E</v>
      </c>
      <c r="T248" s="293" t="str">
        <f t="shared" si="50"/>
        <v>2H27E</v>
      </c>
      <c r="U248" s="292" t="str">
        <f t="shared" si="50"/>
        <v>1H28E</v>
      </c>
      <c r="V248" s="293" t="str">
        <f t="shared" si="50"/>
        <v>2H28E</v>
      </c>
      <c r="W248" s="292" t="str">
        <f t="shared" si="50"/>
        <v>1H29E</v>
      </c>
      <c r="X248" s="293" t="str">
        <f t="shared" si="50"/>
        <v>2H29E</v>
      </c>
      <c r="Y248" s="292" t="str">
        <f t="shared" si="50"/>
        <v>1H30E</v>
      </c>
      <c r="Z248" s="293" t="str">
        <f t="shared" si="50"/>
        <v>2H30E</v>
      </c>
      <c r="AA248" s="294"/>
      <c r="AB248" s="291"/>
      <c r="AC248" s="291" t="s">
        <v>1329</v>
      </c>
      <c r="AD248" s="291"/>
      <c r="AE248" s="291" t="str">
        <f t="shared" ref="AE248:AO248" si="51">AE$5</f>
        <v>VAL</v>
      </c>
      <c r="AF248" s="295" t="str">
        <f t="shared" si="51"/>
        <v>FY21A</v>
      </c>
      <c r="AG248" s="295" t="str">
        <f t="shared" si="51"/>
        <v>FY22A</v>
      </c>
      <c r="AH248" s="295" t="str">
        <f t="shared" si="51"/>
        <v>FY23A</v>
      </c>
      <c r="AI248" s="295" t="str">
        <f t="shared" si="51"/>
        <v>FY24A</v>
      </c>
      <c r="AJ248" s="295" t="str">
        <f t="shared" si="51"/>
        <v>FY25A</v>
      </c>
      <c r="AK248" s="295" t="str">
        <f t="shared" si="51"/>
        <v>FY26A</v>
      </c>
      <c r="AL248" s="295" t="str">
        <f t="shared" si="51"/>
        <v>FY27A</v>
      </c>
      <c r="AM248" s="295" t="str">
        <f t="shared" si="51"/>
        <v>FY28A</v>
      </c>
      <c r="AN248" s="295" t="str">
        <f t="shared" si="51"/>
        <v>FY29A</v>
      </c>
      <c r="AO248" s="295" t="str">
        <f t="shared" si="51"/>
        <v>FY30A</v>
      </c>
    </row>
    <row r="249" spans="1:41">
      <c r="C249" s="296"/>
      <c r="D249" s="296"/>
      <c r="E249" s="296"/>
      <c r="F249" s="296"/>
      <c r="G249" s="297">
        <f t="shared" ref="G249:Z249" si="52">G$6</f>
        <v>44196</v>
      </c>
      <c r="H249" s="298">
        <f t="shared" si="52"/>
        <v>44377</v>
      </c>
      <c r="I249" s="297">
        <f t="shared" si="52"/>
        <v>44561</v>
      </c>
      <c r="J249" s="298">
        <f t="shared" si="52"/>
        <v>44742</v>
      </c>
      <c r="K249" s="297">
        <f t="shared" si="52"/>
        <v>44926</v>
      </c>
      <c r="L249" s="298">
        <f t="shared" si="52"/>
        <v>45107</v>
      </c>
      <c r="M249" s="297">
        <f t="shared" si="52"/>
        <v>45291</v>
      </c>
      <c r="N249" s="298">
        <f t="shared" si="52"/>
        <v>45473</v>
      </c>
      <c r="O249" s="297">
        <f t="shared" si="52"/>
        <v>45657</v>
      </c>
      <c r="P249" s="298">
        <f t="shared" si="52"/>
        <v>45838</v>
      </c>
      <c r="Q249" s="297">
        <f t="shared" si="52"/>
        <v>46022</v>
      </c>
      <c r="R249" s="298">
        <f t="shared" si="52"/>
        <v>46203</v>
      </c>
      <c r="S249" s="297">
        <f t="shared" si="52"/>
        <v>46387</v>
      </c>
      <c r="T249" s="298">
        <f t="shared" si="52"/>
        <v>46568</v>
      </c>
      <c r="U249" s="297">
        <f t="shared" si="52"/>
        <v>46752</v>
      </c>
      <c r="V249" s="298">
        <f t="shared" si="52"/>
        <v>46934</v>
      </c>
      <c r="W249" s="297">
        <f t="shared" si="52"/>
        <v>47118</v>
      </c>
      <c r="X249" s="298">
        <f t="shared" si="52"/>
        <v>47299</v>
      </c>
      <c r="Y249" s="297">
        <f t="shared" si="52"/>
        <v>47483</v>
      </c>
      <c r="Z249" s="296">
        <f t="shared" si="52"/>
        <v>47664</v>
      </c>
      <c r="AA249" s="299"/>
      <c r="AB249" s="296"/>
      <c r="AC249" s="296"/>
      <c r="AD249" s="296"/>
      <c r="AE249" s="296"/>
      <c r="AF249" s="300">
        <f t="shared" ref="AF249:AO249" si="53">AF$6</f>
        <v>44377</v>
      </c>
      <c r="AG249" s="300">
        <f t="shared" si="53"/>
        <v>44742</v>
      </c>
      <c r="AH249" s="300">
        <f t="shared" si="53"/>
        <v>45107</v>
      </c>
      <c r="AI249" s="300">
        <f t="shared" si="53"/>
        <v>45473</v>
      </c>
      <c r="AJ249" s="300">
        <f t="shared" si="53"/>
        <v>45838</v>
      </c>
      <c r="AK249" s="300">
        <f t="shared" si="53"/>
        <v>46203</v>
      </c>
      <c r="AL249" s="300">
        <f t="shared" si="53"/>
        <v>46568</v>
      </c>
      <c r="AM249" s="300">
        <f t="shared" si="53"/>
        <v>46934</v>
      </c>
      <c r="AN249" s="300">
        <f t="shared" si="53"/>
        <v>47299</v>
      </c>
      <c r="AO249" s="300">
        <f t="shared" si="53"/>
        <v>47664</v>
      </c>
    </row>
    <row r="250" spans="1:41">
      <c r="B250" s="301" t="s">
        <v>1436</v>
      </c>
      <c r="C250" s="302" t="s">
        <v>1508</v>
      </c>
      <c r="D250" s="303" t="str">
        <f t="array" ref="D250">_xlfn.XLOOKUP($B250,$B$114:$B$212,_xlfn.XLOOKUP(D$219,$D$5:$AO$5,$D$114:$AO$212))</f>
        <v>NZ$m</v>
      </c>
      <c r="E250" s="303"/>
      <c r="F250" s="303"/>
      <c r="G250" s="304" t="e">
        <f t="array" ref="G250">_xlfn.XLOOKUP($B250,$B$114:$B$212,_xlfn.XLOOKUP(G$219,$D$5:$AO$5,$D$114:$AO$212))</f>
        <v>#REF!</v>
      </c>
      <c r="H250" s="304" t="e">
        <f t="array" ref="H250">_xlfn.XLOOKUP($B250,$B$114:$B$212,_xlfn.XLOOKUP(H$219,$D$5:$AO$5,$D$114:$AO$212))</f>
        <v>#REF!</v>
      </c>
      <c r="I250" s="304" t="e">
        <f t="array" ref="I250">_xlfn.XLOOKUP($B250,$B$114:$B$212,_xlfn.XLOOKUP(I$219,$D$5:$AO$5,$D$114:$AO$212))</f>
        <v>#REF!</v>
      </c>
      <c r="J250" s="304" t="e">
        <f t="array" ref="J250">_xlfn.XLOOKUP($B250,$B$114:$B$212,_xlfn.XLOOKUP(J$219,$D$5:$AO$5,$D$114:$AO$212))</f>
        <v>#REF!</v>
      </c>
      <c r="K250" s="304" t="e">
        <f t="array" ref="K250">_xlfn.XLOOKUP($B250,$B$114:$B$212,_xlfn.XLOOKUP(K$219,$D$5:$AO$5,$D$114:$AO$212))</f>
        <v>#REF!</v>
      </c>
      <c r="L250" s="304" t="e">
        <f t="array" ref="L250">_xlfn.XLOOKUP($B250,$B$114:$B$212,_xlfn.XLOOKUP(L$219,$D$5:$AO$5,$D$114:$AO$212))</f>
        <v>#REF!</v>
      </c>
      <c r="M250" s="304" t="e">
        <f t="array" ref="M250">_xlfn.XLOOKUP($B250,$B$114:$B$212,_xlfn.XLOOKUP(M$219,$D$5:$AO$5,$D$114:$AO$212))</f>
        <v>#REF!</v>
      </c>
      <c r="N250" s="304" t="e">
        <f t="array" ref="N250">_xlfn.XLOOKUP($B250,$B$114:$B$212,_xlfn.XLOOKUP(N$219,$D$5:$AO$5,$D$114:$AO$212))</f>
        <v>#REF!</v>
      </c>
      <c r="O250" s="304" t="e">
        <f t="array" ref="O250">_xlfn.XLOOKUP($B250,$B$114:$B$212,_xlfn.XLOOKUP(O$219,$D$5:$AO$5,$D$114:$AO$212))</f>
        <v>#REF!</v>
      </c>
      <c r="P250" s="304" t="e">
        <f t="array" ref="P250">_xlfn.XLOOKUP($B250,$B$114:$B$212,_xlfn.XLOOKUP(P$219,$D$5:$AO$5,$D$114:$AO$212))</f>
        <v>#REF!</v>
      </c>
      <c r="Q250" s="304" t="e">
        <f t="array" ref="Q250">_xlfn.XLOOKUP($B250,$B$114:$B$212,_xlfn.XLOOKUP(Q$219,$D$5:$AO$5,$D$114:$AO$212))</f>
        <v>#REF!</v>
      </c>
      <c r="R250" s="304" t="e">
        <f t="array" ref="R250">_xlfn.XLOOKUP($B250,$B$114:$B$212,_xlfn.XLOOKUP(R$219,$D$5:$AO$5,$D$114:$AO$212))</f>
        <v>#REF!</v>
      </c>
      <c r="S250" s="304" t="e">
        <f t="array" ref="S250">_xlfn.XLOOKUP($B250,$B$114:$B$212,_xlfn.XLOOKUP(S$219,$D$5:$AO$5,$D$114:$AO$212))</f>
        <v>#REF!</v>
      </c>
      <c r="T250" s="304" t="e">
        <f t="array" ref="T250">_xlfn.XLOOKUP($B250,$B$114:$B$212,_xlfn.XLOOKUP(T$219,$D$5:$AO$5,$D$114:$AO$212))</f>
        <v>#REF!</v>
      </c>
      <c r="U250" s="304" t="e">
        <f t="array" ref="U250">_xlfn.XLOOKUP($B250,$B$114:$B$212,_xlfn.XLOOKUP(U$219,$D$5:$AO$5,$D$114:$AO$212))</f>
        <v>#REF!</v>
      </c>
      <c r="V250" s="304" t="e">
        <f t="array" ref="V250">_xlfn.XLOOKUP($B250,$B$114:$B$212,_xlfn.XLOOKUP(V$219,$D$5:$AO$5,$D$114:$AO$212))</f>
        <v>#REF!</v>
      </c>
      <c r="W250" s="304" t="e">
        <f t="array" ref="W250">_xlfn.XLOOKUP($B250,$B$114:$B$212,_xlfn.XLOOKUP(W$219,$D$5:$AO$5,$D$114:$AO$212))</f>
        <v>#REF!</v>
      </c>
      <c r="X250" s="304" t="e">
        <f t="array" ref="X250">_xlfn.XLOOKUP($B250,$B$114:$B$212,_xlfn.XLOOKUP(X$219,$D$5:$AO$5,$D$114:$AO$212))</f>
        <v>#REF!</v>
      </c>
      <c r="Y250" s="304" t="e">
        <f t="array" ref="Y250">_xlfn.XLOOKUP($B250,$B$114:$B$212,_xlfn.XLOOKUP(Y$219,$D$5:$AO$5,$D$114:$AO$212))</f>
        <v>#REF!</v>
      </c>
      <c r="Z250" s="304" t="e">
        <f t="array" ref="Z250">_xlfn.XLOOKUP($B250,$B$114:$B$212,_xlfn.XLOOKUP(Z$219,$D$5:$AO$5,$D$114:$AO$212))</f>
        <v>#REF!</v>
      </c>
      <c r="AA250" s="305"/>
      <c r="AB250" s="302" t="str">
        <f t="shared" ref="AB250:AB273" si="54">C250</f>
        <v>Slot Revenue - old</v>
      </c>
      <c r="AC250" s="303" t="str">
        <f t="shared" ref="AC250:AC273" si="55">D250</f>
        <v>NZ$m</v>
      </c>
      <c r="AD250" s="303"/>
      <c r="AE250" s="303"/>
      <c r="AF250" s="304" t="e">
        <f t="array" ref="AF250">_xlfn.XLOOKUP($B250,$B$114:$B$212,_xlfn.XLOOKUP(AF$219,$D$5:$AO$5,$D$114:$AO$212))</f>
        <v>#REF!</v>
      </c>
      <c r="AG250" s="304" t="e">
        <f t="array" ref="AG250">_xlfn.XLOOKUP($B250,$B$114:$B$212,_xlfn.XLOOKUP(AG$219,$D$5:$AO$5,$D$114:$AO$212))</f>
        <v>#REF!</v>
      </c>
      <c r="AH250" s="304" t="e">
        <f t="array" ref="AH250">_xlfn.XLOOKUP($B250,$B$114:$B$212,_xlfn.XLOOKUP(AH$219,$D$5:$AO$5,$D$114:$AO$212))</f>
        <v>#REF!</v>
      </c>
      <c r="AI250" s="304" t="e">
        <f t="array" ref="AI250">_xlfn.XLOOKUP($B250,$B$114:$B$212,_xlfn.XLOOKUP(AI$219,$D$5:$AO$5,$D$114:$AO$212))</f>
        <v>#REF!</v>
      </c>
      <c r="AJ250" s="304" t="e">
        <f t="array" ref="AJ250">_xlfn.XLOOKUP($B250,$B$114:$B$212,_xlfn.XLOOKUP(AJ$219,$D$5:$AO$5,$D$114:$AO$212))</f>
        <v>#REF!</v>
      </c>
      <c r="AK250" s="304" t="e">
        <f t="array" ref="AK250">_xlfn.XLOOKUP($B250,$B$114:$B$212,_xlfn.XLOOKUP(AK$219,$D$5:$AO$5,$D$114:$AO$212))</f>
        <v>#REF!</v>
      </c>
      <c r="AL250" s="304" t="e">
        <f t="array" ref="AL250">_xlfn.XLOOKUP($B250,$B$114:$B$212,_xlfn.XLOOKUP(AL$219,$D$5:$AO$5,$D$114:$AO$212))</f>
        <v>#REF!</v>
      </c>
      <c r="AM250" s="304" t="e">
        <f t="array" ref="AM250">_xlfn.XLOOKUP($B250,$B$114:$B$212,_xlfn.XLOOKUP(AM$219,$D$5:$AO$5,$D$114:$AO$212))</f>
        <v>#REF!</v>
      </c>
      <c r="AN250" s="304" t="e">
        <f t="array" ref="AN250">_xlfn.XLOOKUP($B250,$B$114:$B$212,_xlfn.XLOOKUP(AN$219,$D$5:$AO$5,$D$114:$AO$212))</f>
        <v>#REF!</v>
      </c>
      <c r="AO250" s="304" t="e">
        <f t="array" ref="AO250">_xlfn.XLOOKUP($B250,$B$114:$B$212,_xlfn.XLOOKUP(AO$219,$D$5:$AO$5,$D$114:$AO$212))</f>
        <v>#REF!</v>
      </c>
    </row>
    <row r="251" spans="1:41">
      <c r="B251" s="301" t="s">
        <v>1436</v>
      </c>
      <c r="C251" s="306" t="s">
        <v>1509</v>
      </c>
      <c r="D251" s="307" t="str">
        <f t="array" ref="D251">_xlfn.XLOOKUP($B251,$B$11:$B$109,_xlfn.XLOOKUP(D$219,$D$5:$AO$5,$D$11:$AO$109))</f>
        <v>NZ$m</v>
      </c>
      <c r="E251" s="307"/>
      <c r="F251" s="307"/>
      <c r="G251" s="308" t="e">
        <f t="array" ref="G251">_xlfn.XLOOKUP($B251,$B$11:$B$109,_xlfn.XLOOKUP(G$219,$D$5:$AO$5,$D$11:$AO$109))</f>
        <v>#REF!</v>
      </c>
      <c r="H251" s="308" t="e">
        <f t="array" ref="H251">_xlfn.XLOOKUP($B251,$B$11:$B$109,_xlfn.XLOOKUP(H$219,$D$5:$AO$5,$D$11:$AO$109))</f>
        <v>#REF!</v>
      </c>
      <c r="I251" s="308" t="e">
        <f t="array" ref="I251">_xlfn.XLOOKUP($B251,$B$11:$B$109,_xlfn.XLOOKUP(I$219,$D$5:$AO$5,$D$11:$AO$109))</f>
        <v>#REF!</v>
      </c>
      <c r="J251" s="308" t="e">
        <f t="array" ref="J251">_xlfn.XLOOKUP($B251,$B$11:$B$109,_xlfn.XLOOKUP(J$219,$D$5:$AO$5,$D$11:$AO$109))</f>
        <v>#REF!</v>
      </c>
      <c r="K251" s="308" t="e">
        <f t="array" ref="K251">_xlfn.XLOOKUP($B251,$B$11:$B$109,_xlfn.XLOOKUP(K$219,$D$5:$AO$5,$D$11:$AO$109))</f>
        <v>#REF!</v>
      </c>
      <c r="L251" s="308" t="e">
        <f t="array" ref="L251">_xlfn.XLOOKUP($B251,$B$11:$B$109,_xlfn.XLOOKUP(L$219,$D$5:$AO$5,$D$11:$AO$109))</f>
        <v>#REF!</v>
      </c>
      <c r="M251" s="308" t="e">
        <f t="array" ref="M251">_xlfn.XLOOKUP($B251,$B$11:$B$109,_xlfn.XLOOKUP(M$219,$D$5:$AO$5,$D$11:$AO$109))</f>
        <v>#REF!</v>
      </c>
      <c r="N251" s="308" t="e">
        <f t="array" ref="N251">_xlfn.XLOOKUP($B251,$B$11:$B$109,_xlfn.XLOOKUP(N$219,$D$5:$AO$5,$D$11:$AO$109))</f>
        <v>#REF!</v>
      </c>
      <c r="O251" s="308" t="e">
        <f t="array" ref="O251">_xlfn.XLOOKUP($B251,$B$11:$B$109,_xlfn.XLOOKUP(O$219,$D$5:$AO$5,$D$11:$AO$109))</f>
        <v>#REF!</v>
      </c>
      <c r="P251" s="308" t="e">
        <f t="array" ref="P251">_xlfn.XLOOKUP($B251,$B$11:$B$109,_xlfn.XLOOKUP(P$219,$D$5:$AO$5,$D$11:$AO$109))</f>
        <v>#REF!</v>
      </c>
      <c r="Q251" s="308" t="e">
        <f t="array" ref="Q251">_xlfn.XLOOKUP($B251,$B$11:$B$109,_xlfn.XLOOKUP(Q$219,$D$5:$AO$5,$D$11:$AO$109))</f>
        <v>#REF!</v>
      </c>
      <c r="R251" s="308" t="e">
        <f t="array" ref="R251">_xlfn.XLOOKUP($B251,$B$11:$B$109,_xlfn.XLOOKUP(R$219,$D$5:$AO$5,$D$11:$AO$109))</f>
        <v>#REF!</v>
      </c>
      <c r="S251" s="308" t="e">
        <f t="array" ref="S251">_xlfn.XLOOKUP($B251,$B$11:$B$109,_xlfn.XLOOKUP(S$219,$D$5:$AO$5,$D$11:$AO$109))</f>
        <v>#REF!</v>
      </c>
      <c r="T251" s="308" t="e">
        <f t="array" ref="T251">_xlfn.XLOOKUP($B251,$B$11:$B$109,_xlfn.XLOOKUP(T$219,$D$5:$AO$5,$D$11:$AO$109))</f>
        <v>#REF!</v>
      </c>
      <c r="U251" s="308" t="e">
        <f t="array" ref="U251">_xlfn.XLOOKUP($B251,$B$11:$B$109,_xlfn.XLOOKUP(U$219,$D$5:$AO$5,$D$11:$AO$109))</f>
        <v>#REF!</v>
      </c>
      <c r="V251" s="308" t="e">
        <f t="array" ref="V251">_xlfn.XLOOKUP($B251,$B$11:$B$109,_xlfn.XLOOKUP(V$219,$D$5:$AO$5,$D$11:$AO$109))</f>
        <v>#REF!</v>
      </c>
      <c r="W251" s="308" t="e">
        <f t="array" ref="W251">_xlfn.XLOOKUP($B251,$B$11:$B$109,_xlfn.XLOOKUP(W$219,$D$5:$AO$5,$D$11:$AO$109))</f>
        <v>#REF!</v>
      </c>
      <c r="X251" s="308" t="e">
        <f t="array" ref="X251">_xlfn.XLOOKUP($B251,$B$11:$B$109,_xlfn.XLOOKUP(X$219,$D$5:$AO$5,$D$11:$AO$109))</f>
        <v>#REF!</v>
      </c>
      <c r="Y251" s="308" t="e">
        <f t="array" ref="Y251">_xlfn.XLOOKUP($B251,$B$11:$B$109,_xlfn.XLOOKUP(Y$219,$D$5:$AO$5,$D$11:$AO$109))</f>
        <v>#REF!</v>
      </c>
      <c r="Z251" s="308" t="e">
        <f t="array" ref="Z251">_xlfn.XLOOKUP($B251,$B$11:$B$109,_xlfn.XLOOKUP(Z$219,$D$5:$AO$5,$D$11:$AO$109))</f>
        <v>#REF!</v>
      </c>
      <c r="AA251" s="308"/>
      <c r="AB251" s="306" t="str">
        <f t="shared" si="54"/>
        <v>Slot Revenue - New</v>
      </c>
      <c r="AC251" s="307" t="str">
        <f t="shared" si="55"/>
        <v>NZ$m</v>
      </c>
      <c r="AD251" s="307"/>
      <c r="AE251" s="307"/>
      <c r="AF251" s="308" t="e">
        <f t="array" ref="AF251">_xlfn.XLOOKUP($B251,$B$11:$B$109,_xlfn.XLOOKUP(AF$219,$D$5:$AO$5,$D$11:$AO$109))</f>
        <v>#REF!</v>
      </c>
      <c r="AG251" s="308" t="e">
        <f t="array" ref="AG251">_xlfn.XLOOKUP($B251,$B$11:$B$109,_xlfn.XLOOKUP(AG$219,$D$5:$AO$5,$D$11:$AO$109))</f>
        <v>#REF!</v>
      </c>
      <c r="AH251" s="308" t="e">
        <f t="array" ref="AH251">_xlfn.XLOOKUP($B251,$B$11:$B$109,_xlfn.XLOOKUP(AH$219,$D$5:$AO$5,$D$11:$AO$109))</f>
        <v>#REF!</v>
      </c>
      <c r="AI251" s="308" t="e">
        <f t="array" ref="AI251">_xlfn.XLOOKUP($B251,$B$11:$B$109,_xlfn.XLOOKUP(AI$219,$D$5:$AO$5,$D$11:$AO$109))</f>
        <v>#REF!</v>
      </c>
      <c r="AJ251" s="308" t="e">
        <f t="array" ref="AJ251">_xlfn.XLOOKUP($B251,$B$11:$B$109,_xlfn.XLOOKUP(AJ$219,$D$5:$AO$5,$D$11:$AO$109))</f>
        <v>#REF!</v>
      </c>
      <c r="AK251" s="308" t="e">
        <f t="array" ref="AK251">_xlfn.XLOOKUP($B251,$B$11:$B$109,_xlfn.XLOOKUP(AK$219,$D$5:$AO$5,$D$11:$AO$109))</f>
        <v>#REF!</v>
      </c>
      <c r="AL251" s="308" t="e">
        <f t="array" ref="AL251">_xlfn.XLOOKUP($B251,$B$11:$B$109,_xlfn.XLOOKUP(AL$219,$D$5:$AO$5,$D$11:$AO$109))</f>
        <v>#REF!</v>
      </c>
      <c r="AM251" s="308" t="e">
        <f t="array" ref="AM251">_xlfn.XLOOKUP($B251,$B$11:$B$109,_xlfn.XLOOKUP(AM$219,$D$5:$AO$5,$D$11:$AO$109))</f>
        <v>#REF!</v>
      </c>
      <c r="AN251" s="308" t="e">
        <f t="array" ref="AN251">_xlfn.XLOOKUP($B251,$B$11:$B$109,_xlfn.XLOOKUP(AN$219,$D$5:$AO$5,$D$11:$AO$109))</f>
        <v>#REF!</v>
      </c>
      <c r="AO251" s="308" t="e">
        <f t="array" ref="AO251">_xlfn.XLOOKUP($B251,$B$11:$B$109,_xlfn.XLOOKUP(AO$219,$D$5:$AO$5,$D$11:$AO$109))</f>
        <v>#REF!</v>
      </c>
    </row>
    <row r="252" spans="1:41" hidden="1" outlineLevel="1">
      <c r="C252" s="309" t="s">
        <v>1510</v>
      </c>
      <c r="D252" s="303" t="s">
        <v>88</v>
      </c>
      <c r="E252" s="303"/>
      <c r="F252" s="303"/>
      <c r="G252" s="310" t="s">
        <v>967</v>
      </c>
      <c r="H252" s="310" t="s">
        <v>967</v>
      </c>
      <c r="I252" s="310" t="e">
        <f t="shared" ref="I252:Z252" si="56">I251/G251-1</f>
        <v>#REF!</v>
      </c>
      <c r="J252" s="310" t="e">
        <f t="shared" si="56"/>
        <v>#REF!</v>
      </c>
      <c r="K252" s="310" t="e">
        <f t="shared" si="56"/>
        <v>#REF!</v>
      </c>
      <c r="L252" s="310" t="e">
        <f t="shared" si="56"/>
        <v>#REF!</v>
      </c>
      <c r="M252" s="310" t="e">
        <f t="shared" si="56"/>
        <v>#REF!</v>
      </c>
      <c r="N252" s="310" t="e">
        <f t="shared" si="56"/>
        <v>#REF!</v>
      </c>
      <c r="O252" s="310" t="e">
        <f t="shared" si="56"/>
        <v>#REF!</v>
      </c>
      <c r="P252" s="310" t="e">
        <f t="shared" si="56"/>
        <v>#REF!</v>
      </c>
      <c r="Q252" s="310" t="e">
        <f t="shared" si="56"/>
        <v>#REF!</v>
      </c>
      <c r="R252" s="310" t="e">
        <f t="shared" si="56"/>
        <v>#REF!</v>
      </c>
      <c r="S252" s="310" t="e">
        <f t="shared" si="56"/>
        <v>#REF!</v>
      </c>
      <c r="T252" s="310" t="e">
        <f t="shared" si="56"/>
        <v>#REF!</v>
      </c>
      <c r="U252" s="310" t="e">
        <f t="shared" si="56"/>
        <v>#REF!</v>
      </c>
      <c r="V252" s="310" t="e">
        <f t="shared" si="56"/>
        <v>#REF!</v>
      </c>
      <c r="W252" s="310" t="e">
        <f t="shared" si="56"/>
        <v>#REF!</v>
      </c>
      <c r="X252" s="310" t="e">
        <f t="shared" si="56"/>
        <v>#REF!</v>
      </c>
      <c r="Y252" s="310" t="e">
        <f t="shared" si="56"/>
        <v>#REF!</v>
      </c>
      <c r="Z252" s="310" t="e">
        <f t="shared" si="56"/>
        <v>#REF!</v>
      </c>
      <c r="AA252" s="311"/>
      <c r="AB252" s="309" t="str">
        <f t="shared" si="54"/>
        <v>- Growth</v>
      </c>
      <c r="AC252" s="303" t="str">
        <f t="shared" si="55"/>
        <v>%</v>
      </c>
      <c r="AD252" s="303"/>
      <c r="AE252" s="303"/>
      <c r="AF252" s="310" t="s">
        <v>967</v>
      </c>
      <c r="AG252" s="310" t="e">
        <f t="shared" ref="AG252:AO252" si="57">AG251/AF251-1</f>
        <v>#REF!</v>
      </c>
      <c r="AH252" s="310" t="e">
        <f t="shared" si="57"/>
        <v>#REF!</v>
      </c>
      <c r="AI252" s="310" t="e">
        <f t="shared" si="57"/>
        <v>#REF!</v>
      </c>
      <c r="AJ252" s="310" t="e">
        <f t="shared" si="57"/>
        <v>#REF!</v>
      </c>
      <c r="AK252" s="310" t="e">
        <f t="shared" si="57"/>
        <v>#REF!</v>
      </c>
      <c r="AL252" s="310" t="e">
        <f t="shared" si="57"/>
        <v>#REF!</v>
      </c>
      <c r="AM252" s="310" t="e">
        <f t="shared" si="57"/>
        <v>#REF!</v>
      </c>
      <c r="AN252" s="310" t="e">
        <f t="shared" si="57"/>
        <v>#REF!</v>
      </c>
      <c r="AO252" s="310" t="e">
        <f t="shared" si="57"/>
        <v>#REF!</v>
      </c>
    </row>
    <row r="253" spans="1:41" collapsed="1">
      <c r="C253" s="309" t="s">
        <v>1511</v>
      </c>
      <c r="D253" s="303" t="s">
        <v>88</v>
      </c>
      <c r="E253" s="303"/>
      <c r="F253" s="303"/>
      <c r="G253" s="310">
        <f t="shared" ref="G253:Z253" si="58">IFERROR(ROUND( G251 / G250,2) - 1, 0)</f>
        <v>0</v>
      </c>
      <c r="H253" s="310">
        <f t="shared" si="58"/>
        <v>0</v>
      </c>
      <c r="I253" s="310">
        <f t="shared" si="58"/>
        <v>0</v>
      </c>
      <c r="J253" s="310">
        <f t="shared" si="58"/>
        <v>0</v>
      </c>
      <c r="K253" s="310">
        <f t="shared" si="58"/>
        <v>0</v>
      </c>
      <c r="L253" s="310">
        <f t="shared" si="58"/>
        <v>0</v>
      </c>
      <c r="M253" s="310">
        <f t="shared" si="58"/>
        <v>0</v>
      </c>
      <c r="N253" s="310">
        <f t="shared" si="58"/>
        <v>0</v>
      </c>
      <c r="O253" s="310">
        <f t="shared" si="58"/>
        <v>0</v>
      </c>
      <c r="P253" s="310">
        <f t="shared" si="58"/>
        <v>0</v>
      </c>
      <c r="Q253" s="310">
        <f t="shared" si="58"/>
        <v>0</v>
      </c>
      <c r="R253" s="310">
        <f t="shared" si="58"/>
        <v>0</v>
      </c>
      <c r="S253" s="310">
        <f t="shared" si="58"/>
        <v>0</v>
      </c>
      <c r="T253" s="310">
        <f t="shared" si="58"/>
        <v>0</v>
      </c>
      <c r="U253" s="310">
        <f t="shared" si="58"/>
        <v>0</v>
      </c>
      <c r="V253" s="310">
        <f t="shared" si="58"/>
        <v>0</v>
      </c>
      <c r="W253" s="310">
        <f t="shared" si="58"/>
        <v>0</v>
      </c>
      <c r="X253" s="310">
        <f t="shared" si="58"/>
        <v>0</v>
      </c>
      <c r="Y253" s="310">
        <f t="shared" si="58"/>
        <v>0</v>
      </c>
      <c r="Z253" s="310">
        <f t="shared" si="58"/>
        <v>0</v>
      </c>
      <c r="AA253" s="310"/>
      <c r="AB253" s="309" t="str">
        <f t="shared" si="54"/>
        <v>- Revision</v>
      </c>
      <c r="AC253" s="303" t="str">
        <f t="shared" si="55"/>
        <v>%</v>
      </c>
      <c r="AD253" s="303"/>
      <c r="AE253" s="303"/>
      <c r="AF253" s="310">
        <f t="shared" ref="AF253:AO253" si="59">IFERROR(ROUND( AF251 / AF250,2) - 1, 0)</f>
        <v>0</v>
      </c>
      <c r="AG253" s="310">
        <f t="shared" si="59"/>
        <v>0</v>
      </c>
      <c r="AH253" s="310">
        <f t="shared" si="59"/>
        <v>0</v>
      </c>
      <c r="AI253" s="310">
        <f t="shared" si="59"/>
        <v>0</v>
      </c>
      <c r="AJ253" s="310">
        <f t="shared" si="59"/>
        <v>0</v>
      </c>
      <c r="AK253" s="310">
        <f t="shared" si="59"/>
        <v>0</v>
      </c>
      <c r="AL253" s="310">
        <f t="shared" si="59"/>
        <v>0</v>
      </c>
      <c r="AM253" s="310">
        <f t="shared" si="59"/>
        <v>0</v>
      </c>
      <c r="AN253" s="310">
        <f t="shared" si="59"/>
        <v>0</v>
      </c>
      <c r="AO253" s="310">
        <f t="shared" si="59"/>
        <v>0</v>
      </c>
    </row>
    <row r="254" spans="1:41">
      <c r="B254" s="301" t="s">
        <v>1437</v>
      </c>
      <c r="C254" s="302" t="s">
        <v>1512</v>
      </c>
      <c r="D254" s="303" t="str">
        <f t="array" ref="D254">_xlfn.XLOOKUP($B254,$B$114:$B$212,_xlfn.XLOOKUP(D$219,$D$5:$AO$5,$D$114:$AO$212))</f>
        <v>NZ$m</v>
      </c>
      <c r="E254" s="303"/>
      <c r="F254" s="303"/>
      <c r="G254" s="304" t="e">
        <f t="array" ref="G254">_xlfn.XLOOKUP($B254,$B$114:$B$212,_xlfn.XLOOKUP(G$219,$D$5:$AO$5,$D$114:$AO$212))</f>
        <v>#REF!</v>
      </c>
      <c r="H254" s="304" t="e">
        <f t="array" ref="H254">_xlfn.XLOOKUP($B254,$B$114:$B$212,_xlfn.XLOOKUP(H$219,$D$5:$AO$5,$D$114:$AO$212))</f>
        <v>#REF!</v>
      </c>
      <c r="I254" s="304" t="e">
        <f t="array" ref="I254">_xlfn.XLOOKUP($B254,$B$114:$B$212,_xlfn.XLOOKUP(I$219,$D$5:$AO$5,$D$114:$AO$212))</f>
        <v>#REF!</v>
      </c>
      <c r="J254" s="304" t="e">
        <f t="array" ref="J254">_xlfn.XLOOKUP($B254,$B$114:$B$212,_xlfn.XLOOKUP(J$219,$D$5:$AO$5,$D$114:$AO$212))</f>
        <v>#REF!</v>
      </c>
      <c r="K254" s="304" t="e">
        <f t="array" ref="K254">_xlfn.XLOOKUP($B254,$B$114:$B$212,_xlfn.XLOOKUP(K$219,$D$5:$AO$5,$D$114:$AO$212))</f>
        <v>#REF!</v>
      </c>
      <c r="L254" s="304" t="e">
        <f t="array" ref="L254">_xlfn.XLOOKUP($B254,$B$114:$B$212,_xlfn.XLOOKUP(L$219,$D$5:$AO$5,$D$114:$AO$212))</f>
        <v>#REF!</v>
      </c>
      <c r="M254" s="304" t="e">
        <f t="array" ref="M254">_xlfn.XLOOKUP($B254,$B$114:$B$212,_xlfn.XLOOKUP(M$219,$D$5:$AO$5,$D$114:$AO$212))</f>
        <v>#REF!</v>
      </c>
      <c r="N254" s="304" t="e">
        <f t="array" ref="N254">_xlfn.XLOOKUP($B254,$B$114:$B$212,_xlfn.XLOOKUP(N$219,$D$5:$AO$5,$D$114:$AO$212))</f>
        <v>#REF!</v>
      </c>
      <c r="O254" s="304" t="e">
        <f t="array" ref="O254">_xlfn.XLOOKUP($B254,$B$114:$B$212,_xlfn.XLOOKUP(O$219,$D$5:$AO$5,$D$114:$AO$212))</f>
        <v>#REF!</v>
      </c>
      <c r="P254" s="304" t="e">
        <f t="array" ref="P254">_xlfn.XLOOKUP($B254,$B$114:$B$212,_xlfn.XLOOKUP(P$219,$D$5:$AO$5,$D$114:$AO$212))</f>
        <v>#REF!</v>
      </c>
      <c r="Q254" s="304" t="e">
        <f t="array" ref="Q254">_xlfn.XLOOKUP($B254,$B$114:$B$212,_xlfn.XLOOKUP(Q$219,$D$5:$AO$5,$D$114:$AO$212))</f>
        <v>#REF!</v>
      </c>
      <c r="R254" s="304" t="e">
        <f t="array" ref="R254">_xlfn.XLOOKUP($B254,$B$114:$B$212,_xlfn.XLOOKUP(R$219,$D$5:$AO$5,$D$114:$AO$212))</f>
        <v>#REF!</v>
      </c>
      <c r="S254" s="304" t="e">
        <f t="array" ref="S254">_xlfn.XLOOKUP($B254,$B$114:$B$212,_xlfn.XLOOKUP(S$219,$D$5:$AO$5,$D$114:$AO$212))</f>
        <v>#REF!</v>
      </c>
      <c r="T254" s="304" t="e">
        <f t="array" ref="T254">_xlfn.XLOOKUP($B254,$B$114:$B$212,_xlfn.XLOOKUP(T$219,$D$5:$AO$5,$D$114:$AO$212))</f>
        <v>#REF!</v>
      </c>
      <c r="U254" s="304" t="e">
        <f t="array" ref="U254">_xlfn.XLOOKUP($B254,$B$114:$B$212,_xlfn.XLOOKUP(U$219,$D$5:$AO$5,$D$114:$AO$212))</f>
        <v>#REF!</v>
      </c>
      <c r="V254" s="304" t="e">
        <f t="array" ref="V254">_xlfn.XLOOKUP($B254,$B$114:$B$212,_xlfn.XLOOKUP(V$219,$D$5:$AO$5,$D$114:$AO$212))</f>
        <v>#REF!</v>
      </c>
      <c r="W254" s="304" t="e">
        <f t="array" ref="W254">_xlfn.XLOOKUP($B254,$B$114:$B$212,_xlfn.XLOOKUP(W$219,$D$5:$AO$5,$D$114:$AO$212))</f>
        <v>#REF!</v>
      </c>
      <c r="X254" s="304" t="e">
        <f t="array" ref="X254">_xlfn.XLOOKUP($B254,$B$114:$B$212,_xlfn.XLOOKUP(X$219,$D$5:$AO$5,$D$114:$AO$212))</f>
        <v>#REF!</v>
      </c>
      <c r="Y254" s="304" t="e">
        <f t="array" ref="Y254">_xlfn.XLOOKUP($B254,$B$114:$B$212,_xlfn.XLOOKUP(Y$219,$D$5:$AO$5,$D$114:$AO$212))</f>
        <v>#REF!</v>
      </c>
      <c r="Z254" s="304" t="e">
        <f t="array" ref="Z254">_xlfn.XLOOKUP($B254,$B$114:$B$212,_xlfn.XLOOKUP(Z$219,$D$5:$AO$5,$D$114:$AO$212))</f>
        <v>#REF!</v>
      </c>
      <c r="AA254" s="305"/>
      <c r="AB254" s="302" t="str">
        <f t="shared" si="54"/>
        <v>Tables Revenue - old</v>
      </c>
      <c r="AC254" s="303" t="str">
        <f t="shared" si="55"/>
        <v>NZ$m</v>
      </c>
      <c r="AD254" s="303"/>
      <c r="AE254" s="303"/>
      <c r="AF254" s="304" t="e">
        <f t="array" ref="AF254">_xlfn.XLOOKUP($B254,$B$114:$B$212,_xlfn.XLOOKUP(AF$219,$D$5:$AO$5,$D$114:$AO$212))</f>
        <v>#REF!</v>
      </c>
      <c r="AG254" s="304" t="e">
        <f t="array" ref="AG254">_xlfn.XLOOKUP($B254,$B$114:$B$212,_xlfn.XLOOKUP(AG$219,$D$5:$AO$5,$D$114:$AO$212))</f>
        <v>#REF!</v>
      </c>
      <c r="AH254" s="304" t="e">
        <f t="array" ref="AH254">_xlfn.XLOOKUP($B254,$B$114:$B$212,_xlfn.XLOOKUP(AH$219,$D$5:$AO$5,$D$114:$AO$212))</f>
        <v>#REF!</v>
      </c>
      <c r="AI254" s="304" t="e">
        <f t="array" ref="AI254">_xlfn.XLOOKUP($B254,$B$114:$B$212,_xlfn.XLOOKUP(AI$219,$D$5:$AO$5,$D$114:$AO$212))</f>
        <v>#REF!</v>
      </c>
      <c r="AJ254" s="304" t="e">
        <f t="array" ref="AJ254">_xlfn.XLOOKUP($B254,$B$114:$B$212,_xlfn.XLOOKUP(AJ$219,$D$5:$AO$5,$D$114:$AO$212))</f>
        <v>#REF!</v>
      </c>
      <c r="AK254" s="304" t="e">
        <f t="array" ref="AK254">_xlfn.XLOOKUP($B254,$B$114:$B$212,_xlfn.XLOOKUP(AK$219,$D$5:$AO$5,$D$114:$AO$212))</f>
        <v>#REF!</v>
      </c>
      <c r="AL254" s="304" t="e">
        <f t="array" ref="AL254">_xlfn.XLOOKUP($B254,$B$114:$B$212,_xlfn.XLOOKUP(AL$219,$D$5:$AO$5,$D$114:$AO$212))</f>
        <v>#REF!</v>
      </c>
      <c r="AM254" s="304" t="e">
        <f t="array" ref="AM254">_xlfn.XLOOKUP($B254,$B$114:$B$212,_xlfn.XLOOKUP(AM$219,$D$5:$AO$5,$D$114:$AO$212))</f>
        <v>#REF!</v>
      </c>
      <c r="AN254" s="304" t="e">
        <f t="array" ref="AN254">_xlfn.XLOOKUP($B254,$B$114:$B$212,_xlfn.XLOOKUP(AN$219,$D$5:$AO$5,$D$114:$AO$212))</f>
        <v>#REF!</v>
      </c>
      <c r="AO254" s="304" t="e">
        <f t="array" ref="AO254">_xlfn.XLOOKUP($B254,$B$114:$B$212,_xlfn.XLOOKUP(AO$219,$D$5:$AO$5,$D$114:$AO$212))</f>
        <v>#REF!</v>
      </c>
    </row>
    <row r="255" spans="1:41">
      <c r="B255" s="301" t="s">
        <v>1437</v>
      </c>
      <c r="C255" s="306" t="s">
        <v>1513</v>
      </c>
      <c r="D255" s="307" t="str">
        <f t="array" ref="D255">_xlfn.XLOOKUP($B255,$B$11:$B$109,_xlfn.XLOOKUP(D$219,$D$5:$AO$5,$D$11:$AO$109))</f>
        <v>NZ$m</v>
      </c>
      <c r="E255" s="307"/>
      <c r="F255" s="307"/>
      <c r="G255" s="308" t="e">
        <f t="array" ref="G255">_xlfn.XLOOKUP($B255,$B$11:$B$109,_xlfn.XLOOKUP(G$219,$D$5:$AO$5,$D$11:$AO$109))</f>
        <v>#REF!</v>
      </c>
      <c r="H255" s="308" t="e">
        <f t="array" ref="H255">_xlfn.XLOOKUP($B255,$B$11:$B$109,_xlfn.XLOOKUP(H$219,$D$5:$AO$5,$D$11:$AO$109))</f>
        <v>#REF!</v>
      </c>
      <c r="I255" s="308" t="e">
        <f t="array" ref="I255">_xlfn.XLOOKUP($B255,$B$11:$B$109,_xlfn.XLOOKUP(I$219,$D$5:$AO$5,$D$11:$AO$109))</f>
        <v>#REF!</v>
      </c>
      <c r="J255" s="308" t="e">
        <f t="array" ref="J255">_xlfn.XLOOKUP($B255,$B$11:$B$109,_xlfn.XLOOKUP(J$219,$D$5:$AO$5,$D$11:$AO$109))</f>
        <v>#REF!</v>
      </c>
      <c r="K255" s="308" t="e">
        <f t="array" ref="K255">_xlfn.XLOOKUP($B255,$B$11:$B$109,_xlfn.XLOOKUP(K$219,$D$5:$AO$5,$D$11:$AO$109))</f>
        <v>#REF!</v>
      </c>
      <c r="L255" s="308" t="e">
        <f t="array" ref="L255">_xlfn.XLOOKUP($B255,$B$11:$B$109,_xlfn.XLOOKUP(L$219,$D$5:$AO$5,$D$11:$AO$109))</f>
        <v>#REF!</v>
      </c>
      <c r="M255" s="308" t="e">
        <f t="array" ref="M255">_xlfn.XLOOKUP($B255,$B$11:$B$109,_xlfn.XLOOKUP(M$219,$D$5:$AO$5,$D$11:$AO$109))</f>
        <v>#REF!</v>
      </c>
      <c r="N255" s="308" t="e">
        <f t="array" ref="N255">_xlfn.XLOOKUP($B255,$B$11:$B$109,_xlfn.XLOOKUP(N$219,$D$5:$AO$5,$D$11:$AO$109))</f>
        <v>#REF!</v>
      </c>
      <c r="O255" s="308" t="e">
        <f t="array" ref="O255">_xlfn.XLOOKUP($B255,$B$11:$B$109,_xlfn.XLOOKUP(O$219,$D$5:$AO$5,$D$11:$AO$109))</f>
        <v>#REF!</v>
      </c>
      <c r="P255" s="308" t="e">
        <f t="array" ref="P255">_xlfn.XLOOKUP($B255,$B$11:$B$109,_xlfn.XLOOKUP(P$219,$D$5:$AO$5,$D$11:$AO$109))</f>
        <v>#REF!</v>
      </c>
      <c r="Q255" s="308" t="e">
        <f t="array" ref="Q255">_xlfn.XLOOKUP($B255,$B$11:$B$109,_xlfn.XLOOKUP(Q$219,$D$5:$AO$5,$D$11:$AO$109))</f>
        <v>#REF!</v>
      </c>
      <c r="R255" s="308" t="e">
        <f t="array" ref="R255">_xlfn.XLOOKUP($B255,$B$11:$B$109,_xlfn.XLOOKUP(R$219,$D$5:$AO$5,$D$11:$AO$109))</f>
        <v>#REF!</v>
      </c>
      <c r="S255" s="308" t="e">
        <f t="array" ref="S255">_xlfn.XLOOKUP($B255,$B$11:$B$109,_xlfn.XLOOKUP(S$219,$D$5:$AO$5,$D$11:$AO$109))</f>
        <v>#REF!</v>
      </c>
      <c r="T255" s="308" t="e">
        <f t="array" ref="T255">_xlfn.XLOOKUP($B255,$B$11:$B$109,_xlfn.XLOOKUP(T$219,$D$5:$AO$5,$D$11:$AO$109))</f>
        <v>#REF!</v>
      </c>
      <c r="U255" s="308" t="e">
        <f t="array" ref="U255">_xlfn.XLOOKUP($B255,$B$11:$B$109,_xlfn.XLOOKUP(U$219,$D$5:$AO$5,$D$11:$AO$109))</f>
        <v>#REF!</v>
      </c>
      <c r="V255" s="308" t="e">
        <f t="array" ref="V255">_xlfn.XLOOKUP($B255,$B$11:$B$109,_xlfn.XLOOKUP(V$219,$D$5:$AO$5,$D$11:$AO$109))</f>
        <v>#REF!</v>
      </c>
      <c r="W255" s="308" t="e">
        <f t="array" ref="W255">_xlfn.XLOOKUP($B255,$B$11:$B$109,_xlfn.XLOOKUP(W$219,$D$5:$AO$5,$D$11:$AO$109))</f>
        <v>#REF!</v>
      </c>
      <c r="X255" s="308" t="e">
        <f t="array" ref="X255">_xlfn.XLOOKUP($B255,$B$11:$B$109,_xlfn.XLOOKUP(X$219,$D$5:$AO$5,$D$11:$AO$109))</f>
        <v>#REF!</v>
      </c>
      <c r="Y255" s="308" t="e">
        <f t="array" ref="Y255">_xlfn.XLOOKUP($B255,$B$11:$B$109,_xlfn.XLOOKUP(Y$219,$D$5:$AO$5,$D$11:$AO$109))</f>
        <v>#REF!</v>
      </c>
      <c r="Z255" s="308" t="e">
        <f t="array" ref="Z255">_xlfn.XLOOKUP($B255,$B$11:$B$109,_xlfn.XLOOKUP(Z$219,$D$5:$AO$5,$D$11:$AO$109))</f>
        <v>#REF!</v>
      </c>
      <c r="AA255" s="308"/>
      <c r="AB255" s="306" t="str">
        <f t="shared" si="54"/>
        <v>Tables Revenue - New</v>
      </c>
      <c r="AC255" s="307" t="str">
        <f t="shared" si="55"/>
        <v>NZ$m</v>
      </c>
      <c r="AD255" s="307"/>
      <c r="AE255" s="307"/>
      <c r="AF255" s="308" t="e">
        <f t="array" ref="AF255">_xlfn.XLOOKUP($B255,$B$11:$B$109,_xlfn.XLOOKUP(AF$219,$D$5:$AO$5,$D$11:$AO$109))</f>
        <v>#REF!</v>
      </c>
      <c r="AG255" s="308" t="e">
        <f t="array" ref="AG255">_xlfn.XLOOKUP($B255,$B$11:$B$109,_xlfn.XLOOKUP(AG$219,$D$5:$AO$5,$D$11:$AO$109))</f>
        <v>#REF!</v>
      </c>
      <c r="AH255" s="308" t="e">
        <f t="array" ref="AH255">_xlfn.XLOOKUP($B255,$B$11:$B$109,_xlfn.XLOOKUP(AH$219,$D$5:$AO$5,$D$11:$AO$109))</f>
        <v>#REF!</v>
      </c>
      <c r="AI255" s="308" t="e">
        <f t="array" ref="AI255">_xlfn.XLOOKUP($B255,$B$11:$B$109,_xlfn.XLOOKUP(AI$219,$D$5:$AO$5,$D$11:$AO$109))</f>
        <v>#REF!</v>
      </c>
      <c r="AJ255" s="308" t="e">
        <f t="array" ref="AJ255">_xlfn.XLOOKUP($B255,$B$11:$B$109,_xlfn.XLOOKUP(AJ$219,$D$5:$AO$5,$D$11:$AO$109))</f>
        <v>#REF!</v>
      </c>
      <c r="AK255" s="308" t="e">
        <f t="array" ref="AK255">_xlfn.XLOOKUP($B255,$B$11:$B$109,_xlfn.XLOOKUP(AK$219,$D$5:$AO$5,$D$11:$AO$109))</f>
        <v>#REF!</v>
      </c>
      <c r="AL255" s="308" t="e">
        <f t="array" ref="AL255">_xlfn.XLOOKUP($B255,$B$11:$B$109,_xlfn.XLOOKUP(AL$219,$D$5:$AO$5,$D$11:$AO$109))</f>
        <v>#REF!</v>
      </c>
      <c r="AM255" s="308" t="e">
        <f t="array" ref="AM255">_xlfn.XLOOKUP($B255,$B$11:$B$109,_xlfn.XLOOKUP(AM$219,$D$5:$AO$5,$D$11:$AO$109))</f>
        <v>#REF!</v>
      </c>
      <c r="AN255" s="308" t="e">
        <f t="array" ref="AN255">_xlfn.XLOOKUP($B255,$B$11:$B$109,_xlfn.XLOOKUP(AN$219,$D$5:$AO$5,$D$11:$AO$109))</f>
        <v>#REF!</v>
      </c>
      <c r="AO255" s="308" t="e">
        <f t="array" ref="AO255">_xlfn.XLOOKUP($B255,$B$11:$B$109,_xlfn.XLOOKUP(AO$219,$D$5:$AO$5,$D$11:$AO$109))</f>
        <v>#REF!</v>
      </c>
    </row>
    <row r="256" spans="1:41" hidden="1" outlineLevel="1">
      <c r="C256" s="309" t="s">
        <v>1510</v>
      </c>
      <c r="D256" s="303" t="s">
        <v>88</v>
      </c>
      <c r="E256" s="303"/>
      <c r="F256" s="303"/>
      <c r="G256" s="310" t="s">
        <v>967</v>
      </c>
      <c r="H256" s="310" t="s">
        <v>967</v>
      </c>
      <c r="I256" s="310" t="e">
        <f t="shared" ref="I256:Z256" si="60">I255/G255-1</f>
        <v>#REF!</v>
      </c>
      <c r="J256" s="310" t="e">
        <f t="shared" si="60"/>
        <v>#REF!</v>
      </c>
      <c r="K256" s="310" t="e">
        <f t="shared" si="60"/>
        <v>#REF!</v>
      </c>
      <c r="L256" s="310" t="e">
        <f t="shared" si="60"/>
        <v>#REF!</v>
      </c>
      <c r="M256" s="310" t="e">
        <f t="shared" si="60"/>
        <v>#REF!</v>
      </c>
      <c r="N256" s="310" t="e">
        <f t="shared" si="60"/>
        <v>#REF!</v>
      </c>
      <c r="O256" s="310" t="e">
        <f t="shared" si="60"/>
        <v>#REF!</v>
      </c>
      <c r="P256" s="310" t="e">
        <f t="shared" si="60"/>
        <v>#REF!</v>
      </c>
      <c r="Q256" s="310" t="e">
        <f t="shared" si="60"/>
        <v>#REF!</v>
      </c>
      <c r="R256" s="310" t="e">
        <f t="shared" si="60"/>
        <v>#REF!</v>
      </c>
      <c r="S256" s="310" t="e">
        <f t="shared" si="60"/>
        <v>#REF!</v>
      </c>
      <c r="T256" s="310" t="e">
        <f t="shared" si="60"/>
        <v>#REF!</v>
      </c>
      <c r="U256" s="310" t="e">
        <f t="shared" si="60"/>
        <v>#REF!</v>
      </c>
      <c r="V256" s="310" t="e">
        <f t="shared" si="60"/>
        <v>#REF!</v>
      </c>
      <c r="W256" s="310" t="e">
        <f t="shared" si="60"/>
        <v>#REF!</v>
      </c>
      <c r="X256" s="310" t="e">
        <f t="shared" si="60"/>
        <v>#REF!</v>
      </c>
      <c r="Y256" s="310" t="e">
        <f t="shared" si="60"/>
        <v>#REF!</v>
      </c>
      <c r="Z256" s="310" t="e">
        <f t="shared" si="60"/>
        <v>#REF!</v>
      </c>
      <c r="AA256" s="311"/>
      <c r="AB256" s="309" t="str">
        <f t="shared" si="54"/>
        <v>- Growth</v>
      </c>
      <c r="AC256" s="303" t="str">
        <f t="shared" si="55"/>
        <v>%</v>
      </c>
      <c r="AD256" s="303"/>
      <c r="AE256" s="303"/>
      <c r="AF256" s="310" t="s">
        <v>967</v>
      </c>
      <c r="AG256" s="310" t="e">
        <f t="shared" ref="AG256:AO256" si="61">AG255/AF255-1</f>
        <v>#REF!</v>
      </c>
      <c r="AH256" s="310" t="e">
        <f t="shared" si="61"/>
        <v>#REF!</v>
      </c>
      <c r="AI256" s="310" t="e">
        <f t="shared" si="61"/>
        <v>#REF!</v>
      </c>
      <c r="AJ256" s="310" t="e">
        <f t="shared" si="61"/>
        <v>#REF!</v>
      </c>
      <c r="AK256" s="310" t="e">
        <f t="shared" si="61"/>
        <v>#REF!</v>
      </c>
      <c r="AL256" s="310" t="e">
        <f t="shared" si="61"/>
        <v>#REF!</v>
      </c>
      <c r="AM256" s="310" t="e">
        <f t="shared" si="61"/>
        <v>#REF!</v>
      </c>
      <c r="AN256" s="310" t="e">
        <f t="shared" si="61"/>
        <v>#REF!</v>
      </c>
      <c r="AO256" s="310" t="e">
        <f t="shared" si="61"/>
        <v>#REF!</v>
      </c>
    </row>
    <row r="257" spans="2:41" collapsed="1">
      <c r="C257" s="309" t="s">
        <v>1511</v>
      </c>
      <c r="D257" s="303" t="s">
        <v>88</v>
      </c>
      <c r="E257" s="303"/>
      <c r="F257" s="303"/>
      <c r="G257" s="310">
        <f t="shared" ref="G257:Z257" si="62">IFERROR(ROUND( G255 / G254,2) - 1, 0)</f>
        <v>0</v>
      </c>
      <c r="H257" s="310">
        <f t="shared" si="62"/>
        <v>0</v>
      </c>
      <c r="I257" s="310">
        <f t="shared" si="62"/>
        <v>0</v>
      </c>
      <c r="J257" s="310">
        <f t="shared" si="62"/>
        <v>0</v>
      </c>
      <c r="K257" s="310">
        <f t="shared" si="62"/>
        <v>0</v>
      </c>
      <c r="L257" s="310">
        <f t="shared" si="62"/>
        <v>0</v>
      </c>
      <c r="M257" s="310">
        <f t="shared" si="62"/>
        <v>0</v>
      </c>
      <c r="N257" s="310">
        <f t="shared" si="62"/>
        <v>0</v>
      </c>
      <c r="O257" s="310">
        <f t="shared" si="62"/>
        <v>0</v>
      </c>
      <c r="P257" s="310">
        <f t="shared" si="62"/>
        <v>0</v>
      </c>
      <c r="Q257" s="310">
        <f t="shared" si="62"/>
        <v>0</v>
      </c>
      <c r="R257" s="310">
        <f t="shared" si="62"/>
        <v>0</v>
      </c>
      <c r="S257" s="310">
        <f t="shared" si="62"/>
        <v>0</v>
      </c>
      <c r="T257" s="310">
        <f t="shared" si="62"/>
        <v>0</v>
      </c>
      <c r="U257" s="310">
        <f t="shared" si="62"/>
        <v>0</v>
      </c>
      <c r="V257" s="310">
        <f t="shared" si="62"/>
        <v>0</v>
      </c>
      <c r="W257" s="310">
        <f t="shared" si="62"/>
        <v>0</v>
      </c>
      <c r="X257" s="310">
        <f t="shared" si="62"/>
        <v>0</v>
      </c>
      <c r="Y257" s="310">
        <f t="shared" si="62"/>
        <v>0</v>
      </c>
      <c r="Z257" s="310">
        <f t="shared" si="62"/>
        <v>0</v>
      </c>
      <c r="AA257" s="310"/>
      <c r="AB257" s="309" t="str">
        <f t="shared" si="54"/>
        <v>- Revision</v>
      </c>
      <c r="AC257" s="303" t="str">
        <f t="shared" si="55"/>
        <v>%</v>
      </c>
      <c r="AD257" s="303"/>
      <c r="AE257" s="303"/>
      <c r="AF257" s="310">
        <f t="shared" ref="AF257:AO257" si="63">IFERROR(ROUND( AF255 / AF254,2) - 1, 0)</f>
        <v>0</v>
      </c>
      <c r="AG257" s="310">
        <f t="shared" si="63"/>
        <v>0</v>
      </c>
      <c r="AH257" s="310">
        <f t="shared" si="63"/>
        <v>0</v>
      </c>
      <c r="AI257" s="310">
        <f t="shared" si="63"/>
        <v>0</v>
      </c>
      <c r="AJ257" s="310">
        <f t="shared" si="63"/>
        <v>0</v>
      </c>
      <c r="AK257" s="310">
        <f t="shared" si="63"/>
        <v>0</v>
      </c>
      <c r="AL257" s="310">
        <f t="shared" si="63"/>
        <v>0</v>
      </c>
      <c r="AM257" s="310">
        <f t="shared" si="63"/>
        <v>0</v>
      </c>
      <c r="AN257" s="310">
        <f t="shared" si="63"/>
        <v>0</v>
      </c>
      <c r="AO257" s="310">
        <f t="shared" si="63"/>
        <v>0</v>
      </c>
    </row>
    <row r="258" spans="2:41">
      <c r="B258" s="301" t="s">
        <v>1438</v>
      </c>
      <c r="C258" s="302" t="s">
        <v>1514</v>
      </c>
      <c r="D258" s="303" t="str">
        <f t="array" ref="D258">_xlfn.XLOOKUP($B258,$B$114:$B$212,_xlfn.XLOOKUP(D$219,$D$5:$AO$5,$D$114:$AO$212))</f>
        <v>NZ$m</v>
      </c>
      <c r="E258" s="303"/>
      <c r="F258" s="303"/>
      <c r="G258" s="304" t="e">
        <f t="array" ref="G258">_xlfn.XLOOKUP($B258,$B$114:$B$212,_xlfn.XLOOKUP(G$219,$D$5:$AO$5,$D$114:$AO$212))</f>
        <v>#REF!</v>
      </c>
      <c r="H258" s="304" t="e">
        <f t="array" ref="H258">_xlfn.XLOOKUP($B258,$B$114:$B$212,_xlfn.XLOOKUP(H$219,$D$5:$AO$5,$D$114:$AO$212))</f>
        <v>#REF!</v>
      </c>
      <c r="I258" s="304" t="e">
        <f t="array" ref="I258">_xlfn.XLOOKUP($B258,$B$114:$B$212,_xlfn.XLOOKUP(I$219,$D$5:$AO$5,$D$114:$AO$212))</f>
        <v>#REF!</v>
      </c>
      <c r="J258" s="304" t="e">
        <f t="array" ref="J258">_xlfn.XLOOKUP($B258,$B$114:$B$212,_xlfn.XLOOKUP(J$219,$D$5:$AO$5,$D$114:$AO$212))</f>
        <v>#REF!</v>
      </c>
      <c r="K258" s="304" t="e">
        <f t="array" ref="K258">_xlfn.XLOOKUP($B258,$B$114:$B$212,_xlfn.XLOOKUP(K$219,$D$5:$AO$5,$D$114:$AO$212))</f>
        <v>#REF!</v>
      </c>
      <c r="L258" s="304" t="e">
        <f t="array" ref="L258">_xlfn.XLOOKUP($B258,$B$114:$B$212,_xlfn.XLOOKUP(L$219,$D$5:$AO$5,$D$114:$AO$212))</f>
        <v>#REF!</v>
      </c>
      <c r="M258" s="304" t="e">
        <f t="array" ref="M258">_xlfn.XLOOKUP($B258,$B$114:$B$212,_xlfn.XLOOKUP(M$219,$D$5:$AO$5,$D$114:$AO$212))</f>
        <v>#REF!</v>
      </c>
      <c r="N258" s="304" t="e">
        <f t="array" ref="N258">_xlfn.XLOOKUP($B258,$B$114:$B$212,_xlfn.XLOOKUP(N$219,$D$5:$AO$5,$D$114:$AO$212))</f>
        <v>#REF!</v>
      </c>
      <c r="O258" s="304" t="e">
        <f t="array" ref="O258">_xlfn.XLOOKUP($B258,$B$114:$B$212,_xlfn.XLOOKUP(O$219,$D$5:$AO$5,$D$114:$AO$212))</f>
        <v>#REF!</v>
      </c>
      <c r="P258" s="304" t="e">
        <f t="array" ref="P258">_xlfn.XLOOKUP($B258,$B$114:$B$212,_xlfn.XLOOKUP(P$219,$D$5:$AO$5,$D$114:$AO$212))</f>
        <v>#REF!</v>
      </c>
      <c r="Q258" s="304" t="e">
        <f t="array" ref="Q258">_xlfn.XLOOKUP($B258,$B$114:$B$212,_xlfn.XLOOKUP(Q$219,$D$5:$AO$5,$D$114:$AO$212))</f>
        <v>#REF!</v>
      </c>
      <c r="R258" s="304" t="e">
        <f t="array" ref="R258">_xlfn.XLOOKUP($B258,$B$114:$B$212,_xlfn.XLOOKUP(R$219,$D$5:$AO$5,$D$114:$AO$212))</f>
        <v>#REF!</v>
      </c>
      <c r="S258" s="304" t="e">
        <f t="array" ref="S258">_xlfn.XLOOKUP($B258,$B$114:$B$212,_xlfn.XLOOKUP(S$219,$D$5:$AO$5,$D$114:$AO$212))</f>
        <v>#REF!</v>
      </c>
      <c r="T258" s="304" t="e">
        <f t="array" ref="T258">_xlfn.XLOOKUP($B258,$B$114:$B$212,_xlfn.XLOOKUP(T$219,$D$5:$AO$5,$D$114:$AO$212))</f>
        <v>#REF!</v>
      </c>
      <c r="U258" s="304" t="e">
        <f t="array" ref="U258">_xlfn.XLOOKUP($B258,$B$114:$B$212,_xlfn.XLOOKUP(U$219,$D$5:$AO$5,$D$114:$AO$212))</f>
        <v>#REF!</v>
      </c>
      <c r="V258" s="304" t="e">
        <f t="array" ref="V258">_xlfn.XLOOKUP($B258,$B$114:$B$212,_xlfn.XLOOKUP(V$219,$D$5:$AO$5,$D$114:$AO$212))</f>
        <v>#REF!</v>
      </c>
      <c r="W258" s="304" t="e">
        <f t="array" ref="W258">_xlfn.XLOOKUP($B258,$B$114:$B$212,_xlfn.XLOOKUP(W$219,$D$5:$AO$5,$D$114:$AO$212))</f>
        <v>#REF!</v>
      </c>
      <c r="X258" s="304" t="e">
        <f t="array" ref="X258">_xlfn.XLOOKUP($B258,$B$114:$B$212,_xlfn.XLOOKUP(X$219,$D$5:$AO$5,$D$114:$AO$212))</f>
        <v>#REF!</v>
      </c>
      <c r="Y258" s="304" t="e">
        <f t="array" ref="Y258">_xlfn.XLOOKUP($B258,$B$114:$B$212,_xlfn.XLOOKUP(Y$219,$D$5:$AO$5,$D$114:$AO$212))</f>
        <v>#REF!</v>
      </c>
      <c r="Z258" s="304" t="e">
        <f t="array" ref="Z258">_xlfn.XLOOKUP($B258,$B$114:$B$212,_xlfn.XLOOKUP(Z$219,$D$5:$AO$5,$D$114:$AO$212))</f>
        <v>#REF!</v>
      </c>
      <c r="AA258" s="305"/>
      <c r="AB258" s="302" t="str">
        <f t="shared" si="54"/>
        <v>Non Gaming Revenue - old</v>
      </c>
      <c r="AC258" s="303" t="str">
        <f t="shared" si="55"/>
        <v>NZ$m</v>
      </c>
      <c r="AD258" s="303"/>
      <c r="AE258" s="303"/>
      <c r="AF258" s="304" t="e">
        <f t="array" ref="AF258">_xlfn.XLOOKUP($B258,$B$114:$B$212,_xlfn.XLOOKUP(AF$219,$D$5:$AO$5,$D$114:$AO$212))</f>
        <v>#REF!</v>
      </c>
      <c r="AG258" s="304" t="e">
        <f t="array" ref="AG258">_xlfn.XLOOKUP($B258,$B$114:$B$212,_xlfn.XLOOKUP(AG$219,$D$5:$AO$5,$D$114:$AO$212))</f>
        <v>#REF!</v>
      </c>
      <c r="AH258" s="304" t="e">
        <f t="array" ref="AH258">_xlfn.XLOOKUP($B258,$B$114:$B$212,_xlfn.XLOOKUP(AH$219,$D$5:$AO$5,$D$114:$AO$212))</f>
        <v>#REF!</v>
      </c>
      <c r="AI258" s="304" t="e">
        <f t="array" ref="AI258">_xlfn.XLOOKUP($B258,$B$114:$B$212,_xlfn.XLOOKUP(AI$219,$D$5:$AO$5,$D$114:$AO$212))</f>
        <v>#REF!</v>
      </c>
      <c r="AJ258" s="304" t="e">
        <f t="array" ref="AJ258">_xlfn.XLOOKUP($B258,$B$114:$B$212,_xlfn.XLOOKUP(AJ$219,$D$5:$AO$5,$D$114:$AO$212))</f>
        <v>#REF!</v>
      </c>
      <c r="AK258" s="304" t="e">
        <f t="array" ref="AK258">_xlfn.XLOOKUP($B258,$B$114:$B$212,_xlfn.XLOOKUP(AK$219,$D$5:$AO$5,$D$114:$AO$212))</f>
        <v>#REF!</v>
      </c>
      <c r="AL258" s="304" t="e">
        <f t="array" ref="AL258">_xlfn.XLOOKUP($B258,$B$114:$B$212,_xlfn.XLOOKUP(AL$219,$D$5:$AO$5,$D$114:$AO$212))</f>
        <v>#REF!</v>
      </c>
      <c r="AM258" s="304" t="e">
        <f t="array" ref="AM258">_xlfn.XLOOKUP($B258,$B$114:$B$212,_xlfn.XLOOKUP(AM$219,$D$5:$AO$5,$D$114:$AO$212))</f>
        <v>#REF!</v>
      </c>
      <c r="AN258" s="304" t="e">
        <f t="array" ref="AN258">_xlfn.XLOOKUP($B258,$B$114:$B$212,_xlfn.XLOOKUP(AN$219,$D$5:$AO$5,$D$114:$AO$212))</f>
        <v>#REF!</v>
      </c>
      <c r="AO258" s="304" t="e">
        <f t="array" ref="AO258">_xlfn.XLOOKUP($B258,$B$114:$B$212,_xlfn.XLOOKUP(AO$219,$D$5:$AO$5,$D$114:$AO$212))</f>
        <v>#REF!</v>
      </c>
    </row>
    <row r="259" spans="2:41">
      <c r="B259" s="301" t="s">
        <v>1438</v>
      </c>
      <c r="C259" s="318" t="s">
        <v>1515</v>
      </c>
      <c r="D259" s="307" t="str">
        <f t="array" ref="D259">_xlfn.XLOOKUP($B259,$B$11:$B$109,_xlfn.XLOOKUP(D$219,$D$5:$AO$5,$D$11:$AO$109))</f>
        <v>NZ$m</v>
      </c>
      <c r="E259" s="307"/>
      <c r="F259" s="307"/>
      <c r="G259" s="308" t="e">
        <f t="array" ref="G259">_xlfn.XLOOKUP($B259,$B$11:$B$109,_xlfn.XLOOKUP(G$219,$D$5:$AO$5,$D$11:$AO$109))</f>
        <v>#REF!</v>
      </c>
      <c r="H259" s="308" t="e">
        <f t="array" ref="H259">_xlfn.XLOOKUP($B259,$B$11:$B$109,_xlfn.XLOOKUP(H$219,$D$5:$AO$5,$D$11:$AO$109))</f>
        <v>#REF!</v>
      </c>
      <c r="I259" s="308" t="e">
        <f t="array" ref="I259">_xlfn.XLOOKUP($B259,$B$11:$B$109,_xlfn.XLOOKUP(I$219,$D$5:$AO$5,$D$11:$AO$109))</f>
        <v>#REF!</v>
      </c>
      <c r="J259" s="308" t="e">
        <f t="array" ref="J259">_xlfn.XLOOKUP($B259,$B$11:$B$109,_xlfn.XLOOKUP(J$219,$D$5:$AO$5,$D$11:$AO$109))</f>
        <v>#REF!</v>
      </c>
      <c r="K259" s="308" t="e">
        <f t="array" ref="K259">_xlfn.XLOOKUP($B259,$B$11:$B$109,_xlfn.XLOOKUP(K$219,$D$5:$AO$5,$D$11:$AO$109))</f>
        <v>#REF!</v>
      </c>
      <c r="L259" s="308" t="e">
        <f t="array" ref="L259">_xlfn.XLOOKUP($B259,$B$11:$B$109,_xlfn.XLOOKUP(L$219,$D$5:$AO$5,$D$11:$AO$109))</f>
        <v>#REF!</v>
      </c>
      <c r="M259" s="308" t="e">
        <f t="array" ref="M259">_xlfn.XLOOKUP($B259,$B$11:$B$109,_xlfn.XLOOKUP(M$219,$D$5:$AO$5,$D$11:$AO$109))</f>
        <v>#REF!</v>
      </c>
      <c r="N259" s="308" t="e">
        <f t="array" ref="N259">_xlfn.XLOOKUP($B259,$B$11:$B$109,_xlfn.XLOOKUP(N$219,$D$5:$AO$5,$D$11:$AO$109))</f>
        <v>#REF!</v>
      </c>
      <c r="O259" s="308" t="e">
        <f t="array" ref="O259">_xlfn.XLOOKUP($B259,$B$11:$B$109,_xlfn.XLOOKUP(O$219,$D$5:$AO$5,$D$11:$AO$109))</f>
        <v>#REF!</v>
      </c>
      <c r="P259" s="308" t="e">
        <f t="array" ref="P259">_xlfn.XLOOKUP($B259,$B$11:$B$109,_xlfn.XLOOKUP(P$219,$D$5:$AO$5,$D$11:$AO$109))</f>
        <v>#REF!</v>
      </c>
      <c r="Q259" s="308" t="e">
        <f t="array" ref="Q259">_xlfn.XLOOKUP($B259,$B$11:$B$109,_xlfn.XLOOKUP(Q$219,$D$5:$AO$5,$D$11:$AO$109))</f>
        <v>#REF!</v>
      </c>
      <c r="R259" s="308" t="e">
        <f t="array" ref="R259">_xlfn.XLOOKUP($B259,$B$11:$B$109,_xlfn.XLOOKUP(R$219,$D$5:$AO$5,$D$11:$AO$109))</f>
        <v>#REF!</v>
      </c>
      <c r="S259" s="308" t="e">
        <f t="array" ref="S259">_xlfn.XLOOKUP($B259,$B$11:$B$109,_xlfn.XLOOKUP(S$219,$D$5:$AO$5,$D$11:$AO$109))</f>
        <v>#REF!</v>
      </c>
      <c r="T259" s="308" t="e">
        <f t="array" ref="T259">_xlfn.XLOOKUP($B259,$B$11:$B$109,_xlfn.XLOOKUP(T$219,$D$5:$AO$5,$D$11:$AO$109))</f>
        <v>#REF!</v>
      </c>
      <c r="U259" s="308" t="e">
        <f t="array" ref="U259">_xlfn.XLOOKUP($B259,$B$11:$B$109,_xlfn.XLOOKUP(U$219,$D$5:$AO$5,$D$11:$AO$109))</f>
        <v>#REF!</v>
      </c>
      <c r="V259" s="308" t="e">
        <f t="array" ref="V259">_xlfn.XLOOKUP($B259,$B$11:$B$109,_xlfn.XLOOKUP(V$219,$D$5:$AO$5,$D$11:$AO$109))</f>
        <v>#REF!</v>
      </c>
      <c r="W259" s="308" t="e">
        <f t="array" ref="W259">_xlfn.XLOOKUP($B259,$B$11:$B$109,_xlfn.XLOOKUP(W$219,$D$5:$AO$5,$D$11:$AO$109))</f>
        <v>#REF!</v>
      </c>
      <c r="X259" s="308" t="e">
        <f t="array" ref="X259">_xlfn.XLOOKUP($B259,$B$11:$B$109,_xlfn.XLOOKUP(X$219,$D$5:$AO$5,$D$11:$AO$109))</f>
        <v>#REF!</v>
      </c>
      <c r="Y259" s="308" t="e">
        <f t="array" ref="Y259">_xlfn.XLOOKUP($B259,$B$11:$B$109,_xlfn.XLOOKUP(Y$219,$D$5:$AO$5,$D$11:$AO$109))</f>
        <v>#REF!</v>
      </c>
      <c r="Z259" s="308" t="e">
        <f t="array" ref="Z259">_xlfn.XLOOKUP($B259,$B$11:$B$109,_xlfn.XLOOKUP(Z$219,$D$5:$AO$5,$D$11:$AO$109))</f>
        <v>#REF!</v>
      </c>
      <c r="AA259" s="308"/>
      <c r="AB259" s="306" t="str">
        <f t="shared" si="54"/>
        <v>Non Gaming Revenue - New</v>
      </c>
      <c r="AC259" s="307" t="str">
        <f t="shared" si="55"/>
        <v>NZ$m</v>
      </c>
      <c r="AD259" s="307"/>
      <c r="AE259" s="307"/>
      <c r="AF259" s="308" t="e">
        <f t="array" ref="AF259">_xlfn.XLOOKUP($B259,$B$11:$B$109,_xlfn.XLOOKUP(AF$219,$D$5:$AO$5,$D$11:$AO$109))</f>
        <v>#REF!</v>
      </c>
      <c r="AG259" s="308" t="e">
        <f t="array" ref="AG259">_xlfn.XLOOKUP($B259,$B$11:$B$109,_xlfn.XLOOKUP(AG$219,$D$5:$AO$5,$D$11:$AO$109))</f>
        <v>#REF!</v>
      </c>
      <c r="AH259" s="308" t="e">
        <f t="array" ref="AH259">_xlfn.XLOOKUP($B259,$B$11:$B$109,_xlfn.XLOOKUP(AH$219,$D$5:$AO$5,$D$11:$AO$109))</f>
        <v>#REF!</v>
      </c>
      <c r="AI259" s="308" t="e">
        <f t="array" ref="AI259">_xlfn.XLOOKUP($B259,$B$11:$B$109,_xlfn.XLOOKUP(AI$219,$D$5:$AO$5,$D$11:$AO$109))</f>
        <v>#REF!</v>
      </c>
      <c r="AJ259" s="308" t="e">
        <f t="array" ref="AJ259">_xlfn.XLOOKUP($B259,$B$11:$B$109,_xlfn.XLOOKUP(AJ$219,$D$5:$AO$5,$D$11:$AO$109))</f>
        <v>#REF!</v>
      </c>
      <c r="AK259" s="308" t="e">
        <f t="array" ref="AK259">_xlfn.XLOOKUP($B259,$B$11:$B$109,_xlfn.XLOOKUP(AK$219,$D$5:$AO$5,$D$11:$AO$109))</f>
        <v>#REF!</v>
      </c>
      <c r="AL259" s="308" t="e">
        <f t="array" ref="AL259">_xlfn.XLOOKUP($B259,$B$11:$B$109,_xlfn.XLOOKUP(AL$219,$D$5:$AO$5,$D$11:$AO$109))</f>
        <v>#REF!</v>
      </c>
      <c r="AM259" s="308" t="e">
        <f t="array" ref="AM259">_xlfn.XLOOKUP($B259,$B$11:$B$109,_xlfn.XLOOKUP(AM$219,$D$5:$AO$5,$D$11:$AO$109))</f>
        <v>#REF!</v>
      </c>
      <c r="AN259" s="308" t="e">
        <f t="array" ref="AN259">_xlfn.XLOOKUP($B259,$B$11:$B$109,_xlfn.XLOOKUP(AN$219,$D$5:$AO$5,$D$11:$AO$109))</f>
        <v>#REF!</v>
      </c>
      <c r="AO259" s="308" t="e">
        <f t="array" ref="AO259">_xlfn.XLOOKUP($B259,$B$11:$B$109,_xlfn.XLOOKUP(AO$219,$D$5:$AO$5,$D$11:$AO$109))</f>
        <v>#REF!</v>
      </c>
    </row>
    <row r="260" spans="2:41" hidden="1" outlineLevel="1">
      <c r="B260" s="301"/>
      <c r="C260" s="309" t="s">
        <v>1510</v>
      </c>
      <c r="D260" s="303" t="s">
        <v>88</v>
      </c>
      <c r="E260" s="303"/>
      <c r="F260" s="303"/>
      <c r="G260" s="310" t="s">
        <v>967</v>
      </c>
      <c r="H260" s="310" t="s">
        <v>967</v>
      </c>
      <c r="I260" s="310" t="e">
        <f t="shared" ref="I260:Z260" si="64">I259/G259-1</f>
        <v>#REF!</v>
      </c>
      <c r="J260" s="310" t="e">
        <f t="shared" si="64"/>
        <v>#REF!</v>
      </c>
      <c r="K260" s="310" t="e">
        <f t="shared" si="64"/>
        <v>#REF!</v>
      </c>
      <c r="L260" s="310" t="e">
        <f t="shared" si="64"/>
        <v>#REF!</v>
      </c>
      <c r="M260" s="310" t="e">
        <f t="shared" si="64"/>
        <v>#REF!</v>
      </c>
      <c r="N260" s="310" t="e">
        <f t="shared" si="64"/>
        <v>#REF!</v>
      </c>
      <c r="O260" s="310" t="e">
        <f t="shared" si="64"/>
        <v>#REF!</v>
      </c>
      <c r="P260" s="310" t="e">
        <f t="shared" si="64"/>
        <v>#REF!</v>
      </c>
      <c r="Q260" s="310" t="e">
        <f t="shared" si="64"/>
        <v>#REF!</v>
      </c>
      <c r="R260" s="310" t="e">
        <f t="shared" si="64"/>
        <v>#REF!</v>
      </c>
      <c r="S260" s="310" t="e">
        <f t="shared" si="64"/>
        <v>#REF!</v>
      </c>
      <c r="T260" s="310" t="e">
        <f t="shared" si="64"/>
        <v>#REF!</v>
      </c>
      <c r="U260" s="310" t="e">
        <f t="shared" si="64"/>
        <v>#REF!</v>
      </c>
      <c r="V260" s="310" t="e">
        <f t="shared" si="64"/>
        <v>#REF!</v>
      </c>
      <c r="W260" s="310" t="e">
        <f t="shared" si="64"/>
        <v>#REF!</v>
      </c>
      <c r="X260" s="310" t="e">
        <f t="shared" si="64"/>
        <v>#REF!</v>
      </c>
      <c r="Y260" s="310" t="e">
        <f t="shared" si="64"/>
        <v>#REF!</v>
      </c>
      <c r="Z260" s="310" t="e">
        <f t="shared" si="64"/>
        <v>#REF!</v>
      </c>
      <c r="AA260" s="311"/>
      <c r="AB260" s="309" t="str">
        <f t="shared" si="54"/>
        <v>- Growth</v>
      </c>
      <c r="AC260" s="303" t="str">
        <f t="shared" si="55"/>
        <v>%</v>
      </c>
      <c r="AD260" s="303"/>
      <c r="AE260" s="303"/>
      <c r="AF260" s="310" t="s">
        <v>967</v>
      </c>
      <c r="AG260" s="310" t="e">
        <f t="shared" ref="AG260:AO260" si="65">AG259/AF259-1</f>
        <v>#REF!</v>
      </c>
      <c r="AH260" s="310" t="e">
        <f t="shared" si="65"/>
        <v>#REF!</v>
      </c>
      <c r="AI260" s="310" t="e">
        <f t="shared" si="65"/>
        <v>#REF!</v>
      </c>
      <c r="AJ260" s="310" t="e">
        <f t="shared" si="65"/>
        <v>#REF!</v>
      </c>
      <c r="AK260" s="310" t="e">
        <f t="shared" si="65"/>
        <v>#REF!</v>
      </c>
      <c r="AL260" s="310" t="e">
        <f t="shared" si="65"/>
        <v>#REF!</v>
      </c>
      <c r="AM260" s="310" t="e">
        <f t="shared" si="65"/>
        <v>#REF!</v>
      </c>
      <c r="AN260" s="310" t="e">
        <f t="shared" si="65"/>
        <v>#REF!</v>
      </c>
      <c r="AO260" s="310" t="e">
        <f t="shared" si="65"/>
        <v>#REF!</v>
      </c>
    </row>
    <row r="261" spans="2:41" collapsed="1">
      <c r="B261" s="301"/>
      <c r="C261" s="309" t="s">
        <v>1511</v>
      </c>
      <c r="D261" s="303" t="s">
        <v>88</v>
      </c>
      <c r="E261" s="303"/>
      <c r="F261" s="303"/>
      <c r="G261" s="310">
        <f t="shared" ref="G261:Z261" si="66">IFERROR(ROUND( G259 / G258,2) - 1, 0)</f>
        <v>0</v>
      </c>
      <c r="H261" s="310">
        <f t="shared" si="66"/>
        <v>0</v>
      </c>
      <c r="I261" s="310">
        <f t="shared" si="66"/>
        <v>0</v>
      </c>
      <c r="J261" s="310">
        <f t="shared" si="66"/>
        <v>0</v>
      </c>
      <c r="K261" s="310">
        <f t="shared" si="66"/>
        <v>0</v>
      </c>
      <c r="L261" s="310">
        <f t="shared" si="66"/>
        <v>0</v>
      </c>
      <c r="M261" s="310">
        <f t="shared" si="66"/>
        <v>0</v>
      </c>
      <c r="N261" s="310">
        <f t="shared" si="66"/>
        <v>0</v>
      </c>
      <c r="O261" s="310">
        <f t="shared" si="66"/>
        <v>0</v>
      </c>
      <c r="P261" s="310">
        <f t="shared" si="66"/>
        <v>0</v>
      </c>
      <c r="Q261" s="310">
        <f t="shared" si="66"/>
        <v>0</v>
      </c>
      <c r="R261" s="310">
        <f t="shared" si="66"/>
        <v>0</v>
      </c>
      <c r="S261" s="310">
        <f t="shared" si="66"/>
        <v>0</v>
      </c>
      <c r="T261" s="310">
        <f t="shared" si="66"/>
        <v>0</v>
      </c>
      <c r="U261" s="310">
        <f t="shared" si="66"/>
        <v>0</v>
      </c>
      <c r="V261" s="310">
        <f t="shared" si="66"/>
        <v>0</v>
      </c>
      <c r="W261" s="310">
        <f t="shared" si="66"/>
        <v>0</v>
      </c>
      <c r="X261" s="310">
        <f t="shared" si="66"/>
        <v>0</v>
      </c>
      <c r="Y261" s="310">
        <f t="shared" si="66"/>
        <v>0</v>
      </c>
      <c r="Z261" s="310">
        <f t="shared" si="66"/>
        <v>0</v>
      </c>
      <c r="AA261" s="310"/>
      <c r="AB261" s="309" t="str">
        <f t="shared" si="54"/>
        <v>- Revision</v>
      </c>
      <c r="AC261" s="303" t="str">
        <f t="shared" si="55"/>
        <v>%</v>
      </c>
      <c r="AD261" s="303"/>
      <c r="AE261" s="303"/>
      <c r="AF261" s="310">
        <f t="shared" ref="AF261:AO261" si="67">IFERROR(ROUND( AF259 / AF258,2) - 1, 0)</f>
        <v>0</v>
      </c>
      <c r="AG261" s="310">
        <f t="shared" si="67"/>
        <v>0</v>
      </c>
      <c r="AH261" s="310">
        <f t="shared" si="67"/>
        <v>0</v>
      </c>
      <c r="AI261" s="310">
        <f t="shared" si="67"/>
        <v>0</v>
      </c>
      <c r="AJ261" s="310">
        <f t="shared" si="67"/>
        <v>0</v>
      </c>
      <c r="AK261" s="310">
        <f t="shared" si="67"/>
        <v>0</v>
      </c>
      <c r="AL261" s="310">
        <f t="shared" si="67"/>
        <v>0</v>
      </c>
      <c r="AM261" s="310">
        <f t="shared" si="67"/>
        <v>0</v>
      </c>
      <c r="AN261" s="310">
        <f t="shared" si="67"/>
        <v>0</v>
      </c>
      <c r="AO261" s="310">
        <f t="shared" si="67"/>
        <v>0</v>
      </c>
    </row>
    <row r="262" spans="2:41">
      <c r="B262" s="301" t="s">
        <v>1439</v>
      </c>
      <c r="C262" s="302" t="s">
        <v>1516</v>
      </c>
      <c r="D262" s="303" t="str">
        <f t="array" ref="D262">_xlfn.XLOOKUP($B262,$B$114:$B$212,_xlfn.XLOOKUP(D$219,$D$5:$AO$5,$D$114:$AO$212))</f>
        <v>NZ$m</v>
      </c>
      <c r="E262" s="303"/>
      <c r="F262" s="303"/>
      <c r="G262" s="304" t="e">
        <f t="array" ref="G262">_xlfn.XLOOKUP($B262,$B$114:$B$212,_xlfn.XLOOKUP(G$219,$D$5:$AO$5,$D$114:$AO$212))</f>
        <v>#REF!</v>
      </c>
      <c r="H262" s="304" t="e">
        <f t="array" ref="H262">_xlfn.XLOOKUP($B262,$B$114:$B$212,_xlfn.XLOOKUP(H$219,$D$5:$AO$5,$D$114:$AO$212))</f>
        <v>#REF!</v>
      </c>
      <c r="I262" s="304" t="e">
        <f t="array" ref="I262">_xlfn.XLOOKUP($B262,$B$114:$B$212,_xlfn.XLOOKUP(I$219,$D$5:$AO$5,$D$114:$AO$212))</f>
        <v>#REF!</v>
      </c>
      <c r="J262" s="304" t="e">
        <f t="array" ref="J262">_xlfn.XLOOKUP($B262,$B$114:$B$212,_xlfn.XLOOKUP(J$219,$D$5:$AO$5,$D$114:$AO$212))</f>
        <v>#REF!</v>
      </c>
      <c r="K262" s="304" t="e">
        <f t="array" ref="K262">_xlfn.XLOOKUP($B262,$B$114:$B$212,_xlfn.XLOOKUP(K$219,$D$5:$AO$5,$D$114:$AO$212))</f>
        <v>#REF!</v>
      </c>
      <c r="L262" s="304" t="e">
        <f t="array" ref="L262">_xlfn.XLOOKUP($B262,$B$114:$B$212,_xlfn.XLOOKUP(L$219,$D$5:$AO$5,$D$114:$AO$212))</f>
        <v>#REF!</v>
      </c>
      <c r="M262" s="304" t="e">
        <f t="array" ref="M262">_xlfn.XLOOKUP($B262,$B$114:$B$212,_xlfn.XLOOKUP(M$219,$D$5:$AO$5,$D$114:$AO$212))</f>
        <v>#REF!</v>
      </c>
      <c r="N262" s="304" t="e">
        <f t="array" ref="N262">_xlfn.XLOOKUP($B262,$B$114:$B$212,_xlfn.XLOOKUP(N$219,$D$5:$AO$5,$D$114:$AO$212))</f>
        <v>#REF!</v>
      </c>
      <c r="O262" s="304" t="e">
        <f t="array" ref="O262">_xlfn.XLOOKUP($B262,$B$114:$B$212,_xlfn.XLOOKUP(O$219,$D$5:$AO$5,$D$114:$AO$212))</f>
        <v>#REF!</v>
      </c>
      <c r="P262" s="304" t="e">
        <f t="array" ref="P262">_xlfn.XLOOKUP($B262,$B$114:$B$212,_xlfn.XLOOKUP(P$219,$D$5:$AO$5,$D$114:$AO$212))</f>
        <v>#REF!</v>
      </c>
      <c r="Q262" s="304" t="e">
        <f t="array" ref="Q262">_xlfn.XLOOKUP($B262,$B$114:$B$212,_xlfn.XLOOKUP(Q$219,$D$5:$AO$5,$D$114:$AO$212))</f>
        <v>#REF!</v>
      </c>
      <c r="R262" s="304" t="e">
        <f t="array" ref="R262">_xlfn.XLOOKUP($B262,$B$114:$B$212,_xlfn.XLOOKUP(R$219,$D$5:$AO$5,$D$114:$AO$212))</f>
        <v>#REF!</v>
      </c>
      <c r="S262" s="304" t="e">
        <f t="array" ref="S262">_xlfn.XLOOKUP($B262,$B$114:$B$212,_xlfn.XLOOKUP(S$219,$D$5:$AO$5,$D$114:$AO$212))</f>
        <v>#REF!</v>
      </c>
      <c r="T262" s="304" t="e">
        <f t="array" ref="T262">_xlfn.XLOOKUP($B262,$B$114:$B$212,_xlfn.XLOOKUP(T$219,$D$5:$AO$5,$D$114:$AO$212))</f>
        <v>#REF!</v>
      </c>
      <c r="U262" s="304" t="e">
        <f t="array" ref="U262">_xlfn.XLOOKUP($B262,$B$114:$B$212,_xlfn.XLOOKUP(U$219,$D$5:$AO$5,$D$114:$AO$212))</f>
        <v>#REF!</v>
      </c>
      <c r="V262" s="304" t="e">
        <f t="array" ref="V262">_xlfn.XLOOKUP($B262,$B$114:$B$212,_xlfn.XLOOKUP(V$219,$D$5:$AO$5,$D$114:$AO$212))</f>
        <v>#REF!</v>
      </c>
      <c r="W262" s="304" t="e">
        <f t="array" ref="W262">_xlfn.XLOOKUP($B262,$B$114:$B$212,_xlfn.XLOOKUP(W$219,$D$5:$AO$5,$D$114:$AO$212))</f>
        <v>#REF!</v>
      </c>
      <c r="X262" s="304" t="e">
        <f t="array" ref="X262">_xlfn.XLOOKUP($B262,$B$114:$B$212,_xlfn.XLOOKUP(X$219,$D$5:$AO$5,$D$114:$AO$212))</f>
        <v>#REF!</v>
      </c>
      <c r="Y262" s="304" t="e">
        <f t="array" ref="Y262">_xlfn.XLOOKUP($B262,$B$114:$B$212,_xlfn.XLOOKUP(Y$219,$D$5:$AO$5,$D$114:$AO$212))</f>
        <v>#REF!</v>
      </c>
      <c r="Z262" s="304" t="e">
        <f t="array" ref="Z262">_xlfn.XLOOKUP($B262,$B$114:$B$212,_xlfn.XLOOKUP(Z$219,$D$5:$AO$5,$D$114:$AO$212))</f>
        <v>#REF!</v>
      </c>
      <c r="AA262" s="305"/>
      <c r="AB262" s="302" t="str">
        <f t="shared" si="54"/>
        <v>Total Domestic Revenue - old</v>
      </c>
      <c r="AC262" s="303" t="str">
        <f t="shared" si="55"/>
        <v>NZ$m</v>
      </c>
      <c r="AD262" s="303"/>
      <c r="AE262" s="303"/>
      <c r="AF262" s="304" t="e">
        <f t="array" ref="AF262">_xlfn.XLOOKUP($B262,$B$114:$B$212,_xlfn.XLOOKUP(AF$219,$D$5:$AO$5,$D$114:$AO$212))</f>
        <v>#REF!</v>
      </c>
      <c r="AG262" s="304" t="e">
        <f t="array" ref="AG262">_xlfn.XLOOKUP($B262,$B$114:$B$212,_xlfn.XLOOKUP(AG$219,$D$5:$AO$5,$D$114:$AO$212))</f>
        <v>#REF!</v>
      </c>
      <c r="AH262" s="304" t="e">
        <f t="array" ref="AH262">_xlfn.XLOOKUP($B262,$B$114:$B$212,_xlfn.XLOOKUP(AH$219,$D$5:$AO$5,$D$114:$AO$212))</f>
        <v>#REF!</v>
      </c>
      <c r="AI262" s="304" t="e">
        <f t="array" ref="AI262">_xlfn.XLOOKUP($B262,$B$114:$B$212,_xlfn.XLOOKUP(AI$219,$D$5:$AO$5,$D$114:$AO$212))</f>
        <v>#REF!</v>
      </c>
      <c r="AJ262" s="304" t="e">
        <f t="array" ref="AJ262">_xlfn.XLOOKUP($B262,$B$114:$B$212,_xlfn.XLOOKUP(AJ$219,$D$5:$AO$5,$D$114:$AO$212))</f>
        <v>#REF!</v>
      </c>
      <c r="AK262" s="304" t="e">
        <f t="array" ref="AK262">_xlfn.XLOOKUP($B262,$B$114:$B$212,_xlfn.XLOOKUP(AK$219,$D$5:$AO$5,$D$114:$AO$212))</f>
        <v>#REF!</v>
      </c>
      <c r="AL262" s="304" t="e">
        <f t="array" ref="AL262">_xlfn.XLOOKUP($B262,$B$114:$B$212,_xlfn.XLOOKUP(AL$219,$D$5:$AO$5,$D$114:$AO$212))</f>
        <v>#REF!</v>
      </c>
      <c r="AM262" s="304" t="e">
        <f t="array" ref="AM262">_xlfn.XLOOKUP($B262,$B$114:$B$212,_xlfn.XLOOKUP(AM$219,$D$5:$AO$5,$D$114:$AO$212))</f>
        <v>#REF!</v>
      </c>
      <c r="AN262" s="304" t="e">
        <f t="array" ref="AN262">_xlfn.XLOOKUP($B262,$B$114:$B$212,_xlfn.XLOOKUP(AN$219,$D$5:$AO$5,$D$114:$AO$212))</f>
        <v>#REF!</v>
      </c>
      <c r="AO262" s="304" t="e">
        <f t="array" ref="AO262">_xlfn.XLOOKUP($B262,$B$114:$B$212,_xlfn.XLOOKUP(AO$219,$D$5:$AO$5,$D$114:$AO$212))</f>
        <v>#REF!</v>
      </c>
    </row>
    <row r="263" spans="2:41">
      <c r="B263" s="301" t="s">
        <v>1439</v>
      </c>
      <c r="C263" s="306" t="s">
        <v>1517</v>
      </c>
      <c r="D263" s="307" t="str">
        <f t="array" ref="D263">_xlfn.XLOOKUP($B263,$B$11:$B$109,_xlfn.XLOOKUP(D$219,$D$5:$AO$5,$D$11:$AO$109))</f>
        <v>NZ$m</v>
      </c>
      <c r="E263" s="307"/>
      <c r="F263" s="307"/>
      <c r="G263" s="308" t="e">
        <f t="array" ref="G263">_xlfn.XLOOKUP($B263,$B$11:$B$109,_xlfn.XLOOKUP(G$219,$D$5:$AO$5,$D$11:$AO$109))</f>
        <v>#REF!</v>
      </c>
      <c r="H263" s="308" t="e">
        <f t="array" ref="H263">_xlfn.XLOOKUP($B263,$B$11:$B$109,_xlfn.XLOOKUP(H$219,$D$5:$AO$5,$D$11:$AO$109))</f>
        <v>#REF!</v>
      </c>
      <c r="I263" s="308" t="e">
        <f t="array" ref="I263">_xlfn.XLOOKUP($B263,$B$11:$B$109,_xlfn.XLOOKUP(I$219,$D$5:$AO$5,$D$11:$AO$109))</f>
        <v>#REF!</v>
      </c>
      <c r="J263" s="308" t="e">
        <f t="array" ref="J263">_xlfn.XLOOKUP($B263,$B$11:$B$109,_xlfn.XLOOKUP(J$219,$D$5:$AO$5,$D$11:$AO$109))</f>
        <v>#REF!</v>
      </c>
      <c r="K263" s="308" t="e">
        <f t="array" ref="K263">_xlfn.XLOOKUP($B263,$B$11:$B$109,_xlfn.XLOOKUP(K$219,$D$5:$AO$5,$D$11:$AO$109))</f>
        <v>#REF!</v>
      </c>
      <c r="L263" s="308" t="e">
        <f t="array" ref="L263">_xlfn.XLOOKUP($B263,$B$11:$B$109,_xlfn.XLOOKUP(L$219,$D$5:$AO$5,$D$11:$AO$109))</f>
        <v>#REF!</v>
      </c>
      <c r="M263" s="308" t="e">
        <f t="array" ref="M263">_xlfn.XLOOKUP($B263,$B$11:$B$109,_xlfn.XLOOKUP(M$219,$D$5:$AO$5,$D$11:$AO$109))</f>
        <v>#REF!</v>
      </c>
      <c r="N263" s="308" t="e">
        <f t="array" ref="N263">_xlfn.XLOOKUP($B263,$B$11:$B$109,_xlfn.XLOOKUP(N$219,$D$5:$AO$5,$D$11:$AO$109))</f>
        <v>#REF!</v>
      </c>
      <c r="O263" s="308" t="e">
        <f t="array" ref="O263">_xlfn.XLOOKUP($B263,$B$11:$B$109,_xlfn.XLOOKUP(O$219,$D$5:$AO$5,$D$11:$AO$109))</f>
        <v>#REF!</v>
      </c>
      <c r="P263" s="308" t="e">
        <f t="array" ref="P263">_xlfn.XLOOKUP($B263,$B$11:$B$109,_xlfn.XLOOKUP(P$219,$D$5:$AO$5,$D$11:$AO$109))</f>
        <v>#REF!</v>
      </c>
      <c r="Q263" s="308" t="e">
        <f t="array" ref="Q263">_xlfn.XLOOKUP($B263,$B$11:$B$109,_xlfn.XLOOKUP(Q$219,$D$5:$AO$5,$D$11:$AO$109))</f>
        <v>#REF!</v>
      </c>
      <c r="R263" s="308" t="e">
        <f t="array" ref="R263">_xlfn.XLOOKUP($B263,$B$11:$B$109,_xlfn.XLOOKUP(R$219,$D$5:$AO$5,$D$11:$AO$109))</f>
        <v>#REF!</v>
      </c>
      <c r="S263" s="308" t="e">
        <f t="array" ref="S263">_xlfn.XLOOKUP($B263,$B$11:$B$109,_xlfn.XLOOKUP(S$219,$D$5:$AO$5,$D$11:$AO$109))</f>
        <v>#REF!</v>
      </c>
      <c r="T263" s="308" t="e">
        <f t="array" ref="T263">_xlfn.XLOOKUP($B263,$B$11:$B$109,_xlfn.XLOOKUP(T$219,$D$5:$AO$5,$D$11:$AO$109))</f>
        <v>#REF!</v>
      </c>
      <c r="U263" s="308" t="e">
        <f t="array" ref="U263">_xlfn.XLOOKUP($B263,$B$11:$B$109,_xlfn.XLOOKUP(U$219,$D$5:$AO$5,$D$11:$AO$109))</f>
        <v>#REF!</v>
      </c>
      <c r="V263" s="308" t="e">
        <f t="array" ref="V263">_xlfn.XLOOKUP($B263,$B$11:$B$109,_xlfn.XLOOKUP(V$219,$D$5:$AO$5,$D$11:$AO$109))</f>
        <v>#REF!</v>
      </c>
      <c r="W263" s="308" t="e">
        <f t="array" ref="W263">_xlfn.XLOOKUP($B263,$B$11:$B$109,_xlfn.XLOOKUP(W$219,$D$5:$AO$5,$D$11:$AO$109))</f>
        <v>#REF!</v>
      </c>
      <c r="X263" s="308" t="e">
        <f t="array" ref="X263">_xlfn.XLOOKUP($B263,$B$11:$B$109,_xlfn.XLOOKUP(X$219,$D$5:$AO$5,$D$11:$AO$109))</f>
        <v>#REF!</v>
      </c>
      <c r="Y263" s="308" t="e">
        <f t="array" ref="Y263">_xlfn.XLOOKUP($B263,$B$11:$B$109,_xlfn.XLOOKUP(Y$219,$D$5:$AO$5,$D$11:$AO$109))</f>
        <v>#REF!</v>
      </c>
      <c r="Z263" s="308" t="e">
        <f t="array" ref="Z263">_xlfn.XLOOKUP($B263,$B$11:$B$109,_xlfn.XLOOKUP(Z$219,$D$5:$AO$5,$D$11:$AO$109))</f>
        <v>#REF!</v>
      </c>
      <c r="AA263" s="308"/>
      <c r="AB263" s="306" t="str">
        <f t="shared" si="54"/>
        <v>Total Domestic Revenue - New</v>
      </c>
      <c r="AC263" s="307" t="str">
        <f t="shared" si="55"/>
        <v>NZ$m</v>
      </c>
      <c r="AD263" s="307"/>
      <c r="AE263" s="307"/>
      <c r="AF263" s="308" t="e">
        <f t="array" ref="AF263">_xlfn.XLOOKUP($B263,$B$11:$B$109,_xlfn.XLOOKUP(AF$219,$D$5:$AO$5,$D$11:$AO$109))</f>
        <v>#REF!</v>
      </c>
      <c r="AG263" s="308" t="e">
        <f t="array" ref="AG263">_xlfn.XLOOKUP($B263,$B$11:$B$109,_xlfn.XLOOKUP(AG$219,$D$5:$AO$5,$D$11:$AO$109))</f>
        <v>#REF!</v>
      </c>
      <c r="AH263" s="308" t="e">
        <f t="array" ref="AH263">_xlfn.XLOOKUP($B263,$B$11:$B$109,_xlfn.XLOOKUP(AH$219,$D$5:$AO$5,$D$11:$AO$109))</f>
        <v>#REF!</v>
      </c>
      <c r="AI263" s="308" t="e">
        <f t="array" ref="AI263">_xlfn.XLOOKUP($B263,$B$11:$B$109,_xlfn.XLOOKUP(AI$219,$D$5:$AO$5,$D$11:$AO$109))</f>
        <v>#REF!</v>
      </c>
      <c r="AJ263" s="308" t="e">
        <f t="array" ref="AJ263">_xlfn.XLOOKUP($B263,$B$11:$B$109,_xlfn.XLOOKUP(AJ$219,$D$5:$AO$5,$D$11:$AO$109))</f>
        <v>#REF!</v>
      </c>
      <c r="AK263" s="308" t="e">
        <f t="array" ref="AK263">_xlfn.XLOOKUP($B263,$B$11:$B$109,_xlfn.XLOOKUP(AK$219,$D$5:$AO$5,$D$11:$AO$109))</f>
        <v>#REF!</v>
      </c>
      <c r="AL263" s="308" t="e">
        <f t="array" ref="AL263">_xlfn.XLOOKUP($B263,$B$11:$B$109,_xlfn.XLOOKUP(AL$219,$D$5:$AO$5,$D$11:$AO$109))</f>
        <v>#REF!</v>
      </c>
      <c r="AM263" s="308" t="e">
        <f t="array" ref="AM263">_xlfn.XLOOKUP($B263,$B$11:$B$109,_xlfn.XLOOKUP(AM$219,$D$5:$AO$5,$D$11:$AO$109))</f>
        <v>#REF!</v>
      </c>
      <c r="AN263" s="308" t="e">
        <f t="array" ref="AN263">_xlfn.XLOOKUP($B263,$B$11:$B$109,_xlfn.XLOOKUP(AN$219,$D$5:$AO$5,$D$11:$AO$109))</f>
        <v>#REF!</v>
      </c>
      <c r="AO263" s="308" t="e">
        <f t="array" ref="AO263">_xlfn.XLOOKUP($B263,$B$11:$B$109,_xlfn.XLOOKUP(AO$219,$D$5:$AO$5,$D$11:$AO$109))</f>
        <v>#REF!</v>
      </c>
    </row>
    <row r="264" spans="2:41" hidden="1" outlineLevel="1">
      <c r="B264" s="301"/>
      <c r="C264" s="309" t="s">
        <v>1510</v>
      </c>
      <c r="D264" s="303" t="s">
        <v>88</v>
      </c>
      <c r="E264" s="303"/>
      <c r="F264" s="303"/>
      <c r="G264" s="310" t="s">
        <v>967</v>
      </c>
      <c r="H264" s="310" t="s">
        <v>967</v>
      </c>
      <c r="I264" s="310" t="e">
        <f t="shared" ref="I264:Z264" si="68">I263/G263-1</f>
        <v>#REF!</v>
      </c>
      <c r="J264" s="310" t="e">
        <f t="shared" si="68"/>
        <v>#REF!</v>
      </c>
      <c r="K264" s="310" t="e">
        <f t="shared" si="68"/>
        <v>#REF!</v>
      </c>
      <c r="L264" s="310" t="e">
        <f t="shared" si="68"/>
        <v>#REF!</v>
      </c>
      <c r="M264" s="310" t="e">
        <f t="shared" si="68"/>
        <v>#REF!</v>
      </c>
      <c r="N264" s="310" t="e">
        <f t="shared" si="68"/>
        <v>#REF!</v>
      </c>
      <c r="O264" s="310" t="e">
        <f t="shared" si="68"/>
        <v>#REF!</v>
      </c>
      <c r="P264" s="310" t="e">
        <f t="shared" si="68"/>
        <v>#REF!</v>
      </c>
      <c r="Q264" s="310" t="e">
        <f t="shared" si="68"/>
        <v>#REF!</v>
      </c>
      <c r="R264" s="310" t="e">
        <f t="shared" si="68"/>
        <v>#REF!</v>
      </c>
      <c r="S264" s="310" t="e">
        <f t="shared" si="68"/>
        <v>#REF!</v>
      </c>
      <c r="T264" s="310" t="e">
        <f t="shared" si="68"/>
        <v>#REF!</v>
      </c>
      <c r="U264" s="310" t="e">
        <f t="shared" si="68"/>
        <v>#REF!</v>
      </c>
      <c r="V264" s="310" t="e">
        <f t="shared" si="68"/>
        <v>#REF!</v>
      </c>
      <c r="W264" s="310" t="e">
        <f t="shared" si="68"/>
        <v>#REF!</v>
      </c>
      <c r="X264" s="310" t="e">
        <f t="shared" si="68"/>
        <v>#REF!</v>
      </c>
      <c r="Y264" s="310" t="e">
        <f t="shared" si="68"/>
        <v>#REF!</v>
      </c>
      <c r="Z264" s="310" t="e">
        <f t="shared" si="68"/>
        <v>#REF!</v>
      </c>
      <c r="AA264" s="311"/>
      <c r="AB264" s="309" t="str">
        <f t="shared" si="54"/>
        <v>- Growth</v>
      </c>
      <c r="AC264" s="303" t="str">
        <f t="shared" si="55"/>
        <v>%</v>
      </c>
      <c r="AD264" s="303"/>
      <c r="AE264" s="303"/>
      <c r="AF264" s="310" t="s">
        <v>967</v>
      </c>
      <c r="AG264" s="310" t="e">
        <f t="shared" ref="AG264:AO264" si="69">AG263/AF263-1</f>
        <v>#REF!</v>
      </c>
      <c r="AH264" s="310" t="e">
        <f t="shared" si="69"/>
        <v>#REF!</v>
      </c>
      <c r="AI264" s="310" t="e">
        <f t="shared" si="69"/>
        <v>#REF!</v>
      </c>
      <c r="AJ264" s="310" t="e">
        <f t="shared" si="69"/>
        <v>#REF!</v>
      </c>
      <c r="AK264" s="310" t="e">
        <f t="shared" si="69"/>
        <v>#REF!</v>
      </c>
      <c r="AL264" s="310" t="e">
        <f t="shared" si="69"/>
        <v>#REF!</v>
      </c>
      <c r="AM264" s="310" t="e">
        <f t="shared" si="69"/>
        <v>#REF!</v>
      </c>
      <c r="AN264" s="310" t="e">
        <f t="shared" si="69"/>
        <v>#REF!</v>
      </c>
      <c r="AO264" s="310" t="e">
        <f t="shared" si="69"/>
        <v>#REF!</v>
      </c>
    </row>
    <row r="265" spans="2:41" collapsed="1">
      <c r="B265" s="301"/>
      <c r="C265" s="309" t="s">
        <v>1511</v>
      </c>
      <c r="D265" s="303" t="s">
        <v>88</v>
      </c>
      <c r="E265" s="303"/>
      <c r="F265" s="303"/>
      <c r="G265" s="310">
        <f t="shared" ref="G265:Z265" si="70">IFERROR(ROUND( G263 / G262,2) - 1, 0)</f>
        <v>0</v>
      </c>
      <c r="H265" s="310">
        <f t="shared" si="70"/>
        <v>0</v>
      </c>
      <c r="I265" s="310">
        <f t="shared" si="70"/>
        <v>0</v>
      </c>
      <c r="J265" s="310">
        <f t="shared" si="70"/>
        <v>0</v>
      </c>
      <c r="K265" s="310">
        <f t="shared" si="70"/>
        <v>0</v>
      </c>
      <c r="L265" s="310">
        <f t="shared" si="70"/>
        <v>0</v>
      </c>
      <c r="M265" s="310">
        <f t="shared" si="70"/>
        <v>0</v>
      </c>
      <c r="N265" s="310">
        <f t="shared" si="70"/>
        <v>0</v>
      </c>
      <c r="O265" s="310">
        <f t="shared" si="70"/>
        <v>0</v>
      </c>
      <c r="P265" s="310">
        <f t="shared" si="70"/>
        <v>0</v>
      </c>
      <c r="Q265" s="310">
        <f t="shared" si="70"/>
        <v>0</v>
      </c>
      <c r="R265" s="310">
        <f t="shared" si="70"/>
        <v>0</v>
      </c>
      <c r="S265" s="310">
        <f t="shared" si="70"/>
        <v>0</v>
      </c>
      <c r="T265" s="310">
        <f t="shared" si="70"/>
        <v>0</v>
      </c>
      <c r="U265" s="310">
        <f t="shared" si="70"/>
        <v>0</v>
      </c>
      <c r="V265" s="310">
        <f t="shared" si="70"/>
        <v>0</v>
      </c>
      <c r="W265" s="310">
        <f t="shared" si="70"/>
        <v>0</v>
      </c>
      <c r="X265" s="310">
        <f t="shared" si="70"/>
        <v>0</v>
      </c>
      <c r="Y265" s="310">
        <f t="shared" si="70"/>
        <v>0</v>
      </c>
      <c r="Z265" s="310">
        <f t="shared" si="70"/>
        <v>0</v>
      </c>
      <c r="AA265" s="310"/>
      <c r="AB265" s="309" t="str">
        <f t="shared" si="54"/>
        <v>- Revision</v>
      </c>
      <c r="AC265" s="303" t="str">
        <f t="shared" si="55"/>
        <v>%</v>
      </c>
      <c r="AD265" s="303"/>
      <c r="AE265" s="303"/>
      <c r="AF265" s="310">
        <f t="shared" ref="AF265:AO265" si="71">IFERROR(ROUND( AF263 / AF262,2) - 1, 0)</f>
        <v>0</v>
      </c>
      <c r="AG265" s="310">
        <f t="shared" si="71"/>
        <v>0</v>
      </c>
      <c r="AH265" s="310">
        <f t="shared" si="71"/>
        <v>0</v>
      </c>
      <c r="AI265" s="310">
        <f t="shared" si="71"/>
        <v>0</v>
      </c>
      <c r="AJ265" s="310">
        <f t="shared" si="71"/>
        <v>0</v>
      </c>
      <c r="AK265" s="310">
        <f t="shared" si="71"/>
        <v>0</v>
      </c>
      <c r="AL265" s="310">
        <f t="shared" si="71"/>
        <v>0</v>
      </c>
      <c r="AM265" s="310">
        <f t="shared" si="71"/>
        <v>0</v>
      </c>
      <c r="AN265" s="310">
        <f t="shared" si="71"/>
        <v>0</v>
      </c>
      <c r="AO265" s="310">
        <f t="shared" si="71"/>
        <v>0</v>
      </c>
    </row>
    <row r="266" spans="2:41">
      <c r="B266" s="301" t="s">
        <v>1440</v>
      </c>
      <c r="C266" s="302" t="s">
        <v>1518</v>
      </c>
      <c r="D266" s="303" t="str">
        <f t="array" ref="D266">_xlfn.XLOOKUP($B266,$B$114:$B$212,_xlfn.XLOOKUP(D$219,$D$5:$AO$5,$D$114:$AO$212))</f>
        <v>NZ$m</v>
      </c>
      <c r="E266" s="303"/>
      <c r="F266" s="303"/>
      <c r="G266" s="304" t="e">
        <f t="array" ref="G266">_xlfn.XLOOKUP($B266,$B$114:$B$212,_xlfn.XLOOKUP(G$219,$D$5:$AO$5,$D$114:$AO$212))</f>
        <v>#REF!</v>
      </c>
      <c r="H266" s="304" t="e">
        <f t="array" ref="H266">_xlfn.XLOOKUP($B266,$B$114:$B$212,_xlfn.XLOOKUP(H$219,$D$5:$AO$5,$D$114:$AO$212))</f>
        <v>#REF!</v>
      </c>
      <c r="I266" s="304" t="e">
        <f t="array" ref="I266">_xlfn.XLOOKUP($B266,$B$114:$B$212,_xlfn.XLOOKUP(I$219,$D$5:$AO$5,$D$114:$AO$212))</f>
        <v>#REF!</v>
      </c>
      <c r="J266" s="304" t="e">
        <f t="array" ref="J266">_xlfn.XLOOKUP($B266,$B$114:$B$212,_xlfn.XLOOKUP(J$219,$D$5:$AO$5,$D$114:$AO$212))</f>
        <v>#REF!</v>
      </c>
      <c r="K266" s="304" t="e">
        <f t="array" ref="K266">_xlfn.XLOOKUP($B266,$B$114:$B$212,_xlfn.XLOOKUP(K$219,$D$5:$AO$5,$D$114:$AO$212))</f>
        <v>#REF!</v>
      </c>
      <c r="L266" s="304" t="e">
        <f t="array" ref="L266">_xlfn.XLOOKUP($B266,$B$114:$B$212,_xlfn.XLOOKUP(L$219,$D$5:$AO$5,$D$114:$AO$212))</f>
        <v>#REF!</v>
      </c>
      <c r="M266" s="304" t="e">
        <f t="array" ref="M266">_xlfn.XLOOKUP($B266,$B$114:$B$212,_xlfn.XLOOKUP(M$219,$D$5:$AO$5,$D$114:$AO$212))</f>
        <v>#REF!</v>
      </c>
      <c r="N266" s="304" t="e">
        <f t="array" ref="N266">_xlfn.XLOOKUP($B266,$B$114:$B$212,_xlfn.XLOOKUP(N$219,$D$5:$AO$5,$D$114:$AO$212))</f>
        <v>#REF!</v>
      </c>
      <c r="O266" s="304" t="e">
        <f t="array" ref="O266">_xlfn.XLOOKUP($B266,$B$114:$B$212,_xlfn.XLOOKUP(O$219,$D$5:$AO$5,$D$114:$AO$212))</f>
        <v>#REF!</v>
      </c>
      <c r="P266" s="304" t="e">
        <f t="array" ref="P266">_xlfn.XLOOKUP($B266,$B$114:$B$212,_xlfn.XLOOKUP(P$219,$D$5:$AO$5,$D$114:$AO$212))</f>
        <v>#REF!</v>
      </c>
      <c r="Q266" s="304" t="e">
        <f t="array" ref="Q266">_xlfn.XLOOKUP($B266,$B$114:$B$212,_xlfn.XLOOKUP(Q$219,$D$5:$AO$5,$D$114:$AO$212))</f>
        <v>#REF!</v>
      </c>
      <c r="R266" s="304" t="e">
        <f t="array" ref="R266">_xlfn.XLOOKUP($B266,$B$114:$B$212,_xlfn.XLOOKUP(R$219,$D$5:$AO$5,$D$114:$AO$212))</f>
        <v>#REF!</v>
      </c>
      <c r="S266" s="304" t="e">
        <f t="array" ref="S266">_xlfn.XLOOKUP($B266,$B$114:$B$212,_xlfn.XLOOKUP(S$219,$D$5:$AO$5,$D$114:$AO$212))</f>
        <v>#REF!</v>
      </c>
      <c r="T266" s="304" t="e">
        <f t="array" ref="T266">_xlfn.XLOOKUP($B266,$B$114:$B$212,_xlfn.XLOOKUP(T$219,$D$5:$AO$5,$D$114:$AO$212))</f>
        <v>#REF!</v>
      </c>
      <c r="U266" s="304" t="e">
        <f t="array" ref="U266">_xlfn.XLOOKUP($B266,$B$114:$B$212,_xlfn.XLOOKUP(U$219,$D$5:$AO$5,$D$114:$AO$212))</f>
        <v>#REF!</v>
      </c>
      <c r="V266" s="304" t="e">
        <f t="array" ref="V266">_xlfn.XLOOKUP($B266,$B$114:$B$212,_xlfn.XLOOKUP(V$219,$D$5:$AO$5,$D$114:$AO$212))</f>
        <v>#REF!</v>
      </c>
      <c r="W266" s="304" t="e">
        <f t="array" ref="W266">_xlfn.XLOOKUP($B266,$B$114:$B$212,_xlfn.XLOOKUP(W$219,$D$5:$AO$5,$D$114:$AO$212))</f>
        <v>#REF!</v>
      </c>
      <c r="X266" s="304" t="e">
        <f t="array" ref="X266">_xlfn.XLOOKUP($B266,$B$114:$B$212,_xlfn.XLOOKUP(X$219,$D$5:$AO$5,$D$114:$AO$212))</f>
        <v>#REF!</v>
      </c>
      <c r="Y266" s="304" t="e">
        <f t="array" ref="Y266">_xlfn.XLOOKUP($B266,$B$114:$B$212,_xlfn.XLOOKUP(Y$219,$D$5:$AO$5,$D$114:$AO$212))</f>
        <v>#REF!</v>
      </c>
      <c r="Z266" s="304" t="e">
        <f t="array" ref="Z266">_xlfn.XLOOKUP($B266,$B$114:$B$212,_xlfn.XLOOKUP(Z$219,$D$5:$AO$5,$D$114:$AO$212))</f>
        <v>#REF!</v>
      </c>
      <c r="AA266" s="305"/>
      <c r="AB266" s="302" t="str">
        <f t="shared" si="54"/>
        <v>Total Domestic Revenue excl. GST - old</v>
      </c>
      <c r="AC266" s="303" t="str">
        <f t="shared" si="55"/>
        <v>NZ$m</v>
      </c>
      <c r="AD266" s="303"/>
      <c r="AE266" s="303"/>
      <c r="AF266" s="304" t="e">
        <f t="array" ref="AF266">_xlfn.XLOOKUP($B266,$B$114:$B$212,_xlfn.XLOOKUP(AF$219,$D$5:$AO$5,$D$114:$AO$212))</f>
        <v>#REF!</v>
      </c>
      <c r="AG266" s="304" t="e">
        <f t="array" ref="AG266">_xlfn.XLOOKUP($B266,$B$114:$B$212,_xlfn.XLOOKUP(AG$219,$D$5:$AO$5,$D$114:$AO$212))</f>
        <v>#REF!</v>
      </c>
      <c r="AH266" s="304" t="e">
        <f t="array" ref="AH266">_xlfn.XLOOKUP($B266,$B$114:$B$212,_xlfn.XLOOKUP(AH$219,$D$5:$AO$5,$D$114:$AO$212))</f>
        <v>#REF!</v>
      </c>
      <c r="AI266" s="304" t="e">
        <f t="array" ref="AI266">_xlfn.XLOOKUP($B266,$B$114:$B$212,_xlfn.XLOOKUP(AI$219,$D$5:$AO$5,$D$114:$AO$212))</f>
        <v>#REF!</v>
      </c>
      <c r="AJ266" s="304" t="e">
        <f t="array" ref="AJ266">_xlfn.XLOOKUP($B266,$B$114:$B$212,_xlfn.XLOOKUP(AJ$219,$D$5:$AO$5,$D$114:$AO$212))</f>
        <v>#REF!</v>
      </c>
      <c r="AK266" s="304" t="e">
        <f t="array" ref="AK266">_xlfn.XLOOKUP($B266,$B$114:$B$212,_xlfn.XLOOKUP(AK$219,$D$5:$AO$5,$D$114:$AO$212))</f>
        <v>#REF!</v>
      </c>
      <c r="AL266" s="304" t="e">
        <f t="array" ref="AL266">_xlfn.XLOOKUP($B266,$B$114:$B$212,_xlfn.XLOOKUP(AL$219,$D$5:$AO$5,$D$114:$AO$212))</f>
        <v>#REF!</v>
      </c>
      <c r="AM266" s="304" t="e">
        <f t="array" ref="AM266">_xlfn.XLOOKUP($B266,$B$114:$B$212,_xlfn.XLOOKUP(AM$219,$D$5:$AO$5,$D$114:$AO$212))</f>
        <v>#REF!</v>
      </c>
      <c r="AN266" s="304" t="e">
        <f t="array" ref="AN266">_xlfn.XLOOKUP($B266,$B$114:$B$212,_xlfn.XLOOKUP(AN$219,$D$5:$AO$5,$D$114:$AO$212))</f>
        <v>#REF!</v>
      </c>
      <c r="AO266" s="304" t="e">
        <f t="array" ref="AO266">_xlfn.XLOOKUP($B266,$B$114:$B$212,_xlfn.XLOOKUP(AO$219,$D$5:$AO$5,$D$114:$AO$212))</f>
        <v>#REF!</v>
      </c>
    </row>
    <row r="267" spans="2:41">
      <c r="B267" s="301" t="s">
        <v>1440</v>
      </c>
      <c r="C267" s="306" t="s">
        <v>1519</v>
      </c>
      <c r="D267" s="307" t="str">
        <f t="array" ref="D267">_xlfn.XLOOKUP($B267,$B$11:$B$109,_xlfn.XLOOKUP(D$219,$D$5:$AO$5,$D$11:$AO$109))</f>
        <v>NZ$m</v>
      </c>
      <c r="E267" s="307"/>
      <c r="F267" s="307"/>
      <c r="G267" s="308" t="e">
        <f t="array" ref="G267">_xlfn.XLOOKUP($B267,$B$11:$B$109,_xlfn.XLOOKUP(G$219,$D$5:$AO$5,$D$11:$AO$109))</f>
        <v>#REF!</v>
      </c>
      <c r="H267" s="308" t="e">
        <f t="array" ref="H267">_xlfn.XLOOKUP($B267,$B$11:$B$109,_xlfn.XLOOKUP(H$219,$D$5:$AO$5,$D$11:$AO$109))</f>
        <v>#REF!</v>
      </c>
      <c r="I267" s="308" t="e">
        <f t="array" ref="I267">_xlfn.XLOOKUP($B267,$B$11:$B$109,_xlfn.XLOOKUP(I$219,$D$5:$AO$5,$D$11:$AO$109))</f>
        <v>#REF!</v>
      </c>
      <c r="J267" s="308" t="e">
        <f t="array" ref="J267">_xlfn.XLOOKUP($B267,$B$11:$B$109,_xlfn.XLOOKUP(J$219,$D$5:$AO$5,$D$11:$AO$109))</f>
        <v>#REF!</v>
      </c>
      <c r="K267" s="308" t="e">
        <f t="array" ref="K267">_xlfn.XLOOKUP($B267,$B$11:$B$109,_xlfn.XLOOKUP(K$219,$D$5:$AO$5,$D$11:$AO$109))</f>
        <v>#REF!</v>
      </c>
      <c r="L267" s="308" t="e">
        <f t="array" ref="L267">_xlfn.XLOOKUP($B267,$B$11:$B$109,_xlfn.XLOOKUP(L$219,$D$5:$AO$5,$D$11:$AO$109))</f>
        <v>#REF!</v>
      </c>
      <c r="M267" s="308" t="e">
        <f t="array" ref="M267">_xlfn.XLOOKUP($B267,$B$11:$B$109,_xlfn.XLOOKUP(M$219,$D$5:$AO$5,$D$11:$AO$109))</f>
        <v>#REF!</v>
      </c>
      <c r="N267" s="308" t="e">
        <f t="array" ref="N267">_xlfn.XLOOKUP($B267,$B$11:$B$109,_xlfn.XLOOKUP(N$219,$D$5:$AO$5,$D$11:$AO$109))</f>
        <v>#REF!</v>
      </c>
      <c r="O267" s="308" t="e">
        <f t="array" ref="O267">_xlfn.XLOOKUP($B267,$B$11:$B$109,_xlfn.XLOOKUP(O$219,$D$5:$AO$5,$D$11:$AO$109))</f>
        <v>#REF!</v>
      </c>
      <c r="P267" s="308" t="e">
        <f t="array" ref="P267">_xlfn.XLOOKUP($B267,$B$11:$B$109,_xlfn.XLOOKUP(P$219,$D$5:$AO$5,$D$11:$AO$109))</f>
        <v>#REF!</v>
      </c>
      <c r="Q267" s="308" t="e">
        <f t="array" ref="Q267">_xlfn.XLOOKUP($B267,$B$11:$B$109,_xlfn.XLOOKUP(Q$219,$D$5:$AO$5,$D$11:$AO$109))</f>
        <v>#REF!</v>
      </c>
      <c r="R267" s="308" t="e">
        <f t="array" ref="R267">_xlfn.XLOOKUP($B267,$B$11:$B$109,_xlfn.XLOOKUP(R$219,$D$5:$AO$5,$D$11:$AO$109))</f>
        <v>#REF!</v>
      </c>
      <c r="S267" s="308" t="e">
        <f t="array" ref="S267">_xlfn.XLOOKUP($B267,$B$11:$B$109,_xlfn.XLOOKUP(S$219,$D$5:$AO$5,$D$11:$AO$109))</f>
        <v>#REF!</v>
      </c>
      <c r="T267" s="308" t="e">
        <f t="array" ref="T267">_xlfn.XLOOKUP($B267,$B$11:$B$109,_xlfn.XLOOKUP(T$219,$D$5:$AO$5,$D$11:$AO$109))</f>
        <v>#REF!</v>
      </c>
      <c r="U267" s="308" t="e">
        <f t="array" ref="U267">_xlfn.XLOOKUP($B267,$B$11:$B$109,_xlfn.XLOOKUP(U$219,$D$5:$AO$5,$D$11:$AO$109))</f>
        <v>#REF!</v>
      </c>
      <c r="V267" s="308" t="e">
        <f t="array" ref="V267">_xlfn.XLOOKUP($B267,$B$11:$B$109,_xlfn.XLOOKUP(V$219,$D$5:$AO$5,$D$11:$AO$109))</f>
        <v>#REF!</v>
      </c>
      <c r="W267" s="308" t="e">
        <f t="array" ref="W267">_xlfn.XLOOKUP($B267,$B$11:$B$109,_xlfn.XLOOKUP(W$219,$D$5:$AO$5,$D$11:$AO$109))</f>
        <v>#REF!</v>
      </c>
      <c r="X267" s="308" t="e">
        <f t="array" ref="X267">_xlfn.XLOOKUP($B267,$B$11:$B$109,_xlfn.XLOOKUP(X$219,$D$5:$AO$5,$D$11:$AO$109))</f>
        <v>#REF!</v>
      </c>
      <c r="Y267" s="308" t="e">
        <f t="array" ref="Y267">_xlfn.XLOOKUP($B267,$B$11:$B$109,_xlfn.XLOOKUP(Y$219,$D$5:$AO$5,$D$11:$AO$109))</f>
        <v>#REF!</v>
      </c>
      <c r="Z267" s="308" t="e">
        <f t="array" ref="Z267">_xlfn.XLOOKUP($B267,$B$11:$B$109,_xlfn.XLOOKUP(Z$219,$D$5:$AO$5,$D$11:$AO$109))</f>
        <v>#REF!</v>
      </c>
      <c r="AA267" s="308"/>
      <c r="AB267" s="306" t="str">
        <f t="shared" si="54"/>
        <v>Total Domestic Revenue excl. GST - New</v>
      </c>
      <c r="AC267" s="307" t="str">
        <f t="shared" si="55"/>
        <v>NZ$m</v>
      </c>
      <c r="AD267" s="307"/>
      <c r="AE267" s="307"/>
      <c r="AF267" s="308" t="e">
        <f t="array" ref="AF267">_xlfn.XLOOKUP($B267,$B$11:$B$109,_xlfn.XLOOKUP(AF$219,$D$5:$AO$5,$D$11:$AO$109))</f>
        <v>#REF!</v>
      </c>
      <c r="AG267" s="308" t="e">
        <f t="array" ref="AG267">_xlfn.XLOOKUP($B267,$B$11:$B$109,_xlfn.XLOOKUP(AG$219,$D$5:$AO$5,$D$11:$AO$109))</f>
        <v>#REF!</v>
      </c>
      <c r="AH267" s="308" t="e">
        <f t="array" ref="AH267">_xlfn.XLOOKUP($B267,$B$11:$B$109,_xlfn.XLOOKUP(AH$219,$D$5:$AO$5,$D$11:$AO$109))</f>
        <v>#REF!</v>
      </c>
      <c r="AI267" s="308" t="e">
        <f t="array" ref="AI267">_xlfn.XLOOKUP($B267,$B$11:$B$109,_xlfn.XLOOKUP(AI$219,$D$5:$AO$5,$D$11:$AO$109))</f>
        <v>#REF!</v>
      </c>
      <c r="AJ267" s="308" t="e">
        <f t="array" ref="AJ267">_xlfn.XLOOKUP($B267,$B$11:$B$109,_xlfn.XLOOKUP(AJ$219,$D$5:$AO$5,$D$11:$AO$109))</f>
        <v>#REF!</v>
      </c>
      <c r="AK267" s="308" t="e">
        <f t="array" ref="AK267">_xlfn.XLOOKUP($B267,$B$11:$B$109,_xlfn.XLOOKUP(AK$219,$D$5:$AO$5,$D$11:$AO$109))</f>
        <v>#REF!</v>
      </c>
      <c r="AL267" s="308" t="e">
        <f t="array" ref="AL267">_xlfn.XLOOKUP($B267,$B$11:$B$109,_xlfn.XLOOKUP(AL$219,$D$5:$AO$5,$D$11:$AO$109))</f>
        <v>#REF!</v>
      </c>
      <c r="AM267" s="308" t="e">
        <f t="array" ref="AM267">_xlfn.XLOOKUP($B267,$B$11:$B$109,_xlfn.XLOOKUP(AM$219,$D$5:$AO$5,$D$11:$AO$109))</f>
        <v>#REF!</v>
      </c>
      <c r="AN267" s="308" t="e">
        <f t="array" ref="AN267">_xlfn.XLOOKUP($B267,$B$11:$B$109,_xlfn.XLOOKUP(AN$219,$D$5:$AO$5,$D$11:$AO$109))</f>
        <v>#REF!</v>
      </c>
      <c r="AO267" s="308" t="e">
        <f t="array" ref="AO267">_xlfn.XLOOKUP($B267,$B$11:$B$109,_xlfn.XLOOKUP(AO$219,$D$5:$AO$5,$D$11:$AO$109))</f>
        <v>#REF!</v>
      </c>
    </row>
    <row r="268" spans="2:41" hidden="1" outlineLevel="1">
      <c r="B268" s="301"/>
      <c r="C268" s="309" t="s">
        <v>1510</v>
      </c>
      <c r="D268" s="303" t="s">
        <v>88</v>
      </c>
      <c r="E268" s="303"/>
      <c r="F268" s="303"/>
      <c r="G268" s="310" t="s">
        <v>967</v>
      </c>
      <c r="H268" s="310" t="s">
        <v>967</v>
      </c>
      <c r="I268" s="310" t="e">
        <f t="shared" ref="I268:Z268" si="72">I267/G267-1</f>
        <v>#REF!</v>
      </c>
      <c r="J268" s="310" t="e">
        <f t="shared" si="72"/>
        <v>#REF!</v>
      </c>
      <c r="K268" s="310" t="e">
        <f t="shared" si="72"/>
        <v>#REF!</v>
      </c>
      <c r="L268" s="310" t="e">
        <f t="shared" si="72"/>
        <v>#REF!</v>
      </c>
      <c r="M268" s="310" t="e">
        <f t="shared" si="72"/>
        <v>#REF!</v>
      </c>
      <c r="N268" s="310" t="e">
        <f t="shared" si="72"/>
        <v>#REF!</v>
      </c>
      <c r="O268" s="310" t="e">
        <f t="shared" si="72"/>
        <v>#REF!</v>
      </c>
      <c r="P268" s="310" t="e">
        <f t="shared" si="72"/>
        <v>#REF!</v>
      </c>
      <c r="Q268" s="310" t="e">
        <f t="shared" si="72"/>
        <v>#REF!</v>
      </c>
      <c r="R268" s="310" t="e">
        <f t="shared" si="72"/>
        <v>#REF!</v>
      </c>
      <c r="S268" s="310" t="e">
        <f t="shared" si="72"/>
        <v>#REF!</v>
      </c>
      <c r="T268" s="310" t="e">
        <f t="shared" si="72"/>
        <v>#REF!</v>
      </c>
      <c r="U268" s="310" t="e">
        <f t="shared" si="72"/>
        <v>#REF!</v>
      </c>
      <c r="V268" s="310" t="e">
        <f t="shared" si="72"/>
        <v>#REF!</v>
      </c>
      <c r="W268" s="310" t="e">
        <f t="shared" si="72"/>
        <v>#REF!</v>
      </c>
      <c r="X268" s="310" t="e">
        <f t="shared" si="72"/>
        <v>#REF!</v>
      </c>
      <c r="Y268" s="310" t="e">
        <f t="shared" si="72"/>
        <v>#REF!</v>
      </c>
      <c r="Z268" s="310" t="e">
        <f t="shared" si="72"/>
        <v>#REF!</v>
      </c>
      <c r="AA268" s="311"/>
      <c r="AB268" s="309" t="str">
        <f t="shared" si="54"/>
        <v>- Growth</v>
      </c>
      <c r="AC268" s="303" t="str">
        <f t="shared" si="55"/>
        <v>%</v>
      </c>
      <c r="AD268" s="303"/>
      <c r="AE268" s="303"/>
      <c r="AF268" s="310" t="s">
        <v>967</v>
      </c>
      <c r="AG268" s="310" t="e">
        <f t="shared" ref="AG268:AO268" si="73">AG267/AF267-1</f>
        <v>#REF!</v>
      </c>
      <c r="AH268" s="310" t="e">
        <f t="shared" si="73"/>
        <v>#REF!</v>
      </c>
      <c r="AI268" s="310" t="e">
        <f t="shared" si="73"/>
        <v>#REF!</v>
      </c>
      <c r="AJ268" s="310" t="e">
        <f t="shared" si="73"/>
        <v>#REF!</v>
      </c>
      <c r="AK268" s="310" t="e">
        <f t="shared" si="73"/>
        <v>#REF!</v>
      </c>
      <c r="AL268" s="310" t="e">
        <f t="shared" si="73"/>
        <v>#REF!</v>
      </c>
      <c r="AM268" s="310" t="e">
        <f t="shared" si="73"/>
        <v>#REF!</v>
      </c>
      <c r="AN268" s="310" t="e">
        <f t="shared" si="73"/>
        <v>#REF!</v>
      </c>
      <c r="AO268" s="310" t="e">
        <f t="shared" si="73"/>
        <v>#REF!</v>
      </c>
    </row>
    <row r="269" spans="2:41" collapsed="1">
      <c r="B269" s="301"/>
      <c r="C269" s="309" t="s">
        <v>1511</v>
      </c>
      <c r="D269" s="303" t="s">
        <v>88</v>
      </c>
      <c r="E269" s="303"/>
      <c r="F269" s="303"/>
      <c r="G269" s="310">
        <f t="shared" ref="G269:Z269" si="74">IFERROR(ROUND( G267 / G266,2) - 1, 0)</f>
        <v>0</v>
      </c>
      <c r="H269" s="310">
        <f t="shared" si="74"/>
        <v>0</v>
      </c>
      <c r="I269" s="310">
        <f t="shared" si="74"/>
        <v>0</v>
      </c>
      <c r="J269" s="310">
        <f t="shared" si="74"/>
        <v>0</v>
      </c>
      <c r="K269" s="310">
        <f t="shared" si="74"/>
        <v>0</v>
      </c>
      <c r="L269" s="310">
        <f t="shared" si="74"/>
        <v>0</v>
      </c>
      <c r="M269" s="310">
        <f t="shared" si="74"/>
        <v>0</v>
      </c>
      <c r="N269" s="310">
        <f t="shared" si="74"/>
        <v>0</v>
      </c>
      <c r="O269" s="310">
        <f t="shared" si="74"/>
        <v>0</v>
      </c>
      <c r="P269" s="310">
        <f t="shared" si="74"/>
        <v>0</v>
      </c>
      <c r="Q269" s="310">
        <f t="shared" si="74"/>
        <v>0</v>
      </c>
      <c r="R269" s="310">
        <f t="shared" si="74"/>
        <v>0</v>
      </c>
      <c r="S269" s="310">
        <f t="shared" si="74"/>
        <v>0</v>
      </c>
      <c r="T269" s="310">
        <f t="shared" si="74"/>
        <v>0</v>
      </c>
      <c r="U269" s="310">
        <f t="shared" si="74"/>
        <v>0</v>
      </c>
      <c r="V269" s="310">
        <f t="shared" si="74"/>
        <v>0</v>
      </c>
      <c r="W269" s="310">
        <f t="shared" si="74"/>
        <v>0</v>
      </c>
      <c r="X269" s="310">
        <f t="shared" si="74"/>
        <v>0</v>
      </c>
      <c r="Y269" s="310">
        <f t="shared" si="74"/>
        <v>0</v>
      </c>
      <c r="Z269" s="310">
        <f t="shared" si="74"/>
        <v>0</v>
      </c>
      <c r="AA269" s="310"/>
      <c r="AB269" s="309" t="str">
        <f t="shared" si="54"/>
        <v>- Revision</v>
      </c>
      <c r="AC269" s="303" t="str">
        <f t="shared" si="55"/>
        <v>%</v>
      </c>
      <c r="AD269" s="303"/>
      <c r="AE269" s="303"/>
      <c r="AF269" s="310">
        <f t="shared" ref="AF269:AO269" si="75">IFERROR(ROUND( AF267 / AF266,2) - 1, 0)</f>
        <v>0</v>
      </c>
      <c r="AG269" s="310">
        <f t="shared" si="75"/>
        <v>0</v>
      </c>
      <c r="AH269" s="310">
        <f t="shared" si="75"/>
        <v>0</v>
      </c>
      <c r="AI269" s="310">
        <f t="shared" si="75"/>
        <v>0</v>
      </c>
      <c r="AJ269" s="310">
        <f t="shared" si="75"/>
        <v>0</v>
      </c>
      <c r="AK269" s="310">
        <f t="shared" si="75"/>
        <v>0</v>
      </c>
      <c r="AL269" s="310">
        <f t="shared" si="75"/>
        <v>0</v>
      </c>
      <c r="AM269" s="310">
        <f t="shared" si="75"/>
        <v>0</v>
      </c>
      <c r="AN269" s="310">
        <f t="shared" si="75"/>
        <v>0</v>
      </c>
      <c r="AO269" s="310">
        <f t="shared" si="75"/>
        <v>0</v>
      </c>
    </row>
    <row r="270" spans="2:41">
      <c r="B270" s="301" t="s">
        <v>1441</v>
      </c>
      <c r="C270" s="302" t="s">
        <v>1520</v>
      </c>
      <c r="D270" s="303" t="str">
        <f t="array" ref="D270">_xlfn.XLOOKUP($B270,$B$114:$B$212,_xlfn.XLOOKUP(D$219,$D$5:$AO$5,$D$114:$AO$212))</f>
        <v>NZ$m</v>
      </c>
      <c r="E270" s="303"/>
      <c r="F270" s="303"/>
      <c r="G270" s="304" t="e">
        <f t="array" ref="G270">_xlfn.XLOOKUP($B270,$B$114:$B$212,_xlfn.XLOOKUP(G$219,$D$5:$AO$5,$D$114:$AO$212))</f>
        <v>#REF!</v>
      </c>
      <c r="H270" s="304" t="e">
        <f t="array" ref="H270">_xlfn.XLOOKUP($B270,$B$114:$B$212,_xlfn.XLOOKUP(H$219,$D$5:$AO$5,$D$114:$AO$212))</f>
        <v>#REF!</v>
      </c>
      <c r="I270" s="304" t="e">
        <f t="array" ref="I270">_xlfn.XLOOKUP($B270,$B$114:$B$212,_xlfn.XLOOKUP(I$219,$D$5:$AO$5,$D$114:$AO$212))</f>
        <v>#REF!</v>
      </c>
      <c r="J270" s="304" t="e">
        <f t="array" ref="J270">_xlfn.XLOOKUP($B270,$B$114:$B$212,_xlfn.XLOOKUP(J$219,$D$5:$AO$5,$D$114:$AO$212))</f>
        <v>#REF!</v>
      </c>
      <c r="K270" s="304" t="e">
        <f t="array" ref="K270">_xlfn.XLOOKUP($B270,$B$114:$B$212,_xlfn.XLOOKUP(K$219,$D$5:$AO$5,$D$114:$AO$212))</f>
        <v>#REF!</v>
      </c>
      <c r="L270" s="304" t="e">
        <f t="array" ref="L270">_xlfn.XLOOKUP($B270,$B$114:$B$212,_xlfn.XLOOKUP(L$219,$D$5:$AO$5,$D$114:$AO$212))</f>
        <v>#REF!</v>
      </c>
      <c r="M270" s="304" t="e">
        <f t="array" ref="M270">_xlfn.XLOOKUP($B270,$B$114:$B$212,_xlfn.XLOOKUP(M$219,$D$5:$AO$5,$D$114:$AO$212))</f>
        <v>#REF!</v>
      </c>
      <c r="N270" s="304" t="e">
        <f t="array" ref="N270">_xlfn.XLOOKUP($B270,$B$114:$B$212,_xlfn.XLOOKUP(N$219,$D$5:$AO$5,$D$114:$AO$212))</f>
        <v>#REF!</v>
      </c>
      <c r="O270" s="304" t="e">
        <f t="array" ref="O270">_xlfn.XLOOKUP($B270,$B$114:$B$212,_xlfn.XLOOKUP(O$219,$D$5:$AO$5,$D$114:$AO$212))</f>
        <v>#REF!</v>
      </c>
      <c r="P270" s="304" t="e">
        <f t="array" ref="P270">_xlfn.XLOOKUP($B270,$B$114:$B$212,_xlfn.XLOOKUP(P$219,$D$5:$AO$5,$D$114:$AO$212))</f>
        <v>#REF!</v>
      </c>
      <c r="Q270" s="304" t="e">
        <f t="array" ref="Q270">_xlfn.XLOOKUP($B270,$B$114:$B$212,_xlfn.XLOOKUP(Q$219,$D$5:$AO$5,$D$114:$AO$212))</f>
        <v>#REF!</v>
      </c>
      <c r="R270" s="304" t="e">
        <f t="array" ref="R270">_xlfn.XLOOKUP($B270,$B$114:$B$212,_xlfn.XLOOKUP(R$219,$D$5:$AO$5,$D$114:$AO$212))</f>
        <v>#REF!</v>
      </c>
      <c r="S270" s="304" t="e">
        <f t="array" ref="S270">_xlfn.XLOOKUP($B270,$B$114:$B$212,_xlfn.XLOOKUP(S$219,$D$5:$AO$5,$D$114:$AO$212))</f>
        <v>#REF!</v>
      </c>
      <c r="T270" s="304" t="e">
        <f t="array" ref="T270">_xlfn.XLOOKUP($B270,$B$114:$B$212,_xlfn.XLOOKUP(T$219,$D$5:$AO$5,$D$114:$AO$212))</f>
        <v>#REF!</v>
      </c>
      <c r="U270" s="304" t="e">
        <f t="array" ref="U270">_xlfn.XLOOKUP($B270,$B$114:$B$212,_xlfn.XLOOKUP(U$219,$D$5:$AO$5,$D$114:$AO$212))</f>
        <v>#REF!</v>
      </c>
      <c r="V270" s="304" t="e">
        <f t="array" ref="V270">_xlfn.XLOOKUP($B270,$B$114:$B$212,_xlfn.XLOOKUP(V$219,$D$5:$AO$5,$D$114:$AO$212))</f>
        <v>#REF!</v>
      </c>
      <c r="W270" s="304" t="e">
        <f t="array" ref="W270">_xlfn.XLOOKUP($B270,$B$114:$B$212,_xlfn.XLOOKUP(W$219,$D$5:$AO$5,$D$114:$AO$212))</f>
        <v>#REF!</v>
      </c>
      <c r="X270" s="304" t="e">
        <f t="array" ref="X270">_xlfn.XLOOKUP($B270,$B$114:$B$212,_xlfn.XLOOKUP(X$219,$D$5:$AO$5,$D$114:$AO$212))</f>
        <v>#REF!</v>
      </c>
      <c r="Y270" s="304" t="e">
        <f t="array" ref="Y270">_xlfn.XLOOKUP($B270,$B$114:$B$212,_xlfn.XLOOKUP(Y$219,$D$5:$AO$5,$D$114:$AO$212))</f>
        <v>#REF!</v>
      </c>
      <c r="Z270" s="304" t="e">
        <f t="array" ref="Z270">_xlfn.XLOOKUP($B270,$B$114:$B$212,_xlfn.XLOOKUP(Z$219,$D$5:$AO$5,$D$114:$AO$212))</f>
        <v>#REF!</v>
      </c>
      <c r="AA270" s="305"/>
      <c r="AB270" s="302" t="str">
        <f t="shared" si="54"/>
        <v>EBITDA excl. IB - old</v>
      </c>
      <c r="AC270" s="303" t="str">
        <f t="shared" si="55"/>
        <v>NZ$m</v>
      </c>
      <c r="AD270" s="303"/>
      <c r="AE270" s="303"/>
      <c r="AF270" s="304" t="e">
        <f t="array" ref="AF270">_xlfn.XLOOKUP($B270,$B$114:$B$212,_xlfn.XLOOKUP(AF$219,$D$5:$AO$5,$D$114:$AO$212))</f>
        <v>#REF!</v>
      </c>
      <c r="AG270" s="304" t="e">
        <f t="array" ref="AG270">_xlfn.XLOOKUP($B270,$B$114:$B$212,_xlfn.XLOOKUP(AG$219,$D$5:$AO$5,$D$114:$AO$212))</f>
        <v>#REF!</v>
      </c>
      <c r="AH270" s="304" t="e">
        <f t="array" ref="AH270">_xlfn.XLOOKUP($B270,$B$114:$B$212,_xlfn.XLOOKUP(AH$219,$D$5:$AO$5,$D$114:$AO$212))</f>
        <v>#REF!</v>
      </c>
      <c r="AI270" s="304" t="e">
        <f t="array" ref="AI270">_xlfn.XLOOKUP($B270,$B$114:$B$212,_xlfn.XLOOKUP(AI$219,$D$5:$AO$5,$D$114:$AO$212))</f>
        <v>#REF!</v>
      </c>
      <c r="AJ270" s="304" t="e">
        <f t="array" ref="AJ270">_xlfn.XLOOKUP($B270,$B$114:$B$212,_xlfn.XLOOKUP(AJ$219,$D$5:$AO$5,$D$114:$AO$212))</f>
        <v>#REF!</v>
      </c>
      <c r="AK270" s="304" t="e">
        <f t="array" ref="AK270">_xlfn.XLOOKUP($B270,$B$114:$B$212,_xlfn.XLOOKUP(AK$219,$D$5:$AO$5,$D$114:$AO$212))</f>
        <v>#REF!</v>
      </c>
      <c r="AL270" s="304" t="e">
        <f t="array" ref="AL270">_xlfn.XLOOKUP($B270,$B$114:$B$212,_xlfn.XLOOKUP(AL$219,$D$5:$AO$5,$D$114:$AO$212))</f>
        <v>#REF!</v>
      </c>
      <c r="AM270" s="304" t="e">
        <f t="array" ref="AM270">_xlfn.XLOOKUP($B270,$B$114:$B$212,_xlfn.XLOOKUP(AM$219,$D$5:$AO$5,$D$114:$AO$212))</f>
        <v>#REF!</v>
      </c>
      <c r="AN270" s="304" t="e">
        <f t="array" ref="AN270">_xlfn.XLOOKUP($B270,$B$114:$B$212,_xlfn.XLOOKUP(AN$219,$D$5:$AO$5,$D$114:$AO$212))</f>
        <v>#REF!</v>
      </c>
      <c r="AO270" s="304" t="e">
        <f t="array" ref="AO270">_xlfn.XLOOKUP($B270,$B$114:$B$212,_xlfn.XLOOKUP(AO$219,$D$5:$AO$5,$D$114:$AO$212))</f>
        <v>#REF!</v>
      </c>
    </row>
    <row r="271" spans="2:41">
      <c r="B271" s="301" t="s">
        <v>1441</v>
      </c>
      <c r="C271" s="306" t="s">
        <v>1521</v>
      </c>
      <c r="D271" s="307" t="str">
        <f t="array" ref="D271">_xlfn.XLOOKUP($B271,$B$11:$B$109,_xlfn.XLOOKUP(D$219,$D$5:$AO$5,$D$11:$AO$109))</f>
        <v>NZ$m</v>
      </c>
      <c r="E271" s="307"/>
      <c r="F271" s="307"/>
      <c r="G271" s="308" t="e">
        <f t="array" ref="G271">_xlfn.XLOOKUP($B271,$B$11:$B$109,_xlfn.XLOOKUP(G$219,$D$5:$AO$5,$D$11:$AO$109))</f>
        <v>#REF!</v>
      </c>
      <c r="H271" s="308" t="e">
        <f t="array" ref="H271">_xlfn.XLOOKUP($B271,$B$11:$B$109,_xlfn.XLOOKUP(H$219,$D$5:$AO$5,$D$11:$AO$109))</f>
        <v>#REF!</v>
      </c>
      <c r="I271" s="308" t="e">
        <f t="array" ref="I271">_xlfn.XLOOKUP($B271,$B$11:$B$109,_xlfn.XLOOKUP(I$219,$D$5:$AO$5,$D$11:$AO$109))</f>
        <v>#REF!</v>
      </c>
      <c r="J271" s="308" t="e">
        <f t="array" ref="J271">_xlfn.XLOOKUP($B271,$B$11:$B$109,_xlfn.XLOOKUP(J$219,$D$5:$AO$5,$D$11:$AO$109))</f>
        <v>#REF!</v>
      </c>
      <c r="K271" s="308" t="e">
        <f t="array" ref="K271">_xlfn.XLOOKUP($B271,$B$11:$B$109,_xlfn.XLOOKUP(K$219,$D$5:$AO$5,$D$11:$AO$109))</f>
        <v>#REF!</v>
      </c>
      <c r="L271" s="308" t="e">
        <f t="array" ref="L271">_xlfn.XLOOKUP($B271,$B$11:$B$109,_xlfn.XLOOKUP(L$219,$D$5:$AO$5,$D$11:$AO$109))</f>
        <v>#REF!</v>
      </c>
      <c r="M271" s="308" t="e">
        <f t="array" ref="M271">_xlfn.XLOOKUP($B271,$B$11:$B$109,_xlfn.XLOOKUP(M$219,$D$5:$AO$5,$D$11:$AO$109))</f>
        <v>#REF!</v>
      </c>
      <c r="N271" s="308" t="e">
        <f t="array" ref="N271">_xlfn.XLOOKUP($B271,$B$11:$B$109,_xlfn.XLOOKUP(N$219,$D$5:$AO$5,$D$11:$AO$109))</f>
        <v>#REF!</v>
      </c>
      <c r="O271" s="308" t="e">
        <f t="array" ref="O271">_xlfn.XLOOKUP($B271,$B$11:$B$109,_xlfn.XLOOKUP(O$219,$D$5:$AO$5,$D$11:$AO$109))</f>
        <v>#REF!</v>
      </c>
      <c r="P271" s="308" t="e">
        <f t="array" ref="P271">_xlfn.XLOOKUP($B271,$B$11:$B$109,_xlfn.XLOOKUP(P$219,$D$5:$AO$5,$D$11:$AO$109))</f>
        <v>#REF!</v>
      </c>
      <c r="Q271" s="308" t="e">
        <f t="array" ref="Q271">_xlfn.XLOOKUP($B271,$B$11:$B$109,_xlfn.XLOOKUP(Q$219,$D$5:$AO$5,$D$11:$AO$109))</f>
        <v>#REF!</v>
      </c>
      <c r="R271" s="308" t="e">
        <f t="array" ref="R271">_xlfn.XLOOKUP($B271,$B$11:$B$109,_xlfn.XLOOKUP(R$219,$D$5:$AO$5,$D$11:$AO$109))</f>
        <v>#REF!</v>
      </c>
      <c r="S271" s="308" t="e">
        <f t="array" ref="S271">_xlfn.XLOOKUP($B271,$B$11:$B$109,_xlfn.XLOOKUP(S$219,$D$5:$AO$5,$D$11:$AO$109))</f>
        <v>#REF!</v>
      </c>
      <c r="T271" s="308" t="e">
        <f t="array" ref="T271">_xlfn.XLOOKUP($B271,$B$11:$B$109,_xlfn.XLOOKUP(T$219,$D$5:$AO$5,$D$11:$AO$109))</f>
        <v>#REF!</v>
      </c>
      <c r="U271" s="308" t="e">
        <f t="array" ref="U271">_xlfn.XLOOKUP($B271,$B$11:$B$109,_xlfn.XLOOKUP(U$219,$D$5:$AO$5,$D$11:$AO$109))</f>
        <v>#REF!</v>
      </c>
      <c r="V271" s="308" t="e">
        <f t="array" ref="V271">_xlfn.XLOOKUP($B271,$B$11:$B$109,_xlfn.XLOOKUP(V$219,$D$5:$AO$5,$D$11:$AO$109))</f>
        <v>#REF!</v>
      </c>
      <c r="W271" s="308" t="e">
        <f t="array" ref="W271">_xlfn.XLOOKUP($B271,$B$11:$B$109,_xlfn.XLOOKUP(W$219,$D$5:$AO$5,$D$11:$AO$109))</f>
        <v>#REF!</v>
      </c>
      <c r="X271" s="308" t="e">
        <f t="array" ref="X271">_xlfn.XLOOKUP($B271,$B$11:$B$109,_xlfn.XLOOKUP(X$219,$D$5:$AO$5,$D$11:$AO$109))</f>
        <v>#REF!</v>
      </c>
      <c r="Y271" s="308" t="e">
        <f t="array" ref="Y271">_xlfn.XLOOKUP($B271,$B$11:$B$109,_xlfn.XLOOKUP(Y$219,$D$5:$AO$5,$D$11:$AO$109))</f>
        <v>#REF!</v>
      </c>
      <c r="Z271" s="308" t="e">
        <f t="array" ref="Z271">_xlfn.XLOOKUP($B271,$B$11:$B$109,_xlfn.XLOOKUP(Z$219,$D$5:$AO$5,$D$11:$AO$109))</f>
        <v>#REF!</v>
      </c>
      <c r="AA271" s="308"/>
      <c r="AB271" s="306" t="str">
        <f t="shared" si="54"/>
        <v>EBITDA excl. IB - New</v>
      </c>
      <c r="AC271" s="307" t="str">
        <f t="shared" si="55"/>
        <v>NZ$m</v>
      </c>
      <c r="AD271" s="307"/>
      <c r="AE271" s="307"/>
      <c r="AF271" s="308" t="e">
        <f t="array" ref="AF271">_xlfn.XLOOKUP($B271,$B$11:$B$109,_xlfn.XLOOKUP(AF$219,$D$5:$AO$5,$D$11:$AO$109))</f>
        <v>#REF!</v>
      </c>
      <c r="AG271" s="308" t="e">
        <f t="array" ref="AG271">_xlfn.XLOOKUP($B271,$B$11:$B$109,_xlfn.XLOOKUP(AG$219,$D$5:$AO$5,$D$11:$AO$109))</f>
        <v>#REF!</v>
      </c>
      <c r="AH271" s="308" t="e">
        <f t="array" ref="AH271">_xlfn.XLOOKUP($B271,$B$11:$B$109,_xlfn.XLOOKUP(AH$219,$D$5:$AO$5,$D$11:$AO$109))</f>
        <v>#REF!</v>
      </c>
      <c r="AI271" s="308" t="e">
        <f t="array" ref="AI271">_xlfn.XLOOKUP($B271,$B$11:$B$109,_xlfn.XLOOKUP(AI$219,$D$5:$AO$5,$D$11:$AO$109))</f>
        <v>#REF!</v>
      </c>
      <c r="AJ271" s="308" t="e">
        <f t="array" ref="AJ271">_xlfn.XLOOKUP($B271,$B$11:$B$109,_xlfn.XLOOKUP(AJ$219,$D$5:$AO$5,$D$11:$AO$109))</f>
        <v>#REF!</v>
      </c>
      <c r="AK271" s="308" t="e">
        <f t="array" ref="AK271">_xlfn.XLOOKUP($B271,$B$11:$B$109,_xlfn.XLOOKUP(AK$219,$D$5:$AO$5,$D$11:$AO$109))</f>
        <v>#REF!</v>
      </c>
      <c r="AL271" s="308" t="e">
        <f t="array" ref="AL271">_xlfn.XLOOKUP($B271,$B$11:$B$109,_xlfn.XLOOKUP(AL$219,$D$5:$AO$5,$D$11:$AO$109))</f>
        <v>#REF!</v>
      </c>
      <c r="AM271" s="308" t="e">
        <f t="array" ref="AM271">_xlfn.XLOOKUP($B271,$B$11:$B$109,_xlfn.XLOOKUP(AM$219,$D$5:$AO$5,$D$11:$AO$109))</f>
        <v>#REF!</v>
      </c>
      <c r="AN271" s="308" t="e">
        <f t="array" ref="AN271">_xlfn.XLOOKUP($B271,$B$11:$B$109,_xlfn.XLOOKUP(AN$219,$D$5:$AO$5,$D$11:$AO$109))</f>
        <v>#REF!</v>
      </c>
      <c r="AO271" s="308" t="e">
        <f t="array" ref="AO271">_xlfn.XLOOKUP($B271,$B$11:$B$109,_xlfn.XLOOKUP(AO$219,$D$5:$AO$5,$D$11:$AO$109))</f>
        <v>#REF!</v>
      </c>
    </row>
    <row r="272" spans="2:41" hidden="1" outlineLevel="1">
      <c r="C272" s="309" t="s">
        <v>1510</v>
      </c>
      <c r="D272" s="303" t="s">
        <v>88</v>
      </c>
      <c r="E272" s="303"/>
      <c r="F272" s="303"/>
      <c r="G272" s="310" t="s">
        <v>967</v>
      </c>
      <c r="H272" s="310" t="s">
        <v>967</v>
      </c>
      <c r="I272" s="310" t="e">
        <f t="shared" ref="I272:Z272" si="76">I271/G271-1</f>
        <v>#REF!</v>
      </c>
      <c r="J272" s="310" t="e">
        <f t="shared" si="76"/>
        <v>#REF!</v>
      </c>
      <c r="K272" s="310" t="e">
        <f t="shared" si="76"/>
        <v>#REF!</v>
      </c>
      <c r="L272" s="310" t="e">
        <f t="shared" si="76"/>
        <v>#REF!</v>
      </c>
      <c r="M272" s="310" t="e">
        <f t="shared" si="76"/>
        <v>#REF!</v>
      </c>
      <c r="N272" s="310" t="e">
        <f t="shared" si="76"/>
        <v>#REF!</v>
      </c>
      <c r="O272" s="310" t="e">
        <f t="shared" si="76"/>
        <v>#REF!</v>
      </c>
      <c r="P272" s="310" t="e">
        <f t="shared" si="76"/>
        <v>#REF!</v>
      </c>
      <c r="Q272" s="310" t="e">
        <f t="shared" si="76"/>
        <v>#REF!</v>
      </c>
      <c r="R272" s="310" t="e">
        <f t="shared" si="76"/>
        <v>#REF!</v>
      </c>
      <c r="S272" s="310" t="e">
        <f t="shared" si="76"/>
        <v>#REF!</v>
      </c>
      <c r="T272" s="310" t="e">
        <f t="shared" si="76"/>
        <v>#REF!</v>
      </c>
      <c r="U272" s="310" t="e">
        <f t="shared" si="76"/>
        <v>#REF!</v>
      </c>
      <c r="V272" s="310" t="e">
        <f t="shared" si="76"/>
        <v>#REF!</v>
      </c>
      <c r="W272" s="310" t="e">
        <f t="shared" si="76"/>
        <v>#REF!</v>
      </c>
      <c r="X272" s="310" t="e">
        <f t="shared" si="76"/>
        <v>#REF!</v>
      </c>
      <c r="Y272" s="310" t="e">
        <f t="shared" si="76"/>
        <v>#REF!</v>
      </c>
      <c r="Z272" s="310" t="e">
        <f t="shared" si="76"/>
        <v>#REF!</v>
      </c>
      <c r="AA272" s="311"/>
      <c r="AB272" s="309" t="str">
        <f t="shared" si="54"/>
        <v>- Growth</v>
      </c>
      <c r="AC272" s="303" t="str">
        <f t="shared" si="55"/>
        <v>%</v>
      </c>
      <c r="AD272" s="303"/>
      <c r="AE272" s="303"/>
      <c r="AF272" s="310" t="s">
        <v>967</v>
      </c>
      <c r="AG272" s="310" t="e">
        <f t="shared" ref="AG272:AO272" si="77">AG271/AF271-1</f>
        <v>#REF!</v>
      </c>
      <c r="AH272" s="310" t="e">
        <f t="shared" si="77"/>
        <v>#REF!</v>
      </c>
      <c r="AI272" s="310" t="e">
        <f t="shared" si="77"/>
        <v>#REF!</v>
      </c>
      <c r="AJ272" s="310" t="e">
        <f t="shared" si="77"/>
        <v>#REF!</v>
      </c>
      <c r="AK272" s="310" t="e">
        <f t="shared" si="77"/>
        <v>#REF!</v>
      </c>
      <c r="AL272" s="310" t="e">
        <f t="shared" si="77"/>
        <v>#REF!</v>
      </c>
      <c r="AM272" s="310" t="e">
        <f t="shared" si="77"/>
        <v>#REF!</v>
      </c>
      <c r="AN272" s="310" t="e">
        <f t="shared" si="77"/>
        <v>#REF!</v>
      </c>
      <c r="AO272" s="310" t="e">
        <f t="shared" si="77"/>
        <v>#REF!</v>
      </c>
    </row>
    <row r="273" spans="1:41" collapsed="1">
      <c r="C273" s="309" t="s">
        <v>1511</v>
      </c>
      <c r="D273" s="303" t="s">
        <v>88</v>
      </c>
      <c r="E273" s="303"/>
      <c r="F273" s="303"/>
      <c r="G273" s="310">
        <f t="shared" ref="G273:Z273" si="78">IFERROR(ROUND( G271 / G270,2) - 1, 0)</f>
        <v>0</v>
      </c>
      <c r="H273" s="310">
        <f t="shared" si="78"/>
        <v>0</v>
      </c>
      <c r="I273" s="310">
        <f t="shared" si="78"/>
        <v>0</v>
      </c>
      <c r="J273" s="310">
        <f t="shared" si="78"/>
        <v>0</v>
      </c>
      <c r="K273" s="310">
        <f t="shared" si="78"/>
        <v>0</v>
      </c>
      <c r="L273" s="310">
        <f t="shared" si="78"/>
        <v>0</v>
      </c>
      <c r="M273" s="310">
        <f t="shared" si="78"/>
        <v>0</v>
      </c>
      <c r="N273" s="310">
        <f t="shared" si="78"/>
        <v>0</v>
      </c>
      <c r="O273" s="310">
        <f t="shared" si="78"/>
        <v>0</v>
      </c>
      <c r="P273" s="310">
        <f t="shared" si="78"/>
        <v>0</v>
      </c>
      <c r="Q273" s="310">
        <f t="shared" si="78"/>
        <v>0</v>
      </c>
      <c r="R273" s="310">
        <f t="shared" si="78"/>
        <v>0</v>
      </c>
      <c r="S273" s="310">
        <f t="shared" si="78"/>
        <v>0</v>
      </c>
      <c r="T273" s="310">
        <f t="shared" si="78"/>
        <v>0</v>
      </c>
      <c r="U273" s="310">
        <f t="shared" si="78"/>
        <v>0</v>
      </c>
      <c r="V273" s="310">
        <f t="shared" si="78"/>
        <v>0</v>
      </c>
      <c r="W273" s="310">
        <f t="shared" si="78"/>
        <v>0</v>
      </c>
      <c r="X273" s="310">
        <f t="shared" si="78"/>
        <v>0</v>
      </c>
      <c r="Y273" s="310">
        <f t="shared" si="78"/>
        <v>0</v>
      </c>
      <c r="Z273" s="310">
        <f t="shared" si="78"/>
        <v>0</v>
      </c>
      <c r="AA273" s="310"/>
      <c r="AB273" s="309" t="str">
        <f t="shared" si="54"/>
        <v>- Revision</v>
      </c>
      <c r="AC273" s="303" t="str">
        <f t="shared" si="55"/>
        <v>%</v>
      </c>
      <c r="AD273" s="303"/>
      <c r="AE273" s="303"/>
      <c r="AF273" s="310">
        <f t="shared" ref="AF273:AO273" si="79">IFERROR(ROUND( AF271 / AF270,2) - 1, 0)</f>
        <v>0</v>
      </c>
      <c r="AG273" s="310">
        <f t="shared" si="79"/>
        <v>0</v>
      </c>
      <c r="AH273" s="310">
        <f t="shared" si="79"/>
        <v>0</v>
      </c>
      <c r="AI273" s="310">
        <f t="shared" si="79"/>
        <v>0</v>
      </c>
      <c r="AJ273" s="310">
        <f t="shared" si="79"/>
        <v>0</v>
      </c>
      <c r="AK273" s="310">
        <f t="shared" si="79"/>
        <v>0</v>
      </c>
      <c r="AL273" s="310">
        <f t="shared" si="79"/>
        <v>0</v>
      </c>
      <c r="AM273" s="310">
        <f t="shared" si="79"/>
        <v>0</v>
      </c>
      <c r="AN273" s="310">
        <f t="shared" si="79"/>
        <v>0</v>
      </c>
      <c r="AO273" s="310">
        <f t="shared" si="79"/>
        <v>0</v>
      </c>
    </row>
    <row r="274" spans="1:41">
      <c r="C274" s="309"/>
      <c r="D274" s="303"/>
      <c r="E274" s="303"/>
      <c r="F274" s="303"/>
      <c r="G274" s="310"/>
      <c r="H274" s="310"/>
      <c r="I274" s="310"/>
      <c r="J274" s="310"/>
      <c r="K274" s="310"/>
      <c r="L274" s="310"/>
      <c r="M274" s="310"/>
      <c r="N274" s="310"/>
      <c r="O274" s="310"/>
      <c r="P274" s="310"/>
      <c r="Q274" s="310"/>
      <c r="R274" s="310"/>
      <c r="S274" s="310"/>
      <c r="T274" s="310"/>
      <c r="U274" s="310"/>
      <c r="V274" s="310"/>
      <c r="W274" s="310"/>
      <c r="X274" s="310"/>
      <c r="Y274" s="310"/>
      <c r="Z274" s="310"/>
      <c r="AA274" s="310"/>
      <c r="AB274" s="309"/>
      <c r="AC274" s="303"/>
      <c r="AD274" s="303"/>
      <c r="AE274" s="303"/>
      <c r="AF274" s="310"/>
      <c r="AG274" s="310"/>
      <c r="AH274" s="310"/>
      <c r="AI274" s="310"/>
      <c r="AJ274" s="310"/>
      <c r="AK274" s="310"/>
      <c r="AL274" s="310"/>
      <c r="AM274" s="310"/>
      <c r="AN274" s="310"/>
      <c r="AO274" s="310"/>
    </row>
    <row r="275" spans="1:41">
      <c r="A275" t="s">
        <v>7</v>
      </c>
      <c r="C275" s="285" t="s">
        <v>1370</v>
      </c>
      <c r="D275" s="286"/>
      <c r="E275" s="286"/>
      <c r="F275" s="286"/>
      <c r="G275" s="286"/>
      <c r="H275" s="286"/>
      <c r="I275" s="286"/>
      <c r="J275" s="286"/>
      <c r="K275" s="286"/>
      <c r="L275" s="286"/>
      <c r="M275" s="286"/>
      <c r="N275" s="286"/>
      <c r="O275" s="286"/>
      <c r="P275" s="286"/>
      <c r="Q275" s="286"/>
      <c r="R275" s="287"/>
      <c r="S275" s="287"/>
      <c r="T275" s="287"/>
      <c r="U275" s="287"/>
      <c r="V275" s="287"/>
      <c r="W275" s="287"/>
      <c r="X275" s="287"/>
      <c r="Y275" s="287"/>
      <c r="Z275" s="287"/>
      <c r="AA275" s="287"/>
      <c r="AB275" s="287"/>
      <c r="AC275" s="287"/>
      <c r="AD275" s="286"/>
      <c r="AE275" s="286"/>
      <c r="AF275" s="287"/>
      <c r="AG275" s="288"/>
      <c r="AH275" s="287"/>
      <c r="AI275" s="289"/>
    </row>
    <row r="276" spans="1:41">
      <c r="C276" s="290"/>
      <c r="D276" s="286"/>
      <c r="E276" s="286"/>
      <c r="F276" s="286"/>
      <c r="G276" s="286"/>
      <c r="H276" s="286"/>
      <c r="I276" s="286"/>
      <c r="J276" s="286"/>
      <c r="K276" s="286"/>
      <c r="L276" s="286"/>
      <c r="M276" s="286"/>
      <c r="N276" s="286"/>
      <c r="O276" s="286"/>
      <c r="P276" s="286"/>
      <c r="Q276" s="286"/>
      <c r="R276" s="287"/>
      <c r="S276" s="287"/>
      <c r="T276" s="287"/>
      <c r="U276" s="287"/>
      <c r="V276" s="287"/>
      <c r="W276" s="287"/>
      <c r="X276" s="287"/>
      <c r="Y276" s="287"/>
      <c r="Z276" s="287"/>
      <c r="AA276" s="287"/>
      <c r="AB276" s="287"/>
      <c r="AC276" s="287"/>
      <c r="AD276" s="286"/>
      <c r="AE276" s="286"/>
      <c r="AF276" s="287"/>
      <c r="AG276" s="288"/>
      <c r="AH276" s="287"/>
      <c r="AI276" s="289"/>
    </row>
    <row r="277" spans="1:41">
      <c r="C277" s="291"/>
      <c r="D277" s="291" t="s">
        <v>1329</v>
      </c>
      <c r="E277" s="291"/>
      <c r="F277" s="291" t="str">
        <f t="shared" ref="F277:Z277" si="80">F$5</f>
        <v>VAL</v>
      </c>
      <c r="G277" s="292" t="str">
        <f t="shared" si="80"/>
        <v>1H21A</v>
      </c>
      <c r="H277" s="293" t="str">
        <f t="shared" si="80"/>
        <v>2H21A</v>
      </c>
      <c r="I277" s="292" t="str">
        <f t="shared" si="80"/>
        <v>1H22A</v>
      </c>
      <c r="J277" s="293" t="str">
        <f t="shared" si="80"/>
        <v>2H22A</v>
      </c>
      <c r="K277" s="292" t="str">
        <f t="shared" si="80"/>
        <v>1H23A</v>
      </c>
      <c r="L277" s="293" t="str">
        <f t="shared" si="80"/>
        <v>2H23A</v>
      </c>
      <c r="M277" s="292" t="str">
        <f t="shared" si="80"/>
        <v>1H24E</v>
      </c>
      <c r="N277" s="293" t="str">
        <f t="shared" si="80"/>
        <v>2H24E</v>
      </c>
      <c r="O277" s="292" t="str">
        <f t="shared" si="80"/>
        <v>1H25E</v>
      </c>
      <c r="P277" s="293" t="str">
        <f t="shared" si="80"/>
        <v>2H25E</v>
      </c>
      <c r="Q277" s="292" t="str">
        <f t="shared" si="80"/>
        <v>1H26E</v>
      </c>
      <c r="R277" s="293" t="str">
        <f t="shared" si="80"/>
        <v>2H26E</v>
      </c>
      <c r="S277" s="292" t="str">
        <f t="shared" si="80"/>
        <v>1H27E</v>
      </c>
      <c r="T277" s="293" t="str">
        <f t="shared" si="80"/>
        <v>2H27E</v>
      </c>
      <c r="U277" s="292" t="str">
        <f t="shared" si="80"/>
        <v>1H28E</v>
      </c>
      <c r="V277" s="293" t="str">
        <f t="shared" si="80"/>
        <v>2H28E</v>
      </c>
      <c r="W277" s="292" t="str">
        <f t="shared" si="80"/>
        <v>1H29E</v>
      </c>
      <c r="X277" s="293" t="str">
        <f t="shared" si="80"/>
        <v>2H29E</v>
      </c>
      <c r="Y277" s="292" t="str">
        <f t="shared" si="80"/>
        <v>1H30E</v>
      </c>
      <c r="Z277" s="293" t="str">
        <f t="shared" si="80"/>
        <v>2H30E</v>
      </c>
      <c r="AA277" s="294"/>
      <c r="AB277" s="291"/>
      <c r="AC277" s="291" t="s">
        <v>1329</v>
      </c>
      <c r="AD277" s="291"/>
      <c r="AE277" s="291" t="str">
        <f t="shared" ref="AE277:AO277" si="81">AE$5</f>
        <v>VAL</v>
      </c>
      <c r="AF277" s="295" t="str">
        <f t="shared" si="81"/>
        <v>FY21A</v>
      </c>
      <c r="AG277" s="295" t="str">
        <f t="shared" si="81"/>
        <v>FY22A</v>
      </c>
      <c r="AH277" s="295" t="str">
        <f t="shared" si="81"/>
        <v>FY23A</v>
      </c>
      <c r="AI277" s="295" t="str">
        <f t="shared" si="81"/>
        <v>FY24A</v>
      </c>
      <c r="AJ277" s="295" t="str">
        <f t="shared" si="81"/>
        <v>FY25A</v>
      </c>
      <c r="AK277" s="295" t="str">
        <f t="shared" si="81"/>
        <v>FY26A</v>
      </c>
      <c r="AL277" s="295" t="str">
        <f t="shared" si="81"/>
        <v>FY27A</v>
      </c>
      <c r="AM277" s="295" t="str">
        <f t="shared" si="81"/>
        <v>FY28A</v>
      </c>
      <c r="AN277" s="295" t="str">
        <f t="shared" si="81"/>
        <v>FY29A</v>
      </c>
      <c r="AO277" s="295" t="str">
        <f t="shared" si="81"/>
        <v>FY30A</v>
      </c>
    </row>
    <row r="278" spans="1:41">
      <c r="C278" s="296"/>
      <c r="D278" s="296"/>
      <c r="E278" s="296"/>
      <c r="F278" s="296"/>
      <c r="G278" s="297">
        <f t="shared" ref="G278:Z278" si="82">G$6</f>
        <v>44196</v>
      </c>
      <c r="H278" s="298">
        <f t="shared" si="82"/>
        <v>44377</v>
      </c>
      <c r="I278" s="297">
        <f t="shared" si="82"/>
        <v>44561</v>
      </c>
      <c r="J278" s="298">
        <f t="shared" si="82"/>
        <v>44742</v>
      </c>
      <c r="K278" s="297">
        <f t="shared" si="82"/>
        <v>44926</v>
      </c>
      <c r="L278" s="298">
        <f t="shared" si="82"/>
        <v>45107</v>
      </c>
      <c r="M278" s="297">
        <f t="shared" si="82"/>
        <v>45291</v>
      </c>
      <c r="N278" s="298">
        <f t="shared" si="82"/>
        <v>45473</v>
      </c>
      <c r="O278" s="297">
        <f t="shared" si="82"/>
        <v>45657</v>
      </c>
      <c r="P278" s="298">
        <f t="shared" si="82"/>
        <v>45838</v>
      </c>
      <c r="Q278" s="297">
        <f t="shared" si="82"/>
        <v>46022</v>
      </c>
      <c r="R278" s="298">
        <f t="shared" si="82"/>
        <v>46203</v>
      </c>
      <c r="S278" s="297">
        <f t="shared" si="82"/>
        <v>46387</v>
      </c>
      <c r="T278" s="298">
        <f t="shared" si="82"/>
        <v>46568</v>
      </c>
      <c r="U278" s="297">
        <f t="shared" si="82"/>
        <v>46752</v>
      </c>
      <c r="V278" s="298">
        <f t="shared" si="82"/>
        <v>46934</v>
      </c>
      <c r="W278" s="297">
        <f t="shared" si="82"/>
        <v>47118</v>
      </c>
      <c r="X278" s="298">
        <f t="shared" si="82"/>
        <v>47299</v>
      </c>
      <c r="Y278" s="297">
        <f t="shared" si="82"/>
        <v>47483</v>
      </c>
      <c r="Z278" s="296">
        <f t="shared" si="82"/>
        <v>47664</v>
      </c>
      <c r="AA278" s="299"/>
      <c r="AB278" s="296"/>
      <c r="AC278" s="296"/>
      <c r="AD278" s="296"/>
      <c r="AE278" s="296"/>
      <c r="AF278" s="300">
        <f t="shared" ref="AF278:AO278" si="83">AF$6</f>
        <v>44377</v>
      </c>
      <c r="AG278" s="300">
        <f t="shared" si="83"/>
        <v>44742</v>
      </c>
      <c r="AH278" s="300">
        <f t="shared" si="83"/>
        <v>45107</v>
      </c>
      <c r="AI278" s="300">
        <f t="shared" si="83"/>
        <v>45473</v>
      </c>
      <c r="AJ278" s="300">
        <f t="shared" si="83"/>
        <v>45838</v>
      </c>
      <c r="AK278" s="300">
        <f t="shared" si="83"/>
        <v>46203</v>
      </c>
      <c r="AL278" s="300">
        <f t="shared" si="83"/>
        <v>46568</v>
      </c>
      <c r="AM278" s="300">
        <f t="shared" si="83"/>
        <v>46934</v>
      </c>
      <c r="AN278" s="300">
        <f t="shared" si="83"/>
        <v>47299</v>
      </c>
      <c r="AO278" s="300">
        <f t="shared" si="83"/>
        <v>47664</v>
      </c>
    </row>
    <row r="279" spans="1:41">
      <c r="B279" s="301" t="s">
        <v>1442</v>
      </c>
      <c r="C279" s="302" t="s">
        <v>1508</v>
      </c>
      <c r="D279" s="303" t="str">
        <f t="array" ref="D279">_xlfn.XLOOKUP($B279,$B$114:$B$212,_xlfn.XLOOKUP(D$219,$D$5:$AO$5,$D$114:$AO$212))</f>
        <v>NZ$m</v>
      </c>
      <c r="E279" s="303"/>
      <c r="F279" s="303"/>
      <c r="G279" s="304" t="e">
        <f t="array" ref="G279">_xlfn.XLOOKUP($B279,$B$114:$B$212,_xlfn.XLOOKUP(G$219,$D$5:$AO$5,$D$114:$AO$212))</f>
        <v>#REF!</v>
      </c>
      <c r="H279" s="304" t="e">
        <f t="array" ref="H279">_xlfn.XLOOKUP($B279,$B$114:$B$212,_xlfn.XLOOKUP(H$219,$D$5:$AO$5,$D$114:$AO$212))</f>
        <v>#REF!</v>
      </c>
      <c r="I279" s="304" t="e">
        <f t="array" ref="I279">_xlfn.XLOOKUP($B279,$B$114:$B$212,_xlfn.XLOOKUP(I$219,$D$5:$AO$5,$D$114:$AO$212))</f>
        <v>#REF!</v>
      </c>
      <c r="J279" s="304" t="e">
        <f t="array" ref="J279">_xlfn.XLOOKUP($B279,$B$114:$B$212,_xlfn.XLOOKUP(J$219,$D$5:$AO$5,$D$114:$AO$212))</f>
        <v>#REF!</v>
      </c>
      <c r="K279" s="304" t="e">
        <f t="array" ref="K279">_xlfn.XLOOKUP($B279,$B$114:$B$212,_xlfn.XLOOKUP(K$219,$D$5:$AO$5,$D$114:$AO$212))</f>
        <v>#REF!</v>
      </c>
      <c r="L279" s="304" t="e">
        <f t="array" ref="L279">_xlfn.XLOOKUP($B279,$B$114:$B$212,_xlfn.XLOOKUP(L$219,$D$5:$AO$5,$D$114:$AO$212))</f>
        <v>#REF!</v>
      </c>
      <c r="M279" s="304" t="e">
        <f t="array" ref="M279">_xlfn.XLOOKUP($B279,$B$114:$B$212,_xlfn.XLOOKUP(M$219,$D$5:$AO$5,$D$114:$AO$212))</f>
        <v>#REF!</v>
      </c>
      <c r="N279" s="304" t="e">
        <f t="array" ref="N279">_xlfn.XLOOKUP($B279,$B$114:$B$212,_xlfn.XLOOKUP(N$219,$D$5:$AO$5,$D$114:$AO$212))</f>
        <v>#REF!</v>
      </c>
      <c r="O279" s="304" t="e">
        <f t="array" ref="O279">_xlfn.XLOOKUP($B279,$B$114:$B$212,_xlfn.XLOOKUP(O$219,$D$5:$AO$5,$D$114:$AO$212))</f>
        <v>#REF!</v>
      </c>
      <c r="P279" s="304" t="e">
        <f t="array" ref="P279">_xlfn.XLOOKUP($B279,$B$114:$B$212,_xlfn.XLOOKUP(P$219,$D$5:$AO$5,$D$114:$AO$212))</f>
        <v>#REF!</v>
      </c>
      <c r="Q279" s="304" t="e">
        <f t="array" ref="Q279">_xlfn.XLOOKUP($B279,$B$114:$B$212,_xlfn.XLOOKUP(Q$219,$D$5:$AO$5,$D$114:$AO$212))</f>
        <v>#REF!</v>
      </c>
      <c r="R279" s="304" t="e">
        <f t="array" ref="R279">_xlfn.XLOOKUP($B279,$B$114:$B$212,_xlfn.XLOOKUP(R$219,$D$5:$AO$5,$D$114:$AO$212))</f>
        <v>#REF!</v>
      </c>
      <c r="S279" s="304" t="e">
        <f t="array" ref="S279">_xlfn.XLOOKUP($B279,$B$114:$B$212,_xlfn.XLOOKUP(S$219,$D$5:$AO$5,$D$114:$AO$212))</f>
        <v>#REF!</v>
      </c>
      <c r="T279" s="304" t="e">
        <f t="array" ref="T279">_xlfn.XLOOKUP($B279,$B$114:$B$212,_xlfn.XLOOKUP(T$219,$D$5:$AO$5,$D$114:$AO$212))</f>
        <v>#REF!</v>
      </c>
      <c r="U279" s="304" t="e">
        <f t="array" ref="U279">_xlfn.XLOOKUP($B279,$B$114:$B$212,_xlfn.XLOOKUP(U$219,$D$5:$AO$5,$D$114:$AO$212))</f>
        <v>#REF!</v>
      </c>
      <c r="V279" s="304" t="e">
        <f t="array" ref="V279">_xlfn.XLOOKUP($B279,$B$114:$B$212,_xlfn.XLOOKUP(V$219,$D$5:$AO$5,$D$114:$AO$212))</f>
        <v>#REF!</v>
      </c>
      <c r="W279" s="304" t="e">
        <f t="array" ref="W279">_xlfn.XLOOKUP($B279,$B$114:$B$212,_xlfn.XLOOKUP(W$219,$D$5:$AO$5,$D$114:$AO$212))</f>
        <v>#REF!</v>
      </c>
      <c r="X279" s="304" t="e">
        <f t="array" ref="X279">_xlfn.XLOOKUP($B279,$B$114:$B$212,_xlfn.XLOOKUP(X$219,$D$5:$AO$5,$D$114:$AO$212))</f>
        <v>#REF!</v>
      </c>
      <c r="Y279" s="304" t="e">
        <f t="array" ref="Y279">_xlfn.XLOOKUP($B279,$B$114:$B$212,_xlfn.XLOOKUP(Y$219,$D$5:$AO$5,$D$114:$AO$212))</f>
        <v>#REF!</v>
      </c>
      <c r="Z279" s="304" t="e">
        <f t="array" ref="Z279">_xlfn.XLOOKUP($B279,$B$114:$B$212,_xlfn.XLOOKUP(Z$219,$D$5:$AO$5,$D$114:$AO$212))</f>
        <v>#REF!</v>
      </c>
      <c r="AA279" s="305"/>
      <c r="AB279" s="302" t="str">
        <f t="shared" ref="AB279:AB302" si="84">C279</f>
        <v>Slot Revenue - old</v>
      </c>
      <c r="AC279" s="303" t="str">
        <f t="shared" ref="AC279:AC302" si="85">D279</f>
        <v>NZ$m</v>
      </c>
      <c r="AD279" s="303"/>
      <c r="AE279" s="303"/>
      <c r="AF279" s="304" t="e">
        <f t="array" ref="AF279">_xlfn.XLOOKUP($B279,$B$114:$B$212,_xlfn.XLOOKUP(AF$219,$D$5:$AO$5,$D$114:$AO$212))</f>
        <v>#REF!</v>
      </c>
      <c r="AG279" s="304" t="e">
        <f t="array" ref="AG279">_xlfn.XLOOKUP($B279,$B$114:$B$212,_xlfn.XLOOKUP(AG$219,$D$5:$AO$5,$D$114:$AO$212))</f>
        <v>#REF!</v>
      </c>
      <c r="AH279" s="304" t="e">
        <f t="array" ref="AH279">_xlfn.XLOOKUP($B279,$B$114:$B$212,_xlfn.XLOOKUP(AH$219,$D$5:$AO$5,$D$114:$AO$212))</f>
        <v>#REF!</v>
      </c>
      <c r="AI279" s="304" t="e">
        <f t="array" ref="AI279">_xlfn.XLOOKUP($B279,$B$114:$B$212,_xlfn.XLOOKUP(AI$219,$D$5:$AO$5,$D$114:$AO$212))</f>
        <v>#REF!</v>
      </c>
      <c r="AJ279" s="304" t="e">
        <f t="array" ref="AJ279">_xlfn.XLOOKUP($B279,$B$114:$B$212,_xlfn.XLOOKUP(AJ$219,$D$5:$AO$5,$D$114:$AO$212))</f>
        <v>#REF!</v>
      </c>
      <c r="AK279" s="304" t="e">
        <f t="array" ref="AK279">_xlfn.XLOOKUP($B279,$B$114:$B$212,_xlfn.XLOOKUP(AK$219,$D$5:$AO$5,$D$114:$AO$212))</f>
        <v>#REF!</v>
      </c>
      <c r="AL279" s="304" t="e">
        <f t="array" ref="AL279">_xlfn.XLOOKUP($B279,$B$114:$B$212,_xlfn.XLOOKUP(AL$219,$D$5:$AO$5,$D$114:$AO$212))</f>
        <v>#REF!</v>
      </c>
      <c r="AM279" s="304" t="e">
        <f t="array" ref="AM279">_xlfn.XLOOKUP($B279,$B$114:$B$212,_xlfn.XLOOKUP(AM$219,$D$5:$AO$5,$D$114:$AO$212))</f>
        <v>#REF!</v>
      </c>
      <c r="AN279" s="304" t="e">
        <f t="array" ref="AN279">_xlfn.XLOOKUP($B279,$B$114:$B$212,_xlfn.XLOOKUP(AN$219,$D$5:$AO$5,$D$114:$AO$212))</f>
        <v>#REF!</v>
      </c>
      <c r="AO279" s="304" t="e">
        <f t="array" ref="AO279">_xlfn.XLOOKUP($B279,$B$114:$B$212,_xlfn.XLOOKUP(AO$219,$D$5:$AO$5,$D$114:$AO$212))</f>
        <v>#REF!</v>
      </c>
    </row>
    <row r="280" spans="1:41">
      <c r="B280" s="301" t="s">
        <v>1442</v>
      </c>
      <c r="C280" s="306" t="s">
        <v>1509</v>
      </c>
      <c r="D280" s="307" t="str">
        <f t="array" ref="D280">_xlfn.XLOOKUP($B280,$B$11:$B$109,_xlfn.XLOOKUP(D$219,$D$5:$AO$5,$D$11:$AO$109))</f>
        <v>NZ$m</v>
      </c>
      <c r="E280" s="307"/>
      <c r="F280" s="307"/>
      <c r="G280" s="308" t="e">
        <f t="array" ref="G280">_xlfn.XLOOKUP($B280,$B$11:$B$109,_xlfn.XLOOKUP(G$219,$D$5:$AO$5,$D$11:$AO$109))</f>
        <v>#REF!</v>
      </c>
      <c r="H280" s="308" t="e">
        <f t="array" ref="H280">_xlfn.XLOOKUP($B280,$B$11:$B$109,_xlfn.XLOOKUP(H$219,$D$5:$AO$5,$D$11:$AO$109))</f>
        <v>#REF!</v>
      </c>
      <c r="I280" s="308" t="e">
        <f t="array" ref="I280">_xlfn.XLOOKUP($B280,$B$11:$B$109,_xlfn.XLOOKUP(I$219,$D$5:$AO$5,$D$11:$AO$109))</f>
        <v>#REF!</v>
      </c>
      <c r="J280" s="308" t="e">
        <f t="array" ref="J280">_xlfn.XLOOKUP($B280,$B$11:$B$109,_xlfn.XLOOKUP(J$219,$D$5:$AO$5,$D$11:$AO$109))</f>
        <v>#REF!</v>
      </c>
      <c r="K280" s="308" t="e">
        <f t="array" ref="K280">_xlfn.XLOOKUP($B280,$B$11:$B$109,_xlfn.XLOOKUP(K$219,$D$5:$AO$5,$D$11:$AO$109))</f>
        <v>#REF!</v>
      </c>
      <c r="L280" s="308" t="e">
        <f t="array" ref="L280">_xlfn.XLOOKUP($B280,$B$11:$B$109,_xlfn.XLOOKUP(L$219,$D$5:$AO$5,$D$11:$AO$109))</f>
        <v>#REF!</v>
      </c>
      <c r="M280" s="308" t="e">
        <f t="array" ref="M280">_xlfn.XLOOKUP($B280,$B$11:$B$109,_xlfn.XLOOKUP(M$219,$D$5:$AO$5,$D$11:$AO$109))</f>
        <v>#REF!</v>
      </c>
      <c r="N280" s="308" t="e">
        <f t="array" ref="N280">_xlfn.XLOOKUP($B280,$B$11:$B$109,_xlfn.XLOOKUP(N$219,$D$5:$AO$5,$D$11:$AO$109))</f>
        <v>#REF!</v>
      </c>
      <c r="O280" s="308" t="e">
        <f t="array" ref="O280">_xlfn.XLOOKUP($B280,$B$11:$B$109,_xlfn.XLOOKUP(O$219,$D$5:$AO$5,$D$11:$AO$109))</f>
        <v>#REF!</v>
      </c>
      <c r="P280" s="308" t="e">
        <f t="array" ref="P280">_xlfn.XLOOKUP($B280,$B$11:$B$109,_xlfn.XLOOKUP(P$219,$D$5:$AO$5,$D$11:$AO$109))</f>
        <v>#REF!</v>
      </c>
      <c r="Q280" s="308" t="e">
        <f t="array" ref="Q280">_xlfn.XLOOKUP($B280,$B$11:$B$109,_xlfn.XLOOKUP(Q$219,$D$5:$AO$5,$D$11:$AO$109))</f>
        <v>#REF!</v>
      </c>
      <c r="R280" s="308" t="e">
        <f t="array" ref="R280">_xlfn.XLOOKUP($B280,$B$11:$B$109,_xlfn.XLOOKUP(R$219,$D$5:$AO$5,$D$11:$AO$109))</f>
        <v>#REF!</v>
      </c>
      <c r="S280" s="308" t="e">
        <f t="array" ref="S280">_xlfn.XLOOKUP($B280,$B$11:$B$109,_xlfn.XLOOKUP(S$219,$D$5:$AO$5,$D$11:$AO$109))</f>
        <v>#REF!</v>
      </c>
      <c r="T280" s="308" t="e">
        <f t="array" ref="T280">_xlfn.XLOOKUP($B280,$B$11:$B$109,_xlfn.XLOOKUP(T$219,$D$5:$AO$5,$D$11:$AO$109))</f>
        <v>#REF!</v>
      </c>
      <c r="U280" s="308" t="e">
        <f t="array" ref="U280">_xlfn.XLOOKUP($B280,$B$11:$B$109,_xlfn.XLOOKUP(U$219,$D$5:$AO$5,$D$11:$AO$109))</f>
        <v>#REF!</v>
      </c>
      <c r="V280" s="308" t="e">
        <f t="array" ref="V280">_xlfn.XLOOKUP($B280,$B$11:$B$109,_xlfn.XLOOKUP(V$219,$D$5:$AO$5,$D$11:$AO$109))</f>
        <v>#REF!</v>
      </c>
      <c r="W280" s="308" t="e">
        <f t="array" ref="W280">_xlfn.XLOOKUP($B280,$B$11:$B$109,_xlfn.XLOOKUP(W$219,$D$5:$AO$5,$D$11:$AO$109))</f>
        <v>#REF!</v>
      </c>
      <c r="X280" s="308" t="e">
        <f t="array" ref="X280">_xlfn.XLOOKUP($B280,$B$11:$B$109,_xlfn.XLOOKUP(X$219,$D$5:$AO$5,$D$11:$AO$109))</f>
        <v>#REF!</v>
      </c>
      <c r="Y280" s="308" t="e">
        <f t="array" ref="Y280">_xlfn.XLOOKUP($B280,$B$11:$B$109,_xlfn.XLOOKUP(Y$219,$D$5:$AO$5,$D$11:$AO$109))</f>
        <v>#REF!</v>
      </c>
      <c r="Z280" s="308" t="e">
        <f t="array" ref="Z280">_xlfn.XLOOKUP($B280,$B$11:$B$109,_xlfn.XLOOKUP(Z$219,$D$5:$AO$5,$D$11:$AO$109))</f>
        <v>#REF!</v>
      </c>
      <c r="AA280" s="308"/>
      <c r="AB280" s="306" t="str">
        <f t="shared" si="84"/>
        <v>Slot Revenue - New</v>
      </c>
      <c r="AC280" s="307" t="str">
        <f t="shared" si="85"/>
        <v>NZ$m</v>
      </c>
      <c r="AD280" s="307"/>
      <c r="AE280" s="307"/>
      <c r="AF280" s="308" t="e">
        <f t="array" ref="AF280">_xlfn.XLOOKUP($B280,$B$11:$B$109,_xlfn.XLOOKUP(AF$219,$D$5:$AO$5,$D$11:$AO$109))</f>
        <v>#REF!</v>
      </c>
      <c r="AG280" s="308" t="e">
        <f t="array" ref="AG280">_xlfn.XLOOKUP($B280,$B$11:$B$109,_xlfn.XLOOKUP(AG$219,$D$5:$AO$5,$D$11:$AO$109))</f>
        <v>#REF!</v>
      </c>
      <c r="AH280" s="308" t="e">
        <f t="array" ref="AH280">_xlfn.XLOOKUP($B280,$B$11:$B$109,_xlfn.XLOOKUP(AH$219,$D$5:$AO$5,$D$11:$AO$109))</f>
        <v>#REF!</v>
      </c>
      <c r="AI280" s="308" t="e">
        <f t="array" ref="AI280">_xlfn.XLOOKUP($B280,$B$11:$B$109,_xlfn.XLOOKUP(AI$219,$D$5:$AO$5,$D$11:$AO$109))</f>
        <v>#REF!</v>
      </c>
      <c r="AJ280" s="308" t="e">
        <f t="array" ref="AJ280">_xlfn.XLOOKUP($B280,$B$11:$B$109,_xlfn.XLOOKUP(AJ$219,$D$5:$AO$5,$D$11:$AO$109))</f>
        <v>#REF!</v>
      </c>
      <c r="AK280" s="308" t="e">
        <f t="array" ref="AK280">_xlfn.XLOOKUP($B280,$B$11:$B$109,_xlfn.XLOOKUP(AK$219,$D$5:$AO$5,$D$11:$AO$109))</f>
        <v>#REF!</v>
      </c>
      <c r="AL280" s="308" t="e">
        <f t="array" ref="AL280">_xlfn.XLOOKUP($B280,$B$11:$B$109,_xlfn.XLOOKUP(AL$219,$D$5:$AO$5,$D$11:$AO$109))</f>
        <v>#REF!</v>
      </c>
      <c r="AM280" s="308" t="e">
        <f t="array" ref="AM280">_xlfn.XLOOKUP($B280,$B$11:$B$109,_xlfn.XLOOKUP(AM$219,$D$5:$AO$5,$D$11:$AO$109))</f>
        <v>#REF!</v>
      </c>
      <c r="AN280" s="308" t="e">
        <f t="array" ref="AN280">_xlfn.XLOOKUP($B280,$B$11:$B$109,_xlfn.XLOOKUP(AN$219,$D$5:$AO$5,$D$11:$AO$109))</f>
        <v>#REF!</v>
      </c>
      <c r="AO280" s="308" t="e">
        <f t="array" ref="AO280">_xlfn.XLOOKUP($B280,$B$11:$B$109,_xlfn.XLOOKUP(AO$219,$D$5:$AO$5,$D$11:$AO$109))</f>
        <v>#REF!</v>
      </c>
    </row>
    <row r="281" spans="1:41" hidden="1" outlineLevel="1">
      <c r="C281" s="309" t="s">
        <v>1510</v>
      </c>
      <c r="D281" s="303" t="s">
        <v>88</v>
      </c>
      <c r="E281" s="303"/>
      <c r="F281" s="303"/>
      <c r="G281" s="310" t="s">
        <v>967</v>
      </c>
      <c r="H281" s="310" t="s">
        <v>967</v>
      </c>
      <c r="I281" s="310" t="e">
        <f t="shared" ref="I281:Z281" si="86">I280/G280-1</f>
        <v>#REF!</v>
      </c>
      <c r="J281" s="310" t="e">
        <f t="shared" si="86"/>
        <v>#REF!</v>
      </c>
      <c r="K281" s="310" t="e">
        <f t="shared" si="86"/>
        <v>#REF!</v>
      </c>
      <c r="L281" s="310" t="e">
        <f t="shared" si="86"/>
        <v>#REF!</v>
      </c>
      <c r="M281" s="310" t="e">
        <f t="shared" si="86"/>
        <v>#REF!</v>
      </c>
      <c r="N281" s="310" t="e">
        <f t="shared" si="86"/>
        <v>#REF!</v>
      </c>
      <c r="O281" s="310" t="e">
        <f t="shared" si="86"/>
        <v>#REF!</v>
      </c>
      <c r="P281" s="310" t="e">
        <f t="shared" si="86"/>
        <v>#REF!</v>
      </c>
      <c r="Q281" s="310" t="e">
        <f t="shared" si="86"/>
        <v>#REF!</v>
      </c>
      <c r="R281" s="310" t="e">
        <f t="shared" si="86"/>
        <v>#REF!</v>
      </c>
      <c r="S281" s="310" t="e">
        <f t="shared" si="86"/>
        <v>#REF!</v>
      </c>
      <c r="T281" s="310" t="e">
        <f t="shared" si="86"/>
        <v>#REF!</v>
      </c>
      <c r="U281" s="310" t="e">
        <f t="shared" si="86"/>
        <v>#REF!</v>
      </c>
      <c r="V281" s="310" t="e">
        <f t="shared" si="86"/>
        <v>#REF!</v>
      </c>
      <c r="W281" s="310" t="e">
        <f t="shared" si="86"/>
        <v>#REF!</v>
      </c>
      <c r="X281" s="310" t="e">
        <f t="shared" si="86"/>
        <v>#REF!</v>
      </c>
      <c r="Y281" s="310" t="e">
        <f t="shared" si="86"/>
        <v>#REF!</v>
      </c>
      <c r="Z281" s="310" t="e">
        <f t="shared" si="86"/>
        <v>#REF!</v>
      </c>
      <c r="AA281" s="311"/>
      <c r="AB281" s="309" t="str">
        <f t="shared" si="84"/>
        <v>- Growth</v>
      </c>
      <c r="AC281" s="303" t="str">
        <f t="shared" si="85"/>
        <v>%</v>
      </c>
      <c r="AD281" s="303"/>
      <c r="AE281" s="303"/>
      <c r="AF281" s="310" t="s">
        <v>967</v>
      </c>
      <c r="AG281" s="310" t="e">
        <f t="shared" ref="AG281:AO281" si="87">AG280/AF280-1</f>
        <v>#REF!</v>
      </c>
      <c r="AH281" s="310" t="e">
        <f t="shared" si="87"/>
        <v>#REF!</v>
      </c>
      <c r="AI281" s="310" t="e">
        <f t="shared" si="87"/>
        <v>#REF!</v>
      </c>
      <c r="AJ281" s="310" t="e">
        <f t="shared" si="87"/>
        <v>#REF!</v>
      </c>
      <c r="AK281" s="310" t="e">
        <f t="shared" si="87"/>
        <v>#REF!</v>
      </c>
      <c r="AL281" s="310" t="e">
        <f t="shared" si="87"/>
        <v>#REF!</v>
      </c>
      <c r="AM281" s="310" t="e">
        <f t="shared" si="87"/>
        <v>#REF!</v>
      </c>
      <c r="AN281" s="310" t="e">
        <f t="shared" si="87"/>
        <v>#REF!</v>
      </c>
      <c r="AO281" s="310" t="e">
        <f t="shared" si="87"/>
        <v>#REF!</v>
      </c>
    </row>
    <row r="282" spans="1:41" collapsed="1">
      <c r="C282" s="309" t="s">
        <v>1511</v>
      </c>
      <c r="D282" s="303" t="s">
        <v>88</v>
      </c>
      <c r="E282" s="303"/>
      <c r="F282" s="303"/>
      <c r="G282" s="310">
        <f t="shared" ref="G282:Z282" si="88">IFERROR(ROUND( G280 / G279,2) - 1, 0)</f>
        <v>0</v>
      </c>
      <c r="H282" s="310">
        <f t="shared" si="88"/>
        <v>0</v>
      </c>
      <c r="I282" s="310">
        <f t="shared" si="88"/>
        <v>0</v>
      </c>
      <c r="J282" s="310">
        <f t="shared" si="88"/>
        <v>0</v>
      </c>
      <c r="K282" s="310">
        <f t="shared" si="88"/>
        <v>0</v>
      </c>
      <c r="L282" s="310">
        <f t="shared" si="88"/>
        <v>0</v>
      </c>
      <c r="M282" s="310">
        <f t="shared" si="88"/>
        <v>0</v>
      </c>
      <c r="N282" s="310">
        <f t="shared" si="88"/>
        <v>0</v>
      </c>
      <c r="O282" s="310">
        <f t="shared" si="88"/>
        <v>0</v>
      </c>
      <c r="P282" s="310">
        <f t="shared" si="88"/>
        <v>0</v>
      </c>
      <c r="Q282" s="310">
        <f t="shared" si="88"/>
        <v>0</v>
      </c>
      <c r="R282" s="310">
        <f t="shared" si="88"/>
        <v>0</v>
      </c>
      <c r="S282" s="310">
        <f t="shared" si="88"/>
        <v>0</v>
      </c>
      <c r="T282" s="310">
        <f t="shared" si="88"/>
        <v>0</v>
      </c>
      <c r="U282" s="310">
        <f t="shared" si="88"/>
        <v>0</v>
      </c>
      <c r="V282" s="310">
        <f t="shared" si="88"/>
        <v>0</v>
      </c>
      <c r="W282" s="310">
        <f t="shared" si="88"/>
        <v>0</v>
      </c>
      <c r="X282" s="310">
        <f t="shared" si="88"/>
        <v>0</v>
      </c>
      <c r="Y282" s="310">
        <f t="shared" si="88"/>
        <v>0</v>
      </c>
      <c r="Z282" s="310">
        <f t="shared" si="88"/>
        <v>0</v>
      </c>
      <c r="AA282" s="310"/>
      <c r="AB282" s="309" t="str">
        <f t="shared" si="84"/>
        <v>- Revision</v>
      </c>
      <c r="AC282" s="303" t="str">
        <f t="shared" si="85"/>
        <v>%</v>
      </c>
      <c r="AD282" s="303"/>
      <c r="AE282" s="303"/>
      <c r="AF282" s="310">
        <f t="shared" ref="AF282:AO282" si="89">IFERROR(ROUND( AF280 / AF279,2) - 1, 0)</f>
        <v>0</v>
      </c>
      <c r="AG282" s="310">
        <f t="shared" si="89"/>
        <v>0</v>
      </c>
      <c r="AH282" s="310">
        <f t="shared" si="89"/>
        <v>0</v>
      </c>
      <c r="AI282" s="310">
        <f t="shared" si="89"/>
        <v>0</v>
      </c>
      <c r="AJ282" s="310">
        <f t="shared" si="89"/>
        <v>0</v>
      </c>
      <c r="AK282" s="310">
        <f t="shared" si="89"/>
        <v>0</v>
      </c>
      <c r="AL282" s="310">
        <f t="shared" si="89"/>
        <v>0</v>
      </c>
      <c r="AM282" s="310">
        <f t="shared" si="89"/>
        <v>0</v>
      </c>
      <c r="AN282" s="310">
        <f t="shared" si="89"/>
        <v>0</v>
      </c>
      <c r="AO282" s="310">
        <f t="shared" si="89"/>
        <v>0</v>
      </c>
    </row>
    <row r="283" spans="1:41">
      <c r="B283" s="301" t="s">
        <v>1443</v>
      </c>
      <c r="C283" s="302" t="s">
        <v>1512</v>
      </c>
      <c r="D283" s="303" t="str">
        <f t="array" ref="D283">_xlfn.XLOOKUP($B283,$B$114:$B$212,_xlfn.XLOOKUP(D$219,$D$5:$AO$5,$D$114:$AO$212))</f>
        <v>NZ$m</v>
      </c>
      <c r="E283" s="303"/>
      <c r="F283" s="303"/>
      <c r="G283" s="304" t="e">
        <f t="array" ref="G283">_xlfn.XLOOKUP($B283,$B$114:$B$212,_xlfn.XLOOKUP(G$219,$D$5:$AO$5,$D$114:$AO$212))</f>
        <v>#REF!</v>
      </c>
      <c r="H283" s="304" t="e">
        <f t="array" ref="H283">_xlfn.XLOOKUP($B283,$B$114:$B$212,_xlfn.XLOOKUP(H$219,$D$5:$AO$5,$D$114:$AO$212))</f>
        <v>#REF!</v>
      </c>
      <c r="I283" s="304" t="e">
        <f t="array" ref="I283">_xlfn.XLOOKUP($B283,$B$114:$B$212,_xlfn.XLOOKUP(I$219,$D$5:$AO$5,$D$114:$AO$212))</f>
        <v>#REF!</v>
      </c>
      <c r="J283" s="304" t="e">
        <f t="array" ref="J283">_xlfn.XLOOKUP($B283,$B$114:$B$212,_xlfn.XLOOKUP(J$219,$D$5:$AO$5,$D$114:$AO$212))</f>
        <v>#REF!</v>
      </c>
      <c r="K283" s="304" t="e">
        <f t="array" ref="K283">_xlfn.XLOOKUP($B283,$B$114:$B$212,_xlfn.XLOOKUP(K$219,$D$5:$AO$5,$D$114:$AO$212))</f>
        <v>#REF!</v>
      </c>
      <c r="L283" s="304" t="e">
        <f t="array" ref="L283">_xlfn.XLOOKUP($B283,$B$114:$B$212,_xlfn.XLOOKUP(L$219,$D$5:$AO$5,$D$114:$AO$212))</f>
        <v>#REF!</v>
      </c>
      <c r="M283" s="304" t="e">
        <f t="array" ref="M283">_xlfn.XLOOKUP($B283,$B$114:$B$212,_xlfn.XLOOKUP(M$219,$D$5:$AO$5,$D$114:$AO$212))</f>
        <v>#REF!</v>
      </c>
      <c r="N283" s="304" t="e">
        <f t="array" ref="N283">_xlfn.XLOOKUP($B283,$B$114:$B$212,_xlfn.XLOOKUP(N$219,$D$5:$AO$5,$D$114:$AO$212))</f>
        <v>#REF!</v>
      </c>
      <c r="O283" s="304" t="e">
        <f t="array" ref="O283">_xlfn.XLOOKUP($B283,$B$114:$B$212,_xlfn.XLOOKUP(O$219,$D$5:$AO$5,$D$114:$AO$212))</f>
        <v>#REF!</v>
      </c>
      <c r="P283" s="304" t="e">
        <f t="array" ref="P283">_xlfn.XLOOKUP($B283,$B$114:$B$212,_xlfn.XLOOKUP(P$219,$D$5:$AO$5,$D$114:$AO$212))</f>
        <v>#REF!</v>
      </c>
      <c r="Q283" s="304" t="e">
        <f t="array" ref="Q283">_xlfn.XLOOKUP($B283,$B$114:$B$212,_xlfn.XLOOKUP(Q$219,$D$5:$AO$5,$D$114:$AO$212))</f>
        <v>#REF!</v>
      </c>
      <c r="R283" s="304" t="e">
        <f t="array" ref="R283">_xlfn.XLOOKUP($B283,$B$114:$B$212,_xlfn.XLOOKUP(R$219,$D$5:$AO$5,$D$114:$AO$212))</f>
        <v>#REF!</v>
      </c>
      <c r="S283" s="304" t="e">
        <f t="array" ref="S283">_xlfn.XLOOKUP($B283,$B$114:$B$212,_xlfn.XLOOKUP(S$219,$D$5:$AO$5,$D$114:$AO$212))</f>
        <v>#REF!</v>
      </c>
      <c r="T283" s="304" t="e">
        <f t="array" ref="T283">_xlfn.XLOOKUP($B283,$B$114:$B$212,_xlfn.XLOOKUP(T$219,$D$5:$AO$5,$D$114:$AO$212))</f>
        <v>#REF!</v>
      </c>
      <c r="U283" s="304" t="e">
        <f t="array" ref="U283">_xlfn.XLOOKUP($B283,$B$114:$B$212,_xlfn.XLOOKUP(U$219,$D$5:$AO$5,$D$114:$AO$212))</f>
        <v>#REF!</v>
      </c>
      <c r="V283" s="304" t="e">
        <f t="array" ref="V283">_xlfn.XLOOKUP($B283,$B$114:$B$212,_xlfn.XLOOKUP(V$219,$D$5:$AO$5,$D$114:$AO$212))</f>
        <v>#REF!</v>
      </c>
      <c r="W283" s="304" t="e">
        <f t="array" ref="W283">_xlfn.XLOOKUP($B283,$B$114:$B$212,_xlfn.XLOOKUP(W$219,$D$5:$AO$5,$D$114:$AO$212))</f>
        <v>#REF!</v>
      </c>
      <c r="X283" s="304" t="e">
        <f t="array" ref="X283">_xlfn.XLOOKUP($B283,$B$114:$B$212,_xlfn.XLOOKUP(X$219,$D$5:$AO$5,$D$114:$AO$212))</f>
        <v>#REF!</v>
      </c>
      <c r="Y283" s="304" t="e">
        <f t="array" ref="Y283">_xlfn.XLOOKUP($B283,$B$114:$B$212,_xlfn.XLOOKUP(Y$219,$D$5:$AO$5,$D$114:$AO$212))</f>
        <v>#REF!</v>
      </c>
      <c r="Z283" s="304" t="e">
        <f t="array" ref="Z283">_xlfn.XLOOKUP($B283,$B$114:$B$212,_xlfn.XLOOKUP(Z$219,$D$5:$AO$5,$D$114:$AO$212))</f>
        <v>#REF!</v>
      </c>
      <c r="AA283" s="305"/>
      <c r="AB283" s="302" t="str">
        <f t="shared" si="84"/>
        <v>Tables Revenue - old</v>
      </c>
      <c r="AC283" s="303" t="str">
        <f t="shared" si="85"/>
        <v>NZ$m</v>
      </c>
      <c r="AD283" s="303"/>
      <c r="AE283" s="303"/>
      <c r="AF283" s="304" t="e">
        <f t="array" ref="AF283">_xlfn.XLOOKUP($B283,$B$114:$B$212,_xlfn.XLOOKUP(AF$219,$D$5:$AO$5,$D$114:$AO$212))</f>
        <v>#REF!</v>
      </c>
      <c r="AG283" s="304" t="e">
        <f t="array" ref="AG283">_xlfn.XLOOKUP($B283,$B$114:$B$212,_xlfn.XLOOKUP(AG$219,$D$5:$AO$5,$D$114:$AO$212))</f>
        <v>#REF!</v>
      </c>
      <c r="AH283" s="304" t="e">
        <f t="array" ref="AH283">_xlfn.XLOOKUP($B283,$B$114:$B$212,_xlfn.XLOOKUP(AH$219,$D$5:$AO$5,$D$114:$AO$212))</f>
        <v>#REF!</v>
      </c>
      <c r="AI283" s="304" t="e">
        <f t="array" ref="AI283">_xlfn.XLOOKUP($B283,$B$114:$B$212,_xlfn.XLOOKUP(AI$219,$D$5:$AO$5,$D$114:$AO$212))</f>
        <v>#REF!</v>
      </c>
      <c r="AJ283" s="304" t="e">
        <f t="array" ref="AJ283">_xlfn.XLOOKUP($B283,$B$114:$B$212,_xlfn.XLOOKUP(AJ$219,$D$5:$AO$5,$D$114:$AO$212))</f>
        <v>#REF!</v>
      </c>
      <c r="AK283" s="304" t="e">
        <f t="array" ref="AK283">_xlfn.XLOOKUP($B283,$B$114:$B$212,_xlfn.XLOOKUP(AK$219,$D$5:$AO$5,$D$114:$AO$212))</f>
        <v>#REF!</v>
      </c>
      <c r="AL283" s="304" t="e">
        <f t="array" ref="AL283">_xlfn.XLOOKUP($B283,$B$114:$B$212,_xlfn.XLOOKUP(AL$219,$D$5:$AO$5,$D$114:$AO$212))</f>
        <v>#REF!</v>
      </c>
      <c r="AM283" s="304" t="e">
        <f t="array" ref="AM283">_xlfn.XLOOKUP($B283,$B$114:$B$212,_xlfn.XLOOKUP(AM$219,$D$5:$AO$5,$D$114:$AO$212))</f>
        <v>#REF!</v>
      </c>
      <c r="AN283" s="304" t="e">
        <f t="array" ref="AN283">_xlfn.XLOOKUP($B283,$B$114:$B$212,_xlfn.XLOOKUP(AN$219,$D$5:$AO$5,$D$114:$AO$212))</f>
        <v>#REF!</v>
      </c>
      <c r="AO283" s="304" t="e">
        <f t="array" ref="AO283">_xlfn.XLOOKUP($B283,$B$114:$B$212,_xlfn.XLOOKUP(AO$219,$D$5:$AO$5,$D$114:$AO$212))</f>
        <v>#REF!</v>
      </c>
    </row>
    <row r="284" spans="1:41">
      <c r="B284" s="301" t="s">
        <v>1443</v>
      </c>
      <c r="C284" s="306" t="s">
        <v>1513</v>
      </c>
      <c r="D284" s="307" t="str">
        <f t="array" ref="D284">_xlfn.XLOOKUP($B284,$B$11:$B$109,_xlfn.XLOOKUP(D$219,$D$5:$AO$5,$D$11:$AO$109))</f>
        <v>NZ$m</v>
      </c>
      <c r="E284" s="307"/>
      <c r="F284" s="307"/>
      <c r="G284" s="308" t="e">
        <f t="array" ref="G284">_xlfn.XLOOKUP($B284,$B$11:$B$109,_xlfn.XLOOKUP(G$219,$D$5:$AO$5,$D$11:$AO$109))</f>
        <v>#REF!</v>
      </c>
      <c r="H284" s="308" t="e">
        <f t="array" ref="H284">_xlfn.XLOOKUP($B284,$B$11:$B$109,_xlfn.XLOOKUP(H$219,$D$5:$AO$5,$D$11:$AO$109))</f>
        <v>#REF!</v>
      </c>
      <c r="I284" s="308" t="e">
        <f t="array" ref="I284">_xlfn.XLOOKUP($B284,$B$11:$B$109,_xlfn.XLOOKUP(I$219,$D$5:$AO$5,$D$11:$AO$109))</f>
        <v>#REF!</v>
      </c>
      <c r="J284" s="308" t="e">
        <f t="array" ref="J284">_xlfn.XLOOKUP($B284,$B$11:$B$109,_xlfn.XLOOKUP(J$219,$D$5:$AO$5,$D$11:$AO$109))</f>
        <v>#REF!</v>
      </c>
      <c r="K284" s="308" t="e">
        <f t="array" ref="K284">_xlfn.XLOOKUP($B284,$B$11:$B$109,_xlfn.XLOOKUP(K$219,$D$5:$AO$5,$D$11:$AO$109))</f>
        <v>#REF!</v>
      </c>
      <c r="L284" s="308" t="e">
        <f t="array" ref="L284">_xlfn.XLOOKUP($B284,$B$11:$B$109,_xlfn.XLOOKUP(L$219,$D$5:$AO$5,$D$11:$AO$109))</f>
        <v>#REF!</v>
      </c>
      <c r="M284" s="308" t="e">
        <f t="array" ref="M284">_xlfn.XLOOKUP($B284,$B$11:$B$109,_xlfn.XLOOKUP(M$219,$D$5:$AO$5,$D$11:$AO$109))</f>
        <v>#REF!</v>
      </c>
      <c r="N284" s="308" t="e">
        <f t="array" ref="N284">_xlfn.XLOOKUP($B284,$B$11:$B$109,_xlfn.XLOOKUP(N$219,$D$5:$AO$5,$D$11:$AO$109))</f>
        <v>#REF!</v>
      </c>
      <c r="O284" s="308" t="e">
        <f t="array" ref="O284">_xlfn.XLOOKUP($B284,$B$11:$B$109,_xlfn.XLOOKUP(O$219,$D$5:$AO$5,$D$11:$AO$109))</f>
        <v>#REF!</v>
      </c>
      <c r="P284" s="308" t="e">
        <f t="array" ref="P284">_xlfn.XLOOKUP($B284,$B$11:$B$109,_xlfn.XLOOKUP(P$219,$D$5:$AO$5,$D$11:$AO$109))</f>
        <v>#REF!</v>
      </c>
      <c r="Q284" s="308" t="e">
        <f t="array" ref="Q284">_xlfn.XLOOKUP($B284,$B$11:$B$109,_xlfn.XLOOKUP(Q$219,$D$5:$AO$5,$D$11:$AO$109))</f>
        <v>#REF!</v>
      </c>
      <c r="R284" s="308" t="e">
        <f t="array" ref="R284">_xlfn.XLOOKUP($B284,$B$11:$B$109,_xlfn.XLOOKUP(R$219,$D$5:$AO$5,$D$11:$AO$109))</f>
        <v>#REF!</v>
      </c>
      <c r="S284" s="308" t="e">
        <f t="array" ref="S284">_xlfn.XLOOKUP($B284,$B$11:$B$109,_xlfn.XLOOKUP(S$219,$D$5:$AO$5,$D$11:$AO$109))</f>
        <v>#REF!</v>
      </c>
      <c r="T284" s="308" t="e">
        <f t="array" ref="T284">_xlfn.XLOOKUP($B284,$B$11:$B$109,_xlfn.XLOOKUP(T$219,$D$5:$AO$5,$D$11:$AO$109))</f>
        <v>#REF!</v>
      </c>
      <c r="U284" s="308" t="e">
        <f t="array" ref="U284">_xlfn.XLOOKUP($B284,$B$11:$B$109,_xlfn.XLOOKUP(U$219,$D$5:$AO$5,$D$11:$AO$109))</f>
        <v>#REF!</v>
      </c>
      <c r="V284" s="308" t="e">
        <f t="array" ref="V284">_xlfn.XLOOKUP($B284,$B$11:$B$109,_xlfn.XLOOKUP(V$219,$D$5:$AO$5,$D$11:$AO$109))</f>
        <v>#REF!</v>
      </c>
      <c r="W284" s="308" t="e">
        <f t="array" ref="W284">_xlfn.XLOOKUP($B284,$B$11:$B$109,_xlfn.XLOOKUP(W$219,$D$5:$AO$5,$D$11:$AO$109))</f>
        <v>#REF!</v>
      </c>
      <c r="X284" s="308" t="e">
        <f t="array" ref="X284">_xlfn.XLOOKUP($B284,$B$11:$B$109,_xlfn.XLOOKUP(X$219,$D$5:$AO$5,$D$11:$AO$109))</f>
        <v>#REF!</v>
      </c>
      <c r="Y284" s="308" t="e">
        <f t="array" ref="Y284">_xlfn.XLOOKUP($B284,$B$11:$B$109,_xlfn.XLOOKUP(Y$219,$D$5:$AO$5,$D$11:$AO$109))</f>
        <v>#REF!</v>
      </c>
      <c r="Z284" s="308" t="e">
        <f t="array" ref="Z284">_xlfn.XLOOKUP($B284,$B$11:$B$109,_xlfn.XLOOKUP(Z$219,$D$5:$AO$5,$D$11:$AO$109))</f>
        <v>#REF!</v>
      </c>
      <c r="AA284" s="308"/>
      <c r="AB284" s="306" t="str">
        <f t="shared" si="84"/>
        <v>Tables Revenue - New</v>
      </c>
      <c r="AC284" s="307" t="str">
        <f t="shared" si="85"/>
        <v>NZ$m</v>
      </c>
      <c r="AD284" s="307"/>
      <c r="AE284" s="307"/>
      <c r="AF284" s="308" t="e">
        <f t="array" ref="AF284">_xlfn.XLOOKUP($B284,$B$11:$B$109,_xlfn.XLOOKUP(AF$219,$D$5:$AO$5,$D$11:$AO$109))</f>
        <v>#REF!</v>
      </c>
      <c r="AG284" s="308" t="e">
        <f t="array" ref="AG284">_xlfn.XLOOKUP($B284,$B$11:$B$109,_xlfn.XLOOKUP(AG$219,$D$5:$AO$5,$D$11:$AO$109))</f>
        <v>#REF!</v>
      </c>
      <c r="AH284" s="308" t="e">
        <f t="array" ref="AH284">_xlfn.XLOOKUP($B284,$B$11:$B$109,_xlfn.XLOOKUP(AH$219,$D$5:$AO$5,$D$11:$AO$109))</f>
        <v>#REF!</v>
      </c>
      <c r="AI284" s="308" t="e">
        <f t="array" ref="AI284">_xlfn.XLOOKUP($B284,$B$11:$B$109,_xlfn.XLOOKUP(AI$219,$D$5:$AO$5,$D$11:$AO$109))</f>
        <v>#REF!</v>
      </c>
      <c r="AJ284" s="308" t="e">
        <f t="array" ref="AJ284">_xlfn.XLOOKUP($B284,$B$11:$B$109,_xlfn.XLOOKUP(AJ$219,$D$5:$AO$5,$D$11:$AO$109))</f>
        <v>#REF!</v>
      </c>
      <c r="AK284" s="308" t="e">
        <f t="array" ref="AK284">_xlfn.XLOOKUP($B284,$B$11:$B$109,_xlfn.XLOOKUP(AK$219,$D$5:$AO$5,$D$11:$AO$109))</f>
        <v>#REF!</v>
      </c>
      <c r="AL284" s="308" t="e">
        <f t="array" ref="AL284">_xlfn.XLOOKUP($B284,$B$11:$B$109,_xlfn.XLOOKUP(AL$219,$D$5:$AO$5,$D$11:$AO$109))</f>
        <v>#REF!</v>
      </c>
      <c r="AM284" s="308" t="e">
        <f t="array" ref="AM284">_xlfn.XLOOKUP($B284,$B$11:$B$109,_xlfn.XLOOKUP(AM$219,$D$5:$AO$5,$D$11:$AO$109))</f>
        <v>#REF!</v>
      </c>
      <c r="AN284" s="308" t="e">
        <f t="array" ref="AN284">_xlfn.XLOOKUP($B284,$B$11:$B$109,_xlfn.XLOOKUP(AN$219,$D$5:$AO$5,$D$11:$AO$109))</f>
        <v>#REF!</v>
      </c>
      <c r="AO284" s="308" t="e">
        <f t="array" ref="AO284">_xlfn.XLOOKUP($B284,$B$11:$B$109,_xlfn.XLOOKUP(AO$219,$D$5:$AO$5,$D$11:$AO$109))</f>
        <v>#REF!</v>
      </c>
    </row>
    <row r="285" spans="1:41" hidden="1" outlineLevel="1">
      <c r="C285" s="309" t="s">
        <v>1510</v>
      </c>
      <c r="D285" s="303" t="s">
        <v>88</v>
      </c>
      <c r="E285" s="303"/>
      <c r="F285" s="303"/>
      <c r="G285" s="310" t="s">
        <v>967</v>
      </c>
      <c r="H285" s="310" t="s">
        <v>967</v>
      </c>
      <c r="I285" s="310" t="e">
        <f t="shared" ref="I285:Z285" si="90">I284/G284-1</f>
        <v>#REF!</v>
      </c>
      <c r="J285" s="310" t="e">
        <f t="shared" si="90"/>
        <v>#REF!</v>
      </c>
      <c r="K285" s="310" t="e">
        <f t="shared" si="90"/>
        <v>#REF!</v>
      </c>
      <c r="L285" s="310" t="e">
        <f t="shared" si="90"/>
        <v>#REF!</v>
      </c>
      <c r="M285" s="310" t="e">
        <f t="shared" si="90"/>
        <v>#REF!</v>
      </c>
      <c r="N285" s="310" t="e">
        <f t="shared" si="90"/>
        <v>#REF!</v>
      </c>
      <c r="O285" s="310" t="e">
        <f t="shared" si="90"/>
        <v>#REF!</v>
      </c>
      <c r="P285" s="310" t="e">
        <f t="shared" si="90"/>
        <v>#REF!</v>
      </c>
      <c r="Q285" s="310" t="e">
        <f t="shared" si="90"/>
        <v>#REF!</v>
      </c>
      <c r="R285" s="310" t="e">
        <f t="shared" si="90"/>
        <v>#REF!</v>
      </c>
      <c r="S285" s="310" t="e">
        <f t="shared" si="90"/>
        <v>#REF!</v>
      </c>
      <c r="T285" s="310" t="e">
        <f t="shared" si="90"/>
        <v>#REF!</v>
      </c>
      <c r="U285" s="310" t="e">
        <f t="shared" si="90"/>
        <v>#REF!</v>
      </c>
      <c r="V285" s="310" t="e">
        <f t="shared" si="90"/>
        <v>#REF!</v>
      </c>
      <c r="W285" s="310" t="e">
        <f t="shared" si="90"/>
        <v>#REF!</v>
      </c>
      <c r="X285" s="310" t="e">
        <f t="shared" si="90"/>
        <v>#REF!</v>
      </c>
      <c r="Y285" s="310" t="e">
        <f t="shared" si="90"/>
        <v>#REF!</v>
      </c>
      <c r="Z285" s="310" t="e">
        <f t="shared" si="90"/>
        <v>#REF!</v>
      </c>
      <c r="AA285" s="311"/>
      <c r="AB285" s="309" t="str">
        <f t="shared" si="84"/>
        <v>- Growth</v>
      </c>
      <c r="AC285" s="303" t="str">
        <f t="shared" si="85"/>
        <v>%</v>
      </c>
      <c r="AD285" s="303"/>
      <c r="AE285" s="303"/>
      <c r="AF285" s="310" t="s">
        <v>967</v>
      </c>
      <c r="AG285" s="310" t="e">
        <f t="shared" ref="AG285:AO285" si="91">AG284/AF284-1</f>
        <v>#REF!</v>
      </c>
      <c r="AH285" s="310" t="e">
        <f t="shared" si="91"/>
        <v>#REF!</v>
      </c>
      <c r="AI285" s="310" t="e">
        <f t="shared" si="91"/>
        <v>#REF!</v>
      </c>
      <c r="AJ285" s="310" t="e">
        <f t="shared" si="91"/>
        <v>#REF!</v>
      </c>
      <c r="AK285" s="310" t="e">
        <f t="shared" si="91"/>
        <v>#REF!</v>
      </c>
      <c r="AL285" s="310" t="e">
        <f t="shared" si="91"/>
        <v>#REF!</v>
      </c>
      <c r="AM285" s="310" t="e">
        <f t="shared" si="91"/>
        <v>#REF!</v>
      </c>
      <c r="AN285" s="310" t="e">
        <f t="shared" si="91"/>
        <v>#REF!</v>
      </c>
      <c r="AO285" s="310" t="e">
        <f t="shared" si="91"/>
        <v>#REF!</v>
      </c>
    </row>
    <row r="286" spans="1:41" collapsed="1">
      <c r="C286" s="309" t="s">
        <v>1511</v>
      </c>
      <c r="D286" s="303" t="s">
        <v>88</v>
      </c>
      <c r="E286" s="303"/>
      <c r="F286" s="303"/>
      <c r="G286" s="310">
        <f t="shared" ref="G286:Z286" si="92">IFERROR(ROUND( G284 / G283,2) - 1, 0)</f>
        <v>0</v>
      </c>
      <c r="H286" s="310">
        <f t="shared" si="92"/>
        <v>0</v>
      </c>
      <c r="I286" s="310">
        <f t="shared" si="92"/>
        <v>0</v>
      </c>
      <c r="J286" s="310">
        <f t="shared" si="92"/>
        <v>0</v>
      </c>
      <c r="K286" s="310">
        <f t="shared" si="92"/>
        <v>0</v>
      </c>
      <c r="L286" s="310">
        <f t="shared" si="92"/>
        <v>0</v>
      </c>
      <c r="M286" s="310">
        <f t="shared" si="92"/>
        <v>0</v>
      </c>
      <c r="N286" s="310">
        <f t="shared" si="92"/>
        <v>0</v>
      </c>
      <c r="O286" s="310">
        <f t="shared" si="92"/>
        <v>0</v>
      </c>
      <c r="P286" s="310">
        <f t="shared" si="92"/>
        <v>0</v>
      </c>
      <c r="Q286" s="310">
        <f t="shared" si="92"/>
        <v>0</v>
      </c>
      <c r="R286" s="310">
        <f t="shared" si="92"/>
        <v>0</v>
      </c>
      <c r="S286" s="310">
        <f t="shared" si="92"/>
        <v>0</v>
      </c>
      <c r="T286" s="310">
        <f t="shared" si="92"/>
        <v>0</v>
      </c>
      <c r="U286" s="310">
        <f t="shared" si="92"/>
        <v>0</v>
      </c>
      <c r="V286" s="310">
        <f t="shared" si="92"/>
        <v>0</v>
      </c>
      <c r="W286" s="310">
        <f t="shared" si="92"/>
        <v>0</v>
      </c>
      <c r="X286" s="310">
        <f t="shared" si="92"/>
        <v>0</v>
      </c>
      <c r="Y286" s="310">
        <f t="shared" si="92"/>
        <v>0</v>
      </c>
      <c r="Z286" s="310">
        <f t="shared" si="92"/>
        <v>0</v>
      </c>
      <c r="AA286" s="310"/>
      <c r="AB286" s="309" t="str">
        <f t="shared" si="84"/>
        <v>- Revision</v>
      </c>
      <c r="AC286" s="303" t="str">
        <f t="shared" si="85"/>
        <v>%</v>
      </c>
      <c r="AD286" s="303"/>
      <c r="AE286" s="303"/>
      <c r="AF286" s="310">
        <f t="shared" ref="AF286:AO286" si="93">IFERROR(ROUND( AF284 / AF283,2) - 1, 0)</f>
        <v>0</v>
      </c>
      <c r="AG286" s="310">
        <f t="shared" si="93"/>
        <v>0</v>
      </c>
      <c r="AH286" s="310">
        <f t="shared" si="93"/>
        <v>0</v>
      </c>
      <c r="AI286" s="310">
        <f t="shared" si="93"/>
        <v>0</v>
      </c>
      <c r="AJ286" s="310">
        <f t="shared" si="93"/>
        <v>0</v>
      </c>
      <c r="AK286" s="310">
        <f t="shared" si="93"/>
        <v>0</v>
      </c>
      <c r="AL286" s="310">
        <f t="shared" si="93"/>
        <v>0</v>
      </c>
      <c r="AM286" s="310">
        <f t="shared" si="93"/>
        <v>0</v>
      </c>
      <c r="AN286" s="310">
        <f t="shared" si="93"/>
        <v>0</v>
      </c>
      <c r="AO286" s="310">
        <f t="shared" si="93"/>
        <v>0</v>
      </c>
    </row>
    <row r="287" spans="1:41">
      <c r="B287" s="301" t="s">
        <v>1444</v>
      </c>
      <c r="C287" s="302" t="s">
        <v>1514</v>
      </c>
      <c r="D287" s="303" t="str">
        <f t="array" ref="D287">_xlfn.XLOOKUP($B287,$B$114:$B$212,_xlfn.XLOOKUP(D$219,$D$5:$AO$5,$D$114:$AO$212))</f>
        <v>NZ$m</v>
      </c>
      <c r="E287" s="303"/>
      <c r="F287" s="303"/>
      <c r="G287" s="304" t="e">
        <f t="array" ref="G287">_xlfn.XLOOKUP($B287,$B$114:$B$212,_xlfn.XLOOKUP(G$219,$D$5:$AO$5,$D$114:$AO$212))</f>
        <v>#REF!</v>
      </c>
      <c r="H287" s="304" t="e">
        <f t="array" ref="H287">_xlfn.XLOOKUP($B287,$B$114:$B$212,_xlfn.XLOOKUP(H$219,$D$5:$AO$5,$D$114:$AO$212))</f>
        <v>#REF!</v>
      </c>
      <c r="I287" s="304" t="e">
        <f t="array" ref="I287">_xlfn.XLOOKUP($B287,$B$114:$B$212,_xlfn.XLOOKUP(I$219,$D$5:$AO$5,$D$114:$AO$212))</f>
        <v>#REF!</v>
      </c>
      <c r="J287" s="304" t="e">
        <f t="array" ref="J287">_xlfn.XLOOKUP($B287,$B$114:$B$212,_xlfn.XLOOKUP(J$219,$D$5:$AO$5,$D$114:$AO$212))</f>
        <v>#REF!</v>
      </c>
      <c r="K287" s="304" t="e">
        <f t="array" ref="K287">_xlfn.XLOOKUP($B287,$B$114:$B$212,_xlfn.XLOOKUP(K$219,$D$5:$AO$5,$D$114:$AO$212))</f>
        <v>#REF!</v>
      </c>
      <c r="L287" s="304" t="e">
        <f t="array" ref="L287">_xlfn.XLOOKUP($B287,$B$114:$B$212,_xlfn.XLOOKUP(L$219,$D$5:$AO$5,$D$114:$AO$212))</f>
        <v>#REF!</v>
      </c>
      <c r="M287" s="304" t="e">
        <f t="array" ref="M287">_xlfn.XLOOKUP($B287,$B$114:$B$212,_xlfn.XLOOKUP(M$219,$D$5:$AO$5,$D$114:$AO$212))</f>
        <v>#REF!</v>
      </c>
      <c r="N287" s="304" t="e">
        <f t="array" ref="N287">_xlfn.XLOOKUP($B287,$B$114:$B$212,_xlfn.XLOOKUP(N$219,$D$5:$AO$5,$D$114:$AO$212))</f>
        <v>#REF!</v>
      </c>
      <c r="O287" s="304" t="e">
        <f t="array" ref="O287">_xlfn.XLOOKUP($B287,$B$114:$B$212,_xlfn.XLOOKUP(O$219,$D$5:$AO$5,$D$114:$AO$212))</f>
        <v>#REF!</v>
      </c>
      <c r="P287" s="304" t="e">
        <f t="array" ref="P287">_xlfn.XLOOKUP($B287,$B$114:$B$212,_xlfn.XLOOKUP(P$219,$D$5:$AO$5,$D$114:$AO$212))</f>
        <v>#REF!</v>
      </c>
      <c r="Q287" s="304" t="e">
        <f t="array" ref="Q287">_xlfn.XLOOKUP($B287,$B$114:$B$212,_xlfn.XLOOKUP(Q$219,$D$5:$AO$5,$D$114:$AO$212))</f>
        <v>#REF!</v>
      </c>
      <c r="R287" s="304" t="e">
        <f t="array" ref="R287">_xlfn.XLOOKUP($B287,$B$114:$B$212,_xlfn.XLOOKUP(R$219,$D$5:$AO$5,$D$114:$AO$212))</f>
        <v>#REF!</v>
      </c>
      <c r="S287" s="304" t="e">
        <f t="array" ref="S287">_xlfn.XLOOKUP($B287,$B$114:$B$212,_xlfn.XLOOKUP(S$219,$D$5:$AO$5,$D$114:$AO$212))</f>
        <v>#REF!</v>
      </c>
      <c r="T287" s="304" t="e">
        <f t="array" ref="T287">_xlfn.XLOOKUP($B287,$B$114:$B$212,_xlfn.XLOOKUP(T$219,$D$5:$AO$5,$D$114:$AO$212))</f>
        <v>#REF!</v>
      </c>
      <c r="U287" s="304" t="e">
        <f t="array" ref="U287">_xlfn.XLOOKUP($B287,$B$114:$B$212,_xlfn.XLOOKUP(U$219,$D$5:$AO$5,$D$114:$AO$212))</f>
        <v>#REF!</v>
      </c>
      <c r="V287" s="304" t="e">
        <f t="array" ref="V287">_xlfn.XLOOKUP($B287,$B$114:$B$212,_xlfn.XLOOKUP(V$219,$D$5:$AO$5,$D$114:$AO$212))</f>
        <v>#REF!</v>
      </c>
      <c r="W287" s="304" t="e">
        <f t="array" ref="W287">_xlfn.XLOOKUP($B287,$B$114:$B$212,_xlfn.XLOOKUP(W$219,$D$5:$AO$5,$D$114:$AO$212))</f>
        <v>#REF!</v>
      </c>
      <c r="X287" s="304" t="e">
        <f t="array" ref="X287">_xlfn.XLOOKUP($B287,$B$114:$B$212,_xlfn.XLOOKUP(X$219,$D$5:$AO$5,$D$114:$AO$212))</f>
        <v>#REF!</v>
      </c>
      <c r="Y287" s="304" t="e">
        <f t="array" ref="Y287">_xlfn.XLOOKUP($B287,$B$114:$B$212,_xlfn.XLOOKUP(Y$219,$D$5:$AO$5,$D$114:$AO$212))</f>
        <v>#REF!</v>
      </c>
      <c r="Z287" s="304" t="e">
        <f t="array" ref="Z287">_xlfn.XLOOKUP($B287,$B$114:$B$212,_xlfn.XLOOKUP(Z$219,$D$5:$AO$5,$D$114:$AO$212))</f>
        <v>#REF!</v>
      </c>
      <c r="AA287" s="305"/>
      <c r="AB287" s="302" t="str">
        <f t="shared" si="84"/>
        <v>Non Gaming Revenue - old</v>
      </c>
      <c r="AC287" s="303" t="str">
        <f t="shared" si="85"/>
        <v>NZ$m</v>
      </c>
      <c r="AD287" s="303"/>
      <c r="AE287" s="303"/>
      <c r="AF287" s="304" t="e">
        <f t="array" ref="AF287">_xlfn.XLOOKUP($B287,$B$114:$B$212,_xlfn.XLOOKUP(AF$219,$D$5:$AO$5,$D$114:$AO$212))</f>
        <v>#REF!</v>
      </c>
      <c r="AG287" s="304" t="e">
        <f t="array" ref="AG287">_xlfn.XLOOKUP($B287,$B$114:$B$212,_xlfn.XLOOKUP(AG$219,$D$5:$AO$5,$D$114:$AO$212))</f>
        <v>#REF!</v>
      </c>
      <c r="AH287" s="304" t="e">
        <f t="array" ref="AH287">_xlfn.XLOOKUP($B287,$B$114:$B$212,_xlfn.XLOOKUP(AH$219,$D$5:$AO$5,$D$114:$AO$212))</f>
        <v>#REF!</v>
      </c>
      <c r="AI287" s="304" t="e">
        <f t="array" ref="AI287">_xlfn.XLOOKUP($B287,$B$114:$B$212,_xlfn.XLOOKUP(AI$219,$D$5:$AO$5,$D$114:$AO$212))</f>
        <v>#REF!</v>
      </c>
      <c r="AJ287" s="304" t="e">
        <f t="array" ref="AJ287">_xlfn.XLOOKUP($B287,$B$114:$B$212,_xlfn.XLOOKUP(AJ$219,$D$5:$AO$5,$D$114:$AO$212))</f>
        <v>#REF!</v>
      </c>
      <c r="AK287" s="304" t="e">
        <f t="array" ref="AK287">_xlfn.XLOOKUP($B287,$B$114:$B$212,_xlfn.XLOOKUP(AK$219,$D$5:$AO$5,$D$114:$AO$212))</f>
        <v>#REF!</v>
      </c>
      <c r="AL287" s="304" t="e">
        <f t="array" ref="AL287">_xlfn.XLOOKUP($B287,$B$114:$B$212,_xlfn.XLOOKUP(AL$219,$D$5:$AO$5,$D$114:$AO$212))</f>
        <v>#REF!</v>
      </c>
      <c r="AM287" s="304" t="e">
        <f t="array" ref="AM287">_xlfn.XLOOKUP($B287,$B$114:$B$212,_xlfn.XLOOKUP(AM$219,$D$5:$AO$5,$D$114:$AO$212))</f>
        <v>#REF!</v>
      </c>
      <c r="AN287" s="304" t="e">
        <f t="array" ref="AN287">_xlfn.XLOOKUP($B287,$B$114:$B$212,_xlfn.XLOOKUP(AN$219,$D$5:$AO$5,$D$114:$AO$212))</f>
        <v>#REF!</v>
      </c>
      <c r="AO287" s="304" t="e">
        <f t="array" ref="AO287">_xlfn.XLOOKUP($B287,$B$114:$B$212,_xlfn.XLOOKUP(AO$219,$D$5:$AO$5,$D$114:$AO$212))</f>
        <v>#REF!</v>
      </c>
    </row>
    <row r="288" spans="1:41">
      <c r="B288" s="301" t="s">
        <v>1444</v>
      </c>
      <c r="C288" s="318" t="s">
        <v>1515</v>
      </c>
      <c r="D288" s="307" t="str">
        <f t="array" ref="D288">_xlfn.XLOOKUP($B288,$B$11:$B$109,_xlfn.XLOOKUP(D$219,$D$5:$AO$5,$D$11:$AO$109))</f>
        <v>NZ$m</v>
      </c>
      <c r="E288" s="307"/>
      <c r="F288" s="307"/>
      <c r="G288" s="308" t="e">
        <f t="array" ref="G288">_xlfn.XLOOKUP($B288,$B$11:$B$109,_xlfn.XLOOKUP(G$219,$D$5:$AO$5,$D$11:$AO$109))</f>
        <v>#REF!</v>
      </c>
      <c r="H288" s="308" t="e">
        <f t="array" ref="H288">_xlfn.XLOOKUP($B288,$B$11:$B$109,_xlfn.XLOOKUP(H$219,$D$5:$AO$5,$D$11:$AO$109))</f>
        <v>#REF!</v>
      </c>
      <c r="I288" s="308" t="e">
        <f t="array" ref="I288">_xlfn.XLOOKUP($B288,$B$11:$B$109,_xlfn.XLOOKUP(I$219,$D$5:$AO$5,$D$11:$AO$109))</f>
        <v>#REF!</v>
      </c>
      <c r="J288" s="308" t="e">
        <f t="array" ref="J288">_xlfn.XLOOKUP($B288,$B$11:$B$109,_xlfn.XLOOKUP(J$219,$D$5:$AO$5,$D$11:$AO$109))</f>
        <v>#REF!</v>
      </c>
      <c r="K288" s="308" t="e">
        <f t="array" ref="K288">_xlfn.XLOOKUP($B288,$B$11:$B$109,_xlfn.XLOOKUP(K$219,$D$5:$AO$5,$D$11:$AO$109))</f>
        <v>#REF!</v>
      </c>
      <c r="L288" s="308" t="e">
        <f t="array" ref="L288">_xlfn.XLOOKUP($B288,$B$11:$B$109,_xlfn.XLOOKUP(L$219,$D$5:$AO$5,$D$11:$AO$109))</f>
        <v>#REF!</v>
      </c>
      <c r="M288" s="308" t="e">
        <f t="array" ref="M288">_xlfn.XLOOKUP($B288,$B$11:$B$109,_xlfn.XLOOKUP(M$219,$D$5:$AO$5,$D$11:$AO$109))</f>
        <v>#REF!</v>
      </c>
      <c r="N288" s="308" t="e">
        <f t="array" ref="N288">_xlfn.XLOOKUP($B288,$B$11:$B$109,_xlfn.XLOOKUP(N$219,$D$5:$AO$5,$D$11:$AO$109))</f>
        <v>#REF!</v>
      </c>
      <c r="O288" s="308" t="e">
        <f t="array" ref="O288">_xlfn.XLOOKUP($B288,$B$11:$B$109,_xlfn.XLOOKUP(O$219,$D$5:$AO$5,$D$11:$AO$109))</f>
        <v>#REF!</v>
      </c>
      <c r="P288" s="308" t="e">
        <f t="array" ref="P288">_xlfn.XLOOKUP($B288,$B$11:$B$109,_xlfn.XLOOKUP(P$219,$D$5:$AO$5,$D$11:$AO$109))</f>
        <v>#REF!</v>
      </c>
      <c r="Q288" s="308" t="e">
        <f t="array" ref="Q288">_xlfn.XLOOKUP($B288,$B$11:$B$109,_xlfn.XLOOKUP(Q$219,$D$5:$AO$5,$D$11:$AO$109))</f>
        <v>#REF!</v>
      </c>
      <c r="R288" s="308" t="e">
        <f t="array" ref="R288">_xlfn.XLOOKUP($B288,$B$11:$B$109,_xlfn.XLOOKUP(R$219,$D$5:$AO$5,$D$11:$AO$109))</f>
        <v>#REF!</v>
      </c>
      <c r="S288" s="308" t="e">
        <f t="array" ref="S288">_xlfn.XLOOKUP($B288,$B$11:$B$109,_xlfn.XLOOKUP(S$219,$D$5:$AO$5,$D$11:$AO$109))</f>
        <v>#REF!</v>
      </c>
      <c r="T288" s="308" t="e">
        <f t="array" ref="T288">_xlfn.XLOOKUP($B288,$B$11:$B$109,_xlfn.XLOOKUP(T$219,$D$5:$AO$5,$D$11:$AO$109))</f>
        <v>#REF!</v>
      </c>
      <c r="U288" s="308" t="e">
        <f t="array" ref="U288">_xlfn.XLOOKUP($B288,$B$11:$B$109,_xlfn.XLOOKUP(U$219,$D$5:$AO$5,$D$11:$AO$109))</f>
        <v>#REF!</v>
      </c>
      <c r="V288" s="308" t="e">
        <f t="array" ref="V288">_xlfn.XLOOKUP($B288,$B$11:$B$109,_xlfn.XLOOKUP(V$219,$D$5:$AO$5,$D$11:$AO$109))</f>
        <v>#REF!</v>
      </c>
      <c r="W288" s="308" t="e">
        <f t="array" ref="W288">_xlfn.XLOOKUP($B288,$B$11:$B$109,_xlfn.XLOOKUP(W$219,$D$5:$AO$5,$D$11:$AO$109))</f>
        <v>#REF!</v>
      </c>
      <c r="X288" s="308" t="e">
        <f t="array" ref="X288">_xlfn.XLOOKUP($B288,$B$11:$B$109,_xlfn.XLOOKUP(X$219,$D$5:$AO$5,$D$11:$AO$109))</f>
        <v>#REF!</v>
      </c>
      <c r="Y288" s="308" t="e">
        <f t="array" ref="Y288">_xlfn.XLOOKUP($B288,$B$11:$B$109,_xlfn.XLOOKUP(Y$219,$D$5:$AO$5,$D$11:$AO$109))</f>
        <v>#REF!</v>
      </c>
      <c r="Z288" s="308" t="e">
        <f t="array" ref="Z288">_xlfn.XLOOKUP($B288,$B$11:$B$109,_xlfn.XLOOKUP(Z$219,$D$5:$AO$5,$D$11:$AO$109))</f>
        <v>#REF!</v>
      </c>
      <c r="AA288" s="308"/>
      <c r="AB288" s="306" t="str">
        <f t="shared" si="84"/>
        <v>Non Gaming Revenue - New</v>
      </c>
      <c r="AC288" s="307" t="str">
        <f t="shared" si="85"/>
        <v>NZ$m</v>
      </c>
      <c r="AD288" s="307"/>
      <c r="AE288" s="307"/>
      <c r="AF288" s="308" t="e">
        <f t="array" ref="AF288">_xlfn.XLOOKUP($B288,$B$11:$B$109,_xlfn.XLOOKUP(AF$219,$D$5:$AO$5,$D$11:$AO$109))</f>
        <v>#REF!</v>
      </c>
      <c r="AG288" s="308" t="e">
        <f t="array" ref="AG288">_xlfn.XLOOKUP($B288,$B$11:$B$109,_xlfn.XLOOKUP(AG$219,$D$5:$AO$5,$D$11:$AO$109))</f>
        <v>#REF!</v>
      </c>
      <c r="AH288" s="308" t="e">
        <f t="array" ref="AH288">_xlfn.XLOOKUP($B288,$B$11:$B$109,_xlfn.XLOOKUP(AH$219,$D$5:$AO$5,$D$11:$AO$109))</f>
        <v>#REF!</v>
      </c>
      <c r="AI288" s="308" t="e">
        <f t="array" ref="AI288">_xlfn.XLOOKUP($B288,$B$11:$B$109,_xlfn.XLOOKUP(AI$219,$D$5:$AO$5,$D$11:$AO$109))</f>
        <v>#REF!</v>
      </c>
      <c r="AJ288" s="308" t="e">
        <f t="array" ref="AJ288">_xlfn.XLOOKUP($B288,$B$11:$B$109,_xlfn.XLOOKUP(AJ$219,$D$5:$AO$5,$D$11:$AO$109))</f>
        <v>#REF!</v>
      </c>
      <c r="AK288" s="308" t="e">
        <f t="array" ref="AK288">_xlfn.XLOOKUP($B288,$B$11:$B$109,_xlfn.XLOOKUP(AK$219,$D$5:$AO$5,$D$11:$AO$109))</f>
        <v>#REF!</v>
      </c>
      <c r="AL288" s="308" t="e">
        <f t="array" ref="AL288">_xlfn.XLOOKUP($B288,$B$11:$B$109,_xlfn.XLOOKUP(AL$219,$D$5:$AO$5,$D$11:$AO$109))</f>
        <v>#REF!</v>
      </c>
      <c r="AM288" s="308" t="e">
        <f t="array" ref="AM288">_xlfn.XLOOKUP($B288,$B$11:$B$109,_xlfn.XLOOKUP(AM$219,$D$5:$AO$5,$D$11:$AO$109))</f>
        <v>#REF!</v>
      </c>
      <c r="AN288" s="308" t="e">
        <f t="array" ref="AN288">_xlfn.XLOOKUP($B288,$B$11:$B$109,_xlfn.XLOOKUP(AN$219,$D$5:$AO$5,$D$11:$AO$109))</f>
        <v>#REF!</v>
      </c>
      <c r="AO288" s="308" t="e">
        <f t="array" ref="AO288">_xlfn.XLOOKUP($B288,$B$11:$B$109,_xlfn.XLOOKUP(AO$219,$D$5:$AO$5,$D$11:$AO$109))</f>
        <v>#REF!</v>
      </c>
    </row>
    <row r="289" spans="1:41" hidden="1" outlineLevel="1">
      <c r="B289" s="301"/>
      <c r="C289" s="309" t="s">
        <v>1510</v>
      </c>
      <c r="D289" s="303" t="s">
        <v>88</v>
      </c>
      <c r="E289" s="303"/>
      <c r="F289" s="303"/>
      <c r="G289" s="310" t="s">
        <v>967</v>
      </c>
      <c r="H289" s="310" t="s">
        <v>967</v>
      </c>
      <c r="I289" s="310" t="e">
        <f t="shared" ref="I289:Z289" si="94">I288/G288-1</f>
        <v>#REF!</v>
      </c>
      <c r="J289" s="310" t="e">
        <f t="shared" si="94"/>
        <v>#REF!</v>
      </c>
      <c r="K289" s="310" t="e">
        <f t="shared" si="94"/>
        <v>#REF!</v>
      </c>
      <c r="L289" s="310" t="e">
        <f t="shared" si="94"/>
        <v>#REF!</v>
      </c>
      <c r="M289" s="310" t="e">
        <f t="shared" si="94"/>
        <v>#REF!</v>
      </c>
      <c r="N289" s="310" t="e">
        <f t="shared" si="94"/>
        <v>#REF!</v>
      </c>
      <c r="O289" s="310" t="e">
        <f t="shared" si="94"/>
        <v>#REF!</v>
      </c>
      <c r="P289" s="310" t="e">
        <f t="shared" si="94"/>
        <v>#REF!</v>
      </c>
      <c r="Q289" s="310" t="e">
        <f t="shared" si="94"/>
        <v>#REF!</v>
      </c>
      <c r="R289" s="310" t="e">
        <f t="shared" si="94"/>
        <v>#REF!</v>
      </c>
      <c r="S289" s="310" t="e">
        <f t="shared" si="94"/>
        <v>#REF!</v>
      </c>
      <c r="T289" s="310" t="e">
        <f t="shared" si="94"/>
        <v>#REF!</v>
      </c>
      <c r="U289" s="310" t="e">
        <f t="shared" si="94"/>
        <v>#REF!</v>
      </c>
      <c r="V289" s="310" t="e">
        <f t="shared" si="94"/>
        <v>#REF!</v>
      </c>
      <c r="W289" s="310" t="e">
        <f t="shared" si="94"/>
        <v>#REF!</v>
      </c>
      <c r="X289" s="310" t="e">
        <f t="shared" si="94"/>
        <v>#REF!</v>
      </c>
      <c r="Y289" s="310" t="e">
        <f t="shared" si="94"/>
        <v>#REF!</v>
      </c>
      <c r="Z289" s="310" t="e">
        <f t="shared" si="94"/>
        <v>#REF!</v>
      </c>
      <c r="AA289" s="311"/>
      <c r="AB289" s="309" t="str">
        <f t="shared" si="84"/>
        <v>- Growth</v>
      </c>
      <c r="AC289" s="303" t="str">
        <f t="shared" si="85"/>
        <v>%</v>
      </c>
      <c r="AD289" s="303"/>
      <c r="AE289" s="303"/>
      <c r="AF289" s="310" t="s">
        <v>967</v>
      </c>
      <c r="AG289" s="310" t="e">
        <f t="shared" ref="AG289:AO289" si="95">AG288/AF288-1</f>
        <v>#REF!</v>
      </c>
      <c r="AH289" s="310" t="e">
        <f t="shared" si="95"/>
        <v>#REF!</v>
      </c>
      <c r="AI289" s="310" t="e">
        <f t="shared" si="95"/>
        <v>#REF!</v>
      </c>
      <c r="AJ289" s="310" t="e">
        <f t="shared" si="95"/>
        <v>#REF!</v>
      </c>
      <c r="AK289" s="310" t="e">
        <f t="shared" si="95"/>
        <v>#REF!</v>
      </c>
      <c r="AL289" s="310" t="e">
        <f t="shared" si="95"/>
        <v>#REF!</v>
      </c>
      <c r="AM289" s="310" t="e">
        <f t="shared" si="95"/>
        <v>#REF!</v>
      </c>
      <c r="AN289" s="310" t="e">
        <f t="shared" si="95"/>
        <v>#REF!</v>
      </c>
      <c r="AO289" s="310" t="e">
        <f t="shared" si="95"/>
        <v>#REF!</v>
      </c>
    </row>
    <row r="290" spans="1:41" collapsed="1">
      <c r="B290" s="301"/>
      <c r="C290" s="309" t="s">
        <v>1511</v>
      </c>
      <c r="D290" s="303" t="s">
        <v>88</v>
      </c>
      <c r="E290" s="303"/>
      <c r="F290" s="303"/>
      <c r="G290" s="310">
        <f t="shared" ref="G290:Z290" si="96">IFERROR(ROUND( G288 / G287,2) - 1, 0)</f>
        <v>0</v>
      </c>
      <c r="H290" s="310">
        <f t="shared" si="96"/>
        <v>0</v>
      </c>
      <c r="I290" s="310">
        <f t="shared" si="96"/>
        <v>0</v>
      </c>
      <c r="J290" s="310">
        <f t="shared" si="96"/>
        <v>0</v>
      </c>
      <c r="K290" s="310">
        <f t="shared" si="96"/>
        <v>0</v>
      </c>
      <c r="L290" s="310">
        <f t="shared" si="96"/>
        <v>0</v>
      </c>
      <c r="M290" s="310">
        <f t="shared" si="96"/>
        <v>0</v>
      </c>
      <c r="N290" s="310">
        <f t="shared" si="96"/>
        <v>0</v>
      </c>
      <c r="O290" s="310">
        <f t="shared" si="96"/>
        <v>0</v>
      </c>
      <c r="P290" s="310">
        <f t="shared" si="96"/>
        <v>0</v>
      </c>
      <c r="Q290" s="310">
        <f t="shared" si="96"/>
        <v>0</v>
      </c>
      <c r="R290" s="310">
        <f t="shared" si="96"/>
        <v>0</v>
      </c>
      <c r="S290" s="310">
        <f t="shared" si="96"/>
        <v>0</v>
      </c>
      <c r="T290" s="310">
        <f t="shared" si="96"/>
        <v>0</v>
      </c>
      <c r="U290" s="310">
        <f t="shared" si="96"/>
        <v>0</v>
      </c>
      <c r="V290" s="310">
        <f t="shared" si="96"/>
        <v>0</v>
      </c>
      <c r="W290" s="310">
        <f t="shared" si="96"/>
        <v>0</v>
      </c>
      <c r="X290" s="310">
        <f t="shared" si="96"/>
        <v>0</v>
      </c>
      <c r="Y290" s="310">
        <f t="shared" si="96"/>
        <v>0</v>
      </c>
      <c r="Z290" s="310">
        <f t="shared" si="96"/>
        <v>0</v>
      </c>
      <c r="AA290" s="310"/>
      <c r="AB290" s="309" t="str">
        <f t="shared" si="84"/>
        <v>- Revision</v>
      </c>
      <c r="AC290" s="303" t="str">
        <f t="shared" si="85"/>
        <v>%</v>
      </c>
      <c r="AD290" s="303"/>
      <c r="AE290" s="303"/>
      <c r="AF290" s="310">
        <f t="shared" ref="AF290:AO290" si="97">IFERROR(ROUND( AF288 / AF287,2) - 1, 0)</f>
        <v>0</v>
      </c>
      <c r="AG290" s="310">
        <f t="shared" si="97"/>
        <v>0</v>
      </c>
      <c r="AH290" s="310">
        <f t="shared" si="97"/>
        <v>0</v>
      </c>
      <c r="AI290" s="310">
        <f t="shared" si="97"/>
        <v>0</v>
      </c>
      <c r="AJ290" s="310">
        <f t="shared" si="97"/>
        <v>0</v>
      </c>
      <c r="AK290" s="310">
        <f t="shared" si="97"/>
        <v>0</v>
      </c>
      <c r="AL290" s="310">
        <f t="shared" si="97"/>
        <v>0</v>
      </c>
      <c r="AM290" s="310">
        <f t="shared" si="97"/>
        <v>0</v>
      </c>
      <c r="AN290" s="310">
        <f t="shared" si="97"/>
        <v>0</v>
      </c>
      <c r="AO290" s="310">
        <f t="shared" si="97"/>
        <v>0</v>
      </c>
    </row>
    <row r="291" spans="1:41">
      <c r="B291" s="301" t="s">
        <v>1445</v>
      </c>
      <c r="C291" s="302" t="s">
        <v>1516</v>
      </c>
      <c r="D291" s="303" t="str">
        <f t="array" ref="D291">_xlfn.XLOOKUP($B291,$B$114:$B$212,_xlfn.XLOOKUP(D$219,$D$5:$AO$5,$D$114:$AO$212))</f>
        <v>NZ$m</v>
      </c>
      <c r="E291" s="303"/>
      <c r="F291" s="303"/>
      <c r="G291" s="304" t="e">
        <f t="array" ref="G291">_xlfn.XLOOKUP($B291,$B$114:$B$212,_xlfn.XLOOKUP(G$219,$D$5:$AO$5,$D$114:$AO$212))</f>
        <v>#REF!</v>
      </c>
      <c r="H291" s="304" t="e">
        <f t="array" ref="H291">_xlfn.XLOOKUP($B291,$B$114:$B$212,_xlfn.XLOOKUP(H$219,$D$5:$AO$5,$D$114:$AO$212))</f>
        <v>#REF!</v>
      </c>
      <c r="I291" s="304" t="e">
        <f t="array" ref="I291">_xlfn.XLOOKUP($B291,$B$114:$B$212,_xlfn.XLOOKUP(I$219,$D$5:$AO$5,$D$114:$AO$212))</f>
        <v>#REF!</v>
      </c>
      <c r="J291" s="304" t="e">
        <f t="array" ref="J291">_xlfn.XLOOKUP($B291,$B$114:$B$212,_xlfn.XLOOKUP(J$219,$D$5:$AO$5,$D$114:$AO$212))</f>
        <v>#REF!</v>
      </c>
      <c r="K291" s="304" t="e">
        <f t="array" ref="K291">_xlfn.XLOOKUP($B291,$B$114:$B$212,_xlfn.XLOOKUP(K$219,$D$5:$AO$5,$D$114:$AO$212))</f>
        <v>#REF!</v>
      </c>
      <c r="L291" s="304" t="e">
        <f t="array" ref="L291">_xlfn.XLOOKUP($B291,$B$114:$B$212,_xlfn.XLOOKUP(L$219,$D$5:$AO$5,$D$114:$AO$212))</f>
        <v>#REF!</v>
      </c>
      <c r="M291" s="304" t="e">
        <f t="array" ref="M291">_xlfn.XLOOKUP($B291,$B$114:$B$212,_xlfn.XLOOKUP(M$219,$D$5:$AO$5,$D$114:$AO$212))</f>
        <v>#REF!</v>
      </c>
      <c r="N291" s="304" t="e">
        <f t="array" ref="N291">_xlfn.XLOOKUP($B291,$B$114:$B$212,_xlfn.XLOOKUP(N$219,$D$5:$AO$5,$D$114:$AO$212))</f>
        <v>#REF!</v>
      </c>
      <c r="O291" s="304" t="e">
        <f t="array" ref="O291">_xlfn.XLOOKUP($B291,$B$114:$B$212,_xlfn.XLOOKUP(O$219,$D$5:$AO$5,$D$114:$AO$212))</f>
        <v>#REF!</v>
      </c>
      <c r="P291" s="304" t="e">
        <f t="array" ref="P291">_xlfn.XLOOKUP($B291,$B$114:$B$212,_xlfn.XLOOKUP(P$219,$D$5:$AO$5,$D$114:$AO$212))</f>
        <v>#REF!</v>
      </c>
      <c r="Q291" s="304" t="e">
        <f t="array" ref="Q291">_xlfn.XLOOKUP($B291,$B$114:$B$212,_xlfn.XLOOKUP(Q$219,$D$5:$AO$5,$D$114:$AO$212))</f>
        <v>#REF!</v>
      </c>
      <c r="R291" s="304" t="e">
        <f t="array" ref="R291">_xlfn.XLOOKUP($B291,$B$114:$B$212,_xlfn.XLOOKUP(R$219,$D$5:$AO$5,$D$114:$AO$212))</f>
        <v>#REF!</v>
      </c>
      <c r="S291" s="304" t="e">
        <f t="array" ref="S291">_xlfn.XLOOKUP($B291,$B$114:$B$212,_xlfn.XLOOKUP(S$219,$D$5:$AO$5,$D$114:$AO$212))</f>
        <v>#REF!</v>
      </c>
      <c r="T291" s="304" t="e">
        <f t="array" ref="T291">_xlfn.XLOOKUP($B291,$B$114:$B$212,_xlfn.XLOOKUP(T$219,$D$5:$AO$5,$D$114:$AO$212))</f>
        <v>#REF!</v>
      </c>
      <c r="U291" s="304" t="e">
        <f t="array" ref="U291">_xlfn.XLOOKUP($B291,$B$114:$B$212,_xlfn.XLOOKUP(U$219,$D$5:$AO$5,$D$114:$AO$212))</f>
        <v>#REF!</v>
      </c>
      <c r="V291" s="304" t="e">
        <f t="array" ref="V291">_xlfn.XLOOKUP($B291,$B$114:$B$212,_xlfn.XLOOKUP(V$219,$D$5:$AO$5,$D$114:$AO$212))</f>
        <v>#REF!</v>
      </c>
      <c r="W291" s="304" t="e">
        <f t="array" ref="W291">_xlfn.XLOOKUP($B291,$B$114:$B$212,_xlfn.XLOOKUP(W$219,$D$5:$AO$5,$D$114:$AO$212))</f>
        <v>#REF!</v>
      </c>
      <c r="X291" s="304" t="e">
        <f t="array" ref="X291">_xlfn.XLOOKUP($B291,$B$114:$B$212,_xlfn.XLOOKUP(X$219,$D$5:$AO$5,$D$114:$AO$212))</f>
        <v>#REF!</v>
      </c>
      <c r="Y291" s="304" t="e">
        <f t="array" ref="Y291">_xlfn.XLOOKUP($B291,$B$114:$B$212,_xlfn.XLOOKUP(Y$219,$D$5:$AO$5,$D$114:$AO$212))</f>
        <v>#REF!</v>
      </c>
      <c r="Z291" s="304" t="e">
        <f t="array" ref="Z291">_xlfn.XLOOKUP($B291,$B$114:$B$212,_xlfn.XLOOKUP(Z$219,$D$5:$AO$5,$D$114:$AO$212))</f>
        <v>#REF!</v>
      </c>
      <c r="AA291" s="305"/>
      <c r="AB291" s="302" t="str">
        <f t="shared" si="84"/>
        <v>Total Domestic Revenue - old</v>
      </c>
      <c r="AC291" s="303" t="str">
        <f t="shared" si="85"/>
        <v>NZ$m</v>
      </c>
      <c r="AD291" s="303"/>
      <c r="AE291" s="303"/>
      <c r="AF291" s="304" t="e">
        <f t="array" ref="AF291">_xlfn.XLOOKUP($B291,$B$114:$B$212,_xlfn.XLOOKUP(AF$219,$D$5:$AO$5,$D$114:$AO$212))</f>
        <v>#REF!</v>
      </c>
      <c r="AG291" s="304" t="e">
        <f t="array" ref="AG291">_xlfn.XLOOKUP($B291,$B$114:$B$212,_xlfn.XLOOKUP(AG$219,$D$5:$AO$5,$D$114:$AO$212))</f>
        <v>#REF!</v>
      </c>
      <c r="AH291" s="304" t="e">
        <f t="array" ref="AH291">_xlfn.XLOOKUP($B291,$B$114:$B$212,_xlfn.XLOOKUP(AH$219,$D$5:$AO$5,$D$114:$AO$212))</f>
        <v>#REF!</v>
      </c>
      <c r="AI291" s="304" t="e">
        <f t="array" ref="AI291">_xlfn.XLOOKUP($B291,$B$114:$B$212,_xlfn.XLOOKUP(AI$219,$D$5:$AO$5,$D$114:$AO$212))</f>
        <v>#REF!</v>
      </c>
      <c r="AJ291" s="304" t="e">
        <f t="array" ref="AJ291">_xlfn.XLOOKUP($B291,$B$114:$B$212,_xlfn.XLOOKUP(AJ$219,$D$5:$AO$5,$D$114:$AO$212))</f>
        <v>#REF!</v>
      </c>
      <c r="AK291" s="304" t="e">
        <f t="array" ref="AK291">_xlfn.XLOOKUP($B291,$B$114:$B$212,_xlfn.XLOOKUP(AK$219,$D$5:$AO$5,$D$114:$AO$212))</f>
        <v>#REF!</v>
      </c>
      <c r="AL291" s="304" t="e">
        <f t="array" ref="AL291">_xlfn.XLOOKUP($B291,$B$114:$B$212,_xlfn.XLOOKUP(AL$219,$D$5:$AO$5,$D$114:$AO$212))</f>
        <v>#REF!</v>
      </c>
      <c r="AM291" s="304" t="e">
        <f t="array" ref="AM291">_xlfn.XLOOKUP($B291,$B$114:$B$212,_xlfn.XLOOKUP(AM$219,$D$5:$AO$5,$D$114:$AO$212))</f>
        <v>#REF!</v>
      </c>
      <c r="AN291" s="304" t="e">
        <f t="array" ref="AN291">_xlfn.XLOOKUP($B291,$B$114:$B$212,_xlfn.XLOOKUP(AN$219,$D$5:$AO$5,$D$114:$AO$212))</f>
        <v>#REF!</v>
      </c>
      <c r="AO291" s="304" t="e">
        <f t="array" ref="AO291">_xlfn.XLOOKUP($B291,$B$114:$B$212,_xlfn.XLOOKUP(AO$219,$D$5:$AO$5,$D$114:$AO$212))</f>
        <v>#REF!</v>
      </c>
    </row>
    <row r="292" spans="1:41">
      <c r="B292" s="301" t="s">
        <v>1445</v>
      </c>
      <c r="C292" s="306" t="s">
        <v>1517</v>
      </c>
      <c r="D292" s="307" t="str">
        <f t="array" ref="D292">_xlfn.XLOOKUP($B292,$B$11:$B$109,_xlfn.XLOOKUP(D$219,$D$5:$AO$5,$D$11:$AO$109))</f>
        <v>NZ$m</v>
      </c>
      <c r="E292" s="307"/>
      <c r="F292" s="307"/>
      <c r="G292" s="308" t="e">
        <f t="array" ref="G292">_xlfn.XLOOKUP($B292,$B$11:$B$109,_xlfn.XLOOKUP(G$219,$D$5:$AO$5,$D$11:$AO$109))</f>
        <v>#REF!</v>
      </c>
      <c r="H292" s="308" t="e">
        <f t="array" ref="H292">_xlfn.XLOOKUP($B292,$B$11:$B$109,_xlfn.XLOOKUP(H$219,$D$5:$AO$5,$D$11:$AO$109))</f>
        <v>#REF!</v>
      </c>
      <c r="I292" s="308" t="e">
        <f t="array" ref="I292">_xlfn.XLOOKUP($B292,$B$11:$B$109,_xlfn.XLOOKUP(I$219,$D$5:$AO$5,$D$11:$AO$109))</f>
        <v>#REF!</v>
      </c>
      <c r="J292" s="308" t="e">
        <f t="array" ref="J292">_xlfn.XLOOKUP($B292,$B$11:$B$109,_xlfn.XLOOKUP(J$219,$D$5:$AO$5,$D$11:$AO$109))</f>
        <v>#REF!</v>
      </c>
      <c r="K292" s="308" t="e">
        <f t="array" ref="K292">_xlfn.XLOOKUP($B292,$B$11:$B$109,_xlfn.XLOOKUP(K$219,$D$5:$AO$5,$D$11:$AO$109))</f>
        <v>#REF!</v>
      </c>
      <c r="L292" s="308" t="e">
        <f t="array" ref="L292">_xlfn.XLOOKUP($B292,$B$11:$B$109,_xlfn.XLOOKUP(L$219,$D$5:$AO$5,$D$11:$AO$109))</f>
        <v>#REF!</v>
      </c>
      <c r="M292" s="308" t="e">
        <f t="array" ref="M292">_xlfn.XLOOKUP($B292,$B$11:$B$109,_xlfn.XLOOKUP(M$219,$D$5:$AO$5,$D$11:$AO$109))</f>
        <v>#REF!</v>
      </c>
      <c r="N292" s="308" t="e">
        <f t="array" ref="N292">_xlfn.XLOOKUP($B292,$B$11:$B$109,_xlfn.XLOOKUP(N$219,$D$5:$AO$5,$D$11:$AO$109))</f>
        <v>#REF!</v>
      </c>
      <c r="O292" s="308" t="e">
        <f t="array" ref="O292">_xlfn.XLOOKUP($B292,$B$11:$B$109,_xlfn.XLOOKUP(O$219,$D$5:$AO$5,$D$11:$AO$109))</f>
        <v>#REF!</v>
      </c>
      <c r="P292" s="308" t="e">
        <f t="array" ref="P292">_xlfn.XLOOKUP($B292,$B$11:$B$109,_xlfn.XLOOKUP(P$219,$D$5:$AO$5,$D$11:$AO$109))</f>
        <v>#REF!</v>
      </c>
      <c r="Q292" s="308" t="e">
        <f t="array" ref="Q292">_xlfn.XLOOKUP($B292,$B$11:$B$109,_xlfn.XLOOKUP(Q$219,$D$5:$AO$5,$D$11:$AO$109))</f>
        <v>#REF!</v>
      </c>
      <c r="R292" s="308" t="e">
        <f t="array" ref="R292">_xlfn.XLOOKUP($B292,$B$11:$B$109,_xlfn.XLOOKUP(R$219,$D$5:$AO$5,$D$11:$AO$109))</f>
        <v>#REF!</v>
      </c>
      <c r="S292" s="308" t="e">
        <f t="array" ref="S292">_xlfn.XLOOKUP($B292,$B$11:$B$109,_xlfn.XLOOKUP(S$219,$D$5:$AO$5,$D$11:$AO$109))</f>
        <v>#REF!</v>
      </c>
      <c r="T292" s="308" t="e">
        <f t="array" ref="T292">_xlfn.XLOOKUP($B292,$B$11:$B$109,_xlfn.XLOOKUP(T$219,$D$5:$AO$5,$D$11:$AO$109))</f>
        <v>#REF!</v>
      </c>
      <c r="U292" s="308" t="e">
        <f t="array" ref="U292">_xlfn.XLOOKUP($B292,$B$11:$B$109,_xlfn.XLOOKUP(U$219,$D$5:$AO$5,$D$11:$AO$109))</f>
        <v>#REF!</v>
      </c>
      <c r="V292" s="308" t="e">
        <f t="array" ref="V292">_xlfn.XLOOKUP($B292,$B$11:$B$109,_xlfn.XLOOKUP(V$219,$D$5:$AO$5,$D$11:$AO$109))</f>
        <v>#REF!</v>
      </c>
      <c r="W292" s="308" t="e">
        <f t="array" ref="W292">_xlfn.XLOOKUP($B292,$B$11:$B$109,_xlfn.XLOOKUP(W$219,$D$5:$AO$5,$D$11:$AO$109))</f>
        <v>#REF!</v>
      </c>
      <c r="X292" s="308" t="e">
        <f t="array" ref="X292">_xlfn.XLOOKUP($B292,$B$11:$B$109,_xlfn.XLOOKUP(X$219,$D$5:$AO$5,$D$11:$AO$109))</f>
        <v>#REF!</v>
      </c>
      <c r="Y292" s="308" t="e">
        <f t="array" ref="Y292">_xlfn.XLOOKUP($B292,$B$11:$B$109,_xlfn.XLOOKUP(Y$219,$D$5:$AO$5,$D$11:$AO$109))</f>
        <v>#REF!</v>
      </c>
      <c r="Z292" s="308" t="e">
        <f t="array" ref="Z292">_xlfn.XLOOKUP($B292,$B$11:$B$109,_xlfn.XLOOKUP(Z$219,$D$5:$AO$5,$D$11:$AO$109))</f>
        <v>#REF!</v>
      </c>
      <c r="AA292" s="308"/>
      <c r="AB292" s="306" t="str">
        <f t="shared" si="84"/>
        <v>Total Domestic Revenue - New</v>
      </c>
      <c r="AC292" s="307" t="str">
        <f t="shared" si="85"/>
        <v>NZ$m</v>
      </c>
      <c r="AD292" s="307"/>
      <c r="AE292" s="307"/>
      <c r="AF292" s="308" t="e">
        <f t="array" ref="AF292">_xlfn.XLOOKUP($B292,$B$11:$B$109,_xlfn.XLOOKUP(AF$219,$D$5:$AO$5,$D$11:$AO$109))</f>
        <v>#REF!</v>
      </c>
      <c r="AG292" s="308" t="e">
        <f t="array" ref="AG292">_xlfn.XLOOKUP($B292,$B$11:$B$109,_xlfn.XLOOKUP(AG$219,$D$5:$AO$5,$D$11:$AO$109))</f>
        <v>#REF!</v>
      </c>
      <c r="AH292" s="308" t="e">
        <f t="array" ref="AH292">_xlfn.XLOOKUP($B292,$B$11:$B$109,_xlfn.XLOOKUP(AH$219,$D$5:$AO$5,$D$11:$AO$109))</f>
        <v>#REF!</v>
      </c>
      <c r="AI292" s="308" t="e">
        <f t="array" ref="AI292">_xlfn.XLOOKUP($B292,$B$11:$B$109,_xlfn.XLOOKUP(AI$219,$D$5:$AO$5,$D$11:$AO$109))</f>
        <v>#REF!</v>
      </c>
      <c r="AJ292" s="308" t="e">
        <f t="array" ref="AJ292">_xlfn.XLOOKUP($B292,$B$11:$B$109,_xlfn.XLOOKUP(AJ$219,$D$5:$AO$5,$D$11:$AO$109))</f>
        <v>#REF!</v>
      </c>
      <c r="AK292" s="308" t="e">
        <f t="array" ref="AK292">_xlfn.XLOOKUP($B292,$B$11:$B$109,_xlfn.XLOOKUP(AK$219,$D$5:$AO$5,$D$11:$AO$109))</f>
        <v>#REF!</v>
      </c>
      <c r="AL292" s="308" t="e">
        <f t="array" ref="AL292">_xlfn.XLOOKUP($B292,$B$11:$B$109,_xlfn.XLOOKUP(AL$219,$D$5:$AO$5,$D$11:$AO$109))</f>
        <v>#REF!</v>
      </c>
      <c r="AM292" s="308" t="e">
        <f t="array" ref="AM292">_xlfn.XLOOKUP($B292,$B$11:$B$109,_xlfn.XLOOKUP(AM$219,$D$5:$AO$5,$D$11:$AO$109))</f>
        <v>#REF!</v>
      </c>
      <c r="AN292" s="308" t="e">
        <f t="array" ref="AN292">_xlfn.XLOOKUP($B292,$B$11:$B$109,_xlfn.XLOOKUP(AN$219,$D$5:$AO$5,$D$11:$AO$109))</f>
        <v>#REF!</v>
      </c>
      <c r="AO292" s="308" t="e">
        <f t="array" ref="AO292">_xlfn.XLOOKUP($B292,$B$11:$B$109,_xlfn.XLOOKUP(AO$219,$D$5:$AO$5,$D$11:$AO$109))</f>
        <v>#REF!</v>
      </c>
    </row>
    <row r="293" spans="1:41" hidden="1" outlineLevel="1">
      <c r="B293" s="301"/>
      <c r="C293" s="309" t="s">
        <v>1510</v>
      </c>
      <c r="D293" s="303" t="s">
        <v>88</v>
      </c>
      <c r="E293" s="303"/>
      <c r="F293" s="303"/>
      <c r="G293" s="310" t="s">
        <v>967</v>
      </c>
      <c r="H293" s="310" t="s">
        <v>967</v>
      </c>
      <c r="I293" s="310" t="e">
        <f t="shared" ref="I293:Z293" si="98">I292/G292-1</f>
        <v>#REF!</v>
      </c>
      <c r="J293" s="310" t="e">
        <f t="shared" si="98"/>
        <v>#REF!</v>
      </c>
      <c r="K293" s="310" t="e">
        <f t="shared" si="98"/>
        <v>#REF!</v>
      </c>
      <c r="L293" s="310" t="e">
        <f t="shared" si="98"/>
        <v>#REF!</v>
      </c>
      <c r="M293" s="310" t="e">
        <f t="shared" si="98"/>
        <v>#REF!</v>
      </c>
      <c r="N293" s="310" t="e">
        <f t="shared" si="98"/>
        <v>#REF!</v>
      </c>
      <c r="O293" s="310" t="e">
        <f t="shared" si="98"/>
        <v>#REF!</v>
      </c>
      <c r="P293" s="310" t="e">
        <f t="shared" si="98"/>
        <v>#REF!</v>
      </c>
      <c r="Q293" s="310" t="e">
        <f t="shared" si="98"/>
        <v>#REF!</v>
      </c>
      <c r="R293" s="310" t="e">
        <f t="shared" si="98"/>
        <v>#REF!</v>
      </c>
      <c r="S293" s="310" t="e">
        <f t="shared" si="98"/>
        <v>#REF!</v>
      </c>
      <c r="T293" s="310" t="e">
        <f t="shared" si="98"/>
        <v>#REF!</v>
      </c>
      <c r="U293" s="310" t="e">
        <f t="shared" si="98"/>
        <v>#REF!</v>
      </c>
      <c r="V293" s="310" t="e">
        <f t="shared" si="98"/>
        <v>#REF!</v>
      </c>
      <c r="W293" s="310" t="e">
        <f t="shared" si="98"/>
        <v>#REF!</v>
      </c>
      <c r="X293" s="310" t="e">
        <f t="shared" si="98"/>
        <v>#REF!</v>
      </c>
      <c r="Y293" s="310" t="e">
        <f t="shared" si="98"/>
        <v>#REF!</v>
      </c>
      <c r="Z293" s="310" t="e">
        <f t="shared" si="98"/>
        <v>#REF!</v>
      </c>
      <c r="AA293" s="311"/>
      <c r="AB293" s="309" t="str">
        <f t="shared" si="84"/>
        <v>- Growth</v>
      </c>
      <c r="AC293" s="303" t="str">
        <f t="shared" si="85"/>
        <v>%</v>
      </c>
      <c r="AD293" s="303"/>
      <c r="AE293" s="303"/>
      <c r="AF293" s="310" t="s">
        <v>967</v>
      </c>
      <c r="AG293" s="310" t="e">
        <f t="shared" ref="AG293:AO293" si="99">AG292/AF292-1</f>
        <v>#REF!</v>
      </c>
      <c r="AH293" s="310" t="e">
        <f t="shared" si="99"/>
        <v>#REF!</v>
      </c>
      <c r="AI293" s="310" t="e">
        <f t="shared" si="99"/>
        <v>#REF!</v>
      </c>
      <c r="AJ293" s="310" t="e">
        <f t="shared" si="99"/>
        <v>#REF!</v>
      </c>
      <c r="AK293" s="310" t="e">
        <f t="shared" si="99"/>
        <v>#REF!</v>
      </c>
      <c r="AL293" s="310" t="e">
        <f t="shared" si="99"/>
        <v>#REF!</v>
      </c>
      <c r="AM293" s="310" t="e">
        <f t="shared" si="99"/>
        <v>#REF!</v>
      </c>
      <c r="AN293" s="310" t="e">
        <f t="shared" si="99"/>
        <v>#REF!</v>
      </c>
      <c r="AO293" s="310" t="e">
        <f t="shared" si="99"/>
        <v>#REF!</v>
      </c>
    </row>
    <row r="294" spans="1:41" collapsed="1">
      <c r="B294" s="301"/>
      <c r="C294" s="309" t="s">
        <v>1511</v>
      </c>
      <c r="D294" s="303" t="s">
        <v>88</v>
      </c>
      <c r="E294" s="303"/>
      <c r="F294" s="303"/>
      <c r="G294" s="310">
        <f t="shared" ref="G294:Z294" si="100">IFERROR(ROUND( G292 / G291,2) - 1, 0)</f>
        <v>0</v>
      </c>
      <c r="H294" s="310">
        <f t="shared" si="100"/>
        <v>0</v>
      </c>
      <c r="I294" s="310">
        <f t="shared" si="100"/>
        <v>0</v>
      </c>
      <c r="J294" s="310">
        <f t="shared" si="100"/>
        <v>0</v>
      </c>
      <c r="K294" s="310">
        <f t="shared" si="100"/>
        <v>0</v>
      </c>
      <c r="L294" s="310">
        <f t="shared" si="100"/>
        <v>0</v>
      </c>
      <c r="M294" s="310">
        <f t="shared" si="100"/>
        <v>0</v>
      </c>
      <c r="N294" s="310">
        <f t="shared" si="100"/>
        <v>0</v>
      </c>
      <c r="O294" s="310">
        <f t="shared" si="100"/>
        <v>0</v>
      </c>
      <c r="P294" s="310">
        <f t="shared" si="100"/>
        <v>0</v>
      </c>
      <c r="Q294" s="310">
        <f t="shared" si="100"/>
        <v>0</v>
      </c>
      <c r="R294" s="310">
        <f t="shared" si="100"/>
        <v>0</v>
      </c>
      <c r="S294" s="310">
        <f t="shared" si="100"/>
        <v>0</v>
      </c>
      <c r="T294" s="310">
        <f t="shared" si="100"/>
        <v>0</v>
      </c>
      <c r="U294" s="310">
        <f t="shared" si="100"/>
        <v>0</v>
      </c>
      <c r="V294" s="310">
        <f t="shared" si="100"/>
        <v>0</v>
      </c>
      <c r="W294" s="310">
        <f t="shared" si="100"/>
        <v>0</v>
      </c>
      <c r="X294" s="310">
        <f t="shared" si="100"/>
        <v>0</v>
      </c>
      <c r="Y294" s="310">
        <f t="shared" si="100"/>
        <v>0</v>
      </c>
      <c r="Z294" s="310">
        <f t="shared" si="100"/>
        <v>0</v>
      </c>
      <c r="AA294" s="310"/>
      <c r="AB294" s="309" t="str">
        <f t="shared" si="84"/>
        <v>- Revision</v>
      </c>
      <c r="AC294" s="303" t="str">
        <f t="shared" si="85"/>
        <v>%</v>
      </c>
      <c r="AD294" s="303"/>
      <c r="AE294" s="303"/>
      <c r="AF294" s="310">
        <f t="shared" ref="AF294:AO294" si="101">IFERROR(ROUND( AF292 / AF291,2) - 1, 0)</f>
        <v>0</v>
      </c>
      <c r="AG294" s="310">
        <f t="shared" si="101"/>
        <v>0</v>
      </c>
      <c r="AH294" s="310">
        <f t="shared" si="101"/>
        <v>0</v>
      </c>
      <c r="AI294" s="310">
        <f t="shared" si="101"/>
        <v>0</v>
      </c>
      <c r="AJ294" s="310">
        <f t="shared" si="101"/>
        <v>0</v>
      </c>
      <c r="AK294" s="310">
        <f t="shared" si="101"/>
        <v>0</v>
      </c>
      <c r="AL294" s="310">
        <f t="shared" si="101"/>
        <v>0</v>
      </c>
      <c r="AM294" s="310">
        <f t="shared" si="101"/>
        <v>0</v>
      </c>
      <c r="AN294" s="310">
        <f t="shared" si="101"/>
        <v>0</v>
      </c>
      <c r="AO294" s="310">
        <f t="shared" si="101"/>
        <v>0</v>
      </c>
    </row>
    <row r="295" spans="1:41">
      <c r="B295" s="301" t="s">
        <v>1446</v>
      </c>
      <c r="C295" s="302" t="s">
        <v>1518</v>
      </c>
      <c r="D295" s="303" t="str">
        <f t="array" ref="D295">_xlfn.XLOOKUP($B295,$B$114:$B$212,_xlfn.XLOOKUP(D$219,$D$5:$AO$5,$D$114:$AO$212))</f>
        <v>NZ$m</v>
      </c>
      <c r="E295" s="303"/>
      <c r="F295" s="303"/>
      <c r="G295" s="304" t="e">
        <f t="array" ref="G295">_xlfn.XLOOKUP($B295,$B$114:$B$212,_xlfn.XLOOKUP(G$219,$D$5:$AO$5,$D$114:$AO$212))</f>
        <v>#REF!</v>
      </c>
      <c r="H295" s="304" t="e">
        <f t="array" ref="H295">_xlfn.XLOOKUP($B295,$B$114:$B$212,_xlfn.XLOOKUP(H$219,$D$5:$AO$5,$D$114:$AO$212))</f>
        <v>#REF!</v>
      </c>
      <c r="I295" s="304" t="e">
        <f t="array" ref="I295">_xlfn.XLOOKUP($B295,$B$114:$B$212,_xlfn.XLOOKUP(I$219,$D$5:$AO$5,$D$114:$AO$212))</f>
        <v>#REF!</v>
      </c>
      <c r="J295" s="304" t="e">
        <f t="array" ref="J295">_xlfn.XLOOKUP($B295,$B$114:$B$212,_xlfn.XLOOKUP(J$219,$D$5:$AO$5,$D$114:$AO$212))</f>
        <v>#REF!</v>
      </c>
      <c r="K295" s="304" t="e">
        <f t="array" ref="K295">_xlfn.XLOOKUP($B295,$B$114:$B$212,_xlfn.XLOOKUP(K$219,$D$5:$AO$5,$D$114:$AO$212))</f>
        <v>#REF!</v>
      </c>
      <c r="L295" s="304" t="e">
        <f t="array" ref="L295">_xlfn.XLOOKUP($B295,$B$114:$B$212,_xlfn.XLOOKUP(L$219,$D$5:$AO$5,$D$114:$AO$212))</f>
        <v>#REF!</v>
      </c>
      <c r="M295" s="304" t="e">
        <f t="array" ref="M295">_xlfn.XLOOKUP($B295,$B$114:$B$212,_xlfn.XLOOKUP(M$219,$D$5:$AO$5,$D$114:$AO$212))</f>
        <v>#REF!</v>
      </c>
      <c r="N295" s="304" t="e">
        <f t="array" ref="N295">_xlfn.XLOOKUP($B295,$B$114:$B$212,_xlfn.XLOOKUP(N$219,$D$5:$AO$5,$D$114:$AO$212))</f>
        <v>#REF!</v>
      </c>
      <c r="O295" s="304" t="e">
        <f t="array" ref="O295">_xlfn.XLOOKUP($B295,$B$114:$B$212,_xlfn.XLOOKUP(O$219,$D$5:$AO$5,$D$114:$AO$212))</f>
        <v>#REF!</v>
      </c>
      <c r="P295" s="304" t="e">
        <f t="array" ref="P295">_xlfn.XLOOKUP($B295,$B$114:$B$212,_xlfn.XLOOKUP(P$219,$D$5:$AO$5,$D$114:$AO$212))</f>
        <v>#REF!</v>
      </c>
      <c r="Q295" s="304" t="e">
        <f t="array" ref="Q295">_xlfn.XLOOKUP($B295,$B$114:$B$212,_xlfn.XLOOKUP(Q$219,$D$5:$AO$5,$D$114:$AO$212))</f>
        <v>#REF!</v>
      </c>
      <c r="R295" s="304" t="e">
        <f t="array" ref="R295">_xlfn.XLOOKUP($B295,$B$114:$B$212,_xlfn.XLOOKUP(R$219,$D$5:$AO$5,$D$114:$AO$212))</f>
        <v>#REF!</v>
      </c>
      <c r="S295" s="304" t="e">
        <f t="array" ref="S295">_xlfn.XLOOKUP($B295,$B$114:$B$212,_xlfn.XLOOKUP(S$219,$D$5:$AO$5,$D$114:$AO$212))</f>
        <v>#REF!</v>
      </c>
      <c r="T295" s="304" t="e">
        <f t="array" ref="T295">_xlfn.XLOOKUP($B295,$B$114:$B$212,_xlfn.XLOOKUP(T$219,$D$5:$AO$5,$D$114:$AO$212))</f>
        <v>#REF!</v>
      </c>
      <c r="U295" s="304" t="e">
        <f t="array" ref="U295">_xlfn.XLOOKUP($B295,$B$114:$B$212,_xlfn.XLOOKUP(U$219,$D$5:$AO$5,$D$114:$AO$212))</f>
        <v>#REF!</v>
      </c>
      <c r="V295" s="304" t="e">
        <f t="array" ref="V295">_xlfn.XLOOKUP($B295,$B$114:$B$212,_xlfn.XLOOKUP(V$219,$D$5:$AO$5,$D$114:$AO$212))</f>
        <v>#REF!</v>
      </c>
      <c r="W295" s="304" t="e">
        <f t="array" ref="W295">_xlfn.XLOOKUP($B295,$B$114:$B$212,_xlfn.XLOOKUP(W$219,$D$5:$AO$5,$D$114:$AO$212))</f>
        <v>#REF!</v>
      </c>
      <c r="X295" s="304" t="e">
        <f t="array" ref="X295">_xlfn.XLOOKUP($B295,$B$114:$B$212,_xlfn.XLOOKUP(X$219,$D$5:$AO$5,$D$114:$AO$212))</f>
        <v>#REF!</v>
      </c>
      <c r="Y295" s="304" t="e">
        <f t="array" ref="Y295">_xlfn.XLOOKUP($B295,$B$114:$B$212,_xlfn.XLOOKUP(Y$219,$D$5:$AO$5,$D$114:$AO$212))</f>
        <v>#REF!</v>
      </c>
      <c r="Z295" s="304" t="e">
        <f t="array" ref="Z295">_xlfn.XLOOKUP($B295,$B$114:$B$212,_xlfn.XLOOKUP(Z$219,$D$5:$AO$5,$D$114:$AO$212))</f>
        <v>#REF!</v>
      </c>
      <c r="AA295" s="305"/>
      <c r="AB295" s="302" t="str">
        <f t="shared" si="84"/>
        <v>Total Domestic Revenue excl. GST - old</v>
      </c>
      <c r="AC295" s="303" t="str">
        <f t="shared" si="85"/>
        <v>NZ$m</v>
      </c>
      <c r="AD295" s="303"/>
      <c r="AE295" s="303"/>
      <c r="AF295" s="304" t="e">
        <f t="array" ref="AF295">_xlfn.XLOOKUP($B295,$B$114:$B$212,_xlfn.XLOOKUP(AF$219,$D$5:$AO$5,$D$114:$AO$212))</f>
        <v>#REF!</v>
      </c>
      <c r="AG295" s="304" t="e">
        <f t="array" ref="AG295">_xlfn.XLOOKUP($B295,$B$114:$B$212,_xlfn.XLOOKUP(AG$219,$D$5:$AO$5,$D$114:$AO$212))</f>
        <v>#REF!</v>
      </c>
      <c r="AH295" s="304" t="e">
        <f t="array" ref="AH295">_xlfn.XLOOKUP($B295,$B$114:$B$212,_xlfn.XLOOKUP(AH$219,$D$5:$AO$5,$D$114:$AO$212))</f>
        <v>#REF!</v>
      </c>
      <c r="AI295" s="304" t="e">
        <f t="array" ref="AI295">_xlfn.XLOOKUP($B295,$B$114:$B$212,_xlfn.XLOOKUP(AI$219,$D$5:$AO$5,$D$114:$AO$212))</f>
        <v>#REF!</v>
      </c>
      <c r="AJ295" s="304" t="e">
        <f t="array" ref="AJ295">_xlfn.XLOOKUP($B295,$B$114:$B$212,_xlfn.XLOOKUP(AJ$219,$D$5:$AO$5,$D$114:$AO$212))</f>
        <v>#REF!</v>
      </c>
      <c r="AK295" s="304" t="e">
        <f t="array" ref="AK295">_xlfn.XLOOKUP($B295,$B$114:$B$212,_xlfn.XLOOKUP(AK$219,$D$5:$AO$5,$D$114:$AO$212))</f>
        <v>#REF!</v>
      </c>
      <c r="AL295" s="304" t="e">
        <f t="array" ref="AL295">_xlfn.XLOOKUP($B295,$B$114:$B$212,_xlfn.XLOOKUP(AL$219,$D$5:$AO$5,$D$114:$AO$212))</f>
        <v>#REF!</v>
      </c>
      <c r="AM295" s="304" t="e">
        <f t="array" ref="AM295">_xlfn.XLOOKUP($B295,$B$114:$B$212,_xlfn.XLOOKUP(AM$219,$D$5:$AO$5,$D$114:$AO$212))</f>
        <v>#REF!</v>
      </c>
      <c r="AN295" s="304" t="e">
        <f t="array" ref="AN295">_xlfn.XLOOKUP($B295,$B$114:$B$212,_xlfn.XLOOKUP(AN$219,$D$5:$AO$5,$D$114:$AO$212))</f>
        <v>#REF!</v>
      </c>
      <c r="AO295" s="304" t="e">
        <f t="array" ref="AO295">_xlfn.XLOOKUP($B295,$B$114:$B$212,_xlfn.XLOOKUP(AO$219,$D$5:$AO$5,$D$114:$AO$212))</f>
        <v>#REF!</v>
      </c>
    </row>
    <row r="296" spans="1:41">
      <c r="B296" s="301" t="s">
        <v>1446</v>
      </c>
      <c r="C296" s="306" t="s">
        <v>1519</v>
      </c>
      <c r="D296" s="307" t="str">
        <f t="array" ref="D296">_xlfn.XLOOKUP($B296,$B$11:$B$109,_xlfn.XLOOKUP(D$219,$D$5:$AO$5,$D$11:$AO$109))</f>
        <v>NZ$m</v>
      </c>
      <c r="E296" s="307"/>
      <c r="F296" s="307"/>
      <c r="G296" s="308" t="e">
        <f t="array" ref="G296">_xlfn.XLOOKUP($B296,$B$11:$B$109,_xlfn.XLOOKUP(G$219,$D$5:$AO$5,$D$11:$AO$109))</f>
        <v>#REF!</v>
      </c>
      <c r="H296" s="308" t="e">
        <f t="array" ref="H296">_xlfn.XLOOKUP($B296,$B$11:$B$109,_xlfn.XLOOKUP(H$219,$D$5:$AO$5,$D$11:$AO$109))</f>
        <v>#REF!</v>
      </c>
      <c r="I296" s="308" t="e">
        <f t="array" ref="I296">_xlfn.XLOOKUP($B296,$B$11:$B$109,_xlfn.XLOOKUP(I$219,$D$5:$AO$5,$D$11:$AO$109))</f>
        <v>#REF!</v>
      </c>
      <c r="J296" s="308" t="e">
        <f t="array" ref="J296">_xlfn.XLOOKUP($B296,$B$11:$B$109,_xlfn.XLOOKUP(J$219,$D$5:$AO$5,$D$11:$AO$109))</f>
        <v>#REF!</v>
      </c>
      <c r="K296" s="308" t="e">
        <f t="array" ref="K296">_xlfn.XLOOKUP($B296,$B$11:$B$109,_xlfn.XLOOKUP(K$219,$D$5:$AO$5,$D$11:$AO$109))</f>
        <v>#REF!</v>
      </c>
      <c r="L296" s="308" t="e">
        <f t="array" ref="L296">_xlfn.XLOOKUP($B296,$B$11:$B$109,_xlfn.XLOOKUP(L$219,$D$5:$AO$5,$D$11:$AO$109))</f>
        <v>#REF!</v>
      </c>
      <c r="M296" s="308" t="e">
        <f t="array" ref="M296">_xlfn.XLOOKUP($B296,$B$11:$B$109,_xlfn.XLOOKUP(M$219,$D$5:$AO$5,$D$11:$AO$109))</f>
        <v>#REF!</v>
      </c>
      <c r="N296" s="308" t="e">
        <f t="array" ref="N296">_xlfn.XLOOKUP($B296,$B$11:$B$109,_xlfn.XLOOKUP(N$219,$D$5:$AO$5,$D$11:$AO$109))</f>
        <v>#REF!</v>
      </c>
      <c r="O296" s="308" t="e">
        <f t="array" ref="O296">_xlfn.XLOOKUP($B296,$B$11:$B$109,_xlfn.XLOOKUP(O$219,$D$5:$AO$5,$D$11:$AO$109))</f>
        <v>#REF!</v>
      </c>
      <c r="P296" s="308" t="e">
        <f t="array" ref="P296">_xlfn.XLOOKUP($B296,$B$11:$B$109,_xlfn.XLOOKUP(P$219,$D$5:$AO$5,$D$11:$AO$109))</f>
        <v>#REF!</v>
      </c>
      <c r="Q296" s="308" t="e">
        <f t="array" ref="Q296">_xlfn.XLOOKUP($B296,$B$11:$B$109,_xlfn.XLOOKUP(Q$219,$D$5:$AO$5,$D$11:$AO$109))</f>
        <v>#REF!</v>
      </c>
      <c r="R296" s="308" t="e">
        <f t="array" ref="R296">_xlfn.XLOOKUP($B296,$B$11:$B$109,_xlfn.XLOOKUP(R$219,$D$5:$AO$5,$D$11:$AO$109))</f>
        <v>#REF!</v>
      </c>
      <c r="S296" s="308" t="e">
        <f t="array" ref="S296">_xlfn.XLOOKUP($B296,$B$11:$B$109,_xlfn.XLOOKUP(S$219,$D$5:$AO$5,$D$11:$AO$109))</f>
        <v>#REF!</v>
      </c>
      <c r="T296" s="308" t="e">
        <f t="array" ref="T296">_xlfn.XLOOKUP($B296,$B$11:$B$109,_xlfn.XLOOKUP(T$219,$D$5:$AO$5,$D$11:$AO$109))</f>
        <v>#REF!</v>
      </c>
      <c r="U296" s="308" t="e">
        <f t="array" ref="U296">_xlfn.XLOOKUP($B296,$B$11:$B$109,_xlfn.XLOOKUP(U$219,$D$5:$AO$5,$D$11:$AO$109))</f>
        <v>#REF!</v>
      </c>
      <c r="V296" s="308" t="e">
        <f t="array" ref="V296">_xlfn.XLOOKUP($B296,$B$11:$B$109,_xlfn.XLOOKUP(V$219,$D$5:$AO$5,$D$11:$AO$109))</f>
        <v>#REF!</v>
      </c>
      <c r="W296" s="308" t="e">
        <f t="array" ref="W296">_xlfn.XLOOKUP($B296,$B$11:$B$109,_xlfn.XLOOKUP(W$219,$D$5:$AO$5,$D$11:$AO$109))</f>
        <v>#REF!</v>
      </c>
      <c r="X296" s="308" t="e">
        <f t="array" ref="X296">_xlfn.XLOOKUP($B296,$B$11:$B$109,_xlfn.XLOOKUP(X$219,$D$5:$AO$5,$D$11:$AO$109))</f>
        <v>#REF!</v>
      </c>
      <c r="Y296" s="308" t="e">
        <f t="array" ref="Y296">_xlfn.XLOOKUP($B296,$B$11:$B$109,_xlfn.XLOOKUP(Y$219,$D$5:$AO$5,$D$11:$AO$109))</f>
        <v>#REF!</v>
      </c>
      <c r="Z296" s="308" t="e">
        <f t="array" ref="Z296">_xlfn.XLOOKUP($B296,$B$11:$B$109,_xlfn.XLOOKUP(Z$219,$D$5:$AO$5,$D$11:$AO$109))</f>
        <v>#REF!</v>
      </c>
      <c r="AA296" s="308"/>
      <c r="AB296" s="306" t="str">
        <f t="shared" si="84"/>
        <v>Total Domestic Revenue excl. GST - New</v>
      </c>
      <c r="AC296" s="307" t="str">
        <f t="shared" si="85"/>
        <v>NZ$m</v>
      </c>
      <c r="AD296" s="307"/>
      <c r="AE296" s="307"/>
      <c r="AF296" s="308" t="e">
        <f t="array" ref="AF296">_xlfn.XLOOKUP($B296,$B$11:$B$109,_xlfn.XLOOKUP(AF$219,$D$5:$AO$5,$D$11:$AO$109))</f>
        <v>#REF!</v>
      </c>
      <c r="AG296" s="308" t="e">
        <f t="array" ref="AG296">_xlfn.XLOOKUP($B296,$B$11:$B$109,_xlfn.XLOOKUP(AG$219,$D$5:$AO$5,$D$11:$AO$109))</f>
        <v>#REF!</v>
      </c>
      <c r="AH296" s="308" t="e">
        <f t="array" ref="AH296">_xlfn.XLOOKUP($B296,$B$11:$B$109,_xlfn.XLOOKUP(AH$219,$D$5:$AO$5,$D$11:$AO$109))</f>
        <v>#REF!</v>
      </c>
      <c r="AI296" s="308" t="e">
        <f t="array" ref="AI296">_xlfn.XLOOKUP($B296,$B$11:$B$109,_xlfn.XLOOKUP(AI$219,$D$5:$AO$5,$D$11:$AO$109))</f>
        <v>#REF!</v>
      </c>
      <c r="AJ296" s="308" t="e">
        <f t="array" ref="AJ296">_xlfn.XLOOKUP($B296,$B$11:$B$109,_xlfn.XLOOKUP(AJ$219,$D$5:$AO$5,$D$11:$AO$109))</f>
        <v>#REF!</v>
      </c>
      <c r="AK296" s="308" t="e">
        <f t="array" ref="AK296">_xlfn.XLOOKUP($B296,$B$11:$B$109,_xlfn.XLOOKUP(AK$219,$D$5:$AO$5,$D$11:$AO$109))</f>
        <v>#REF!</v>
      </c>
      <c r="AL296" s="308" t="e">
        <f t="array" ref="AL296">_xlfn.XLOOKUP($B296,$B$11:$B$109,_xlfn.XLOOKUP(AL$219,$D$5:$AO$5,$D$11:$AO$109))</f>
        <v>#REF!</v>
      </c>
      <c r="AM296" s="308" t="e">
        <f t="array" ref="AM296">_xlfn.XLOOKUP($B296,$B$11:$B$109,_xlfn.XLOOKUP(AM$219,$D$5:$AO$5,$D$11:$AO$109))</f>
        <v>#REF!</v>
      </c>
      <c r="AN296" s="308" t="e">
        <f t="array" ref="AN296">_xlfn.XLOOKUP($B296,$B$11:$B$109,_xlfn.XLOOKUP(AN$219,$D$5:$AO$5,$D$11:$AO$109))</f>
        <v>#REF!</v>
      </c>
      <c r="AO296" s="308" t="e">
        <f t="array" ref="AO296">_xlfn.XLOOKUP($B296,$B$11:$B$109,_xlfn.XLOOKUP(AO$219,$D$5:$AO$5,$D$11:$AO$109))</f>
        <v>#REF!</v>
      </c>
    </row>
    <row r="297" spans="1:41" hidden="1" outlineLevel="1">
      <c r="B297" s="301"/>
      <c r="C297" s="309" t="s">
        <v>1510</v>
      </c>
      <c r="D297" s="303" t="s">
        <v>88</v>
      </c>
      <c r="E297" s="303"/>
      <c r="F297" s="303"/>
      <c r="G297" s="310" t="s">
        <v>967</v>
      </c>
      <c r="H297" s="310" t="s">
        <v>967</v>
      </c>
      <c r="I297" s="310" t="e">
        <f t="shared" ref="I297:Z297" si="102">I296/G296-1</f>
        <v>#REF!</v>
      </c>
      <c r="J297" s="310" t="e">
        <f t="shared" si="102"/>
        <v>#REF!</v>
      </c>
      <c r="K297" s="310" t="e">
        <f t="shared" si="102"/>
        <v>#REF!</v>
      </c>
      <c r="L297" s="310" t="e">
        <f t="shared" si="102"/>
        <v>#REF!</v>
      </c>
      <c r="M297" s="310" t="e">
        <f t="shared" si="102"/>
        <v>#REF!</v>
      </c>
      <c r="N297" s="310" t="e">
        <f t="shared" si="102"/>
        <v>#REF!</v>
      </c>
      <c r="O297" s="310" t="e">
        <f t="shared" si="102"/>
        <v>#REF!</v>
      </c>
      <c r="P297" s="310" t="e">
        <f t="shared" si="102"/>
        <v>#REF!</v>
      </c>
      <c r="Q297" s="310" t="e">
        <f t="shared" si="102"/>
        <v>#REF!</v>
      </c>
      <c r="R297" s="310" t="e">
        <f t="shared" si="102"/>
        <v>#REF!</v>
      </c>
      <c r="S297" s="310" t="e">
        <f t="shared" si="102"/>
        <v>#REF!</v>
      </c>
      <c r="T297" s="310" t="e">
        <f t="shared" si="102"/>
        <v>#REF!</v>
      </c>
      <c r="U297" s="310" t="e">
        <f t="shared" si="102"/>
        <v>#REF!</v>
      </c>
      <c r="V297" s="310" t="e">
        <f t="shared" si="102"/>
        <v>#REF!</v>
      </c>
      <c r="W297" s="310" t="e">
        <f t="shared" si="102"/>
        <v>#REF!</v>
      </c>
      <c r="X297" s="310" t="e">
        <f t="shared" si="102"/>
        <v>#REF!</v>
      </c>
      <c r="Y297" s="310" t="e">
        <f t="shared" si="102"/>
        <v>#REF!</v>
      </c>
      <c r="Z297" s="310" t="e">
        <f t="shared" si="102"/>
        <v>#REF!</v>
      </c>
      <c r="AA297" s="311"/>
      <c r="AB297" s="309" t="str">
        <f t="shared" si="84"/>
        <v>- Growth</v>
      </c>
      <c r="AC297" s="303" t="str">
        <f t="shared" si="85"/>
        <v>%</v>
      </c>
      <c r="AD297" s="303"/>
      <c r="AE297" s="303"/>
      <c r="AF297" s="310" t="s">
        <v>967</v>
      </c>
      <c r="AG297" s="310" t="e">
        <f t="shared" ref="AG297:AO297" si="103">AG296/AF296-1</f>
        <v>#REF!</v>
      </c>
      <c r="AH297" s="310" t="e">
        <f t="shared" si="103"/>
        <v>#REF!</v>
      </c>
      <c r="AI297" s="310" t="e">
        <f t="shared" si="103"/>
        <v>#REF!</v>
      </c>
      <c r="AJ297" s="310" t="e">
        <f t="shared" si="103"/>
        <v>#REF!</v>
      </c>
      <c r="AK297" s="310" t="e">
        <f t="shared" si="103"/>
        <v>#REF!</v>
      </c>
      <c r="AL297" s="310" t="e">
        <f t="shared" si="103"/>
        <v>#REF!</v>
      </c>
      <c r="AM297" s="310" t="e">
        <f t="shared" si="103"/>
        <v>#REF!</v>
      </c>
      <c r="AN297" s="310" t="e">
        <f t="shared" si="103"/>
        <v>#REF!</v>
      </c>
      <c r="AO297" s="310" t="e">
        <f t="shared" si="103"/>
        <v>#REF!</v>
      </c>
    </row>
    <row r="298" spans="1:41" collapsed="1">
      <c r="B298" s="301"/>
      <c r="C298" s="309" t="s">
        <v>1511</v>
      </c>
      <c r="D298" s="303" t="s">
        <v>88</v>
      </c>
      <c r="E298" s="303"/>
      <c r="F298" s="303"/>
      <c r="G298" s="310">
        <f t="shared" ref="G298:Z298" si="104">IFERROR(ROUND( G296 / G295,2) - 1, 0)</f>
        <v>0</v>
      </c>
      <c r="H298" s="310">
        <f t="shared" si="104"/>
        <v>0</v>
      </c>
      <c r="I298" s="310">
        <f t="shared" si="104"/>
        <v>0</v>
      </c>
      <c r="J298" s="310">
        <f t="shared" si="104"/>
        <v>0</v>
      </c>
      <c r="K298" s="310">
        <f t="shared" si="104"/>
        <v>0</v>
      </c>
      <c r="L298" s="310">
        <f t="shared" si="104"/>
        <v>0</v>
      </c>
      <c r="M298" s="310">
        <f t="shared" si="104"/>
        <v>0</v>
      </c>
      <c r="N298" s="310">
        <f t="shared" si="104"/>
        <v>0</v>
      </c>
      <c r="O298" s="310">
        <f t="shared" si="104"/>
        <v>0</v>
      </c>
      <c r="P298" s="310">
        <f t="shared" si="104"/>
        <v>0</v>
      </c>
      <c r="Q298" s="310">
        <f t="shared" si="104"/>
        <v>0</v>
      </c>
      <c r="R298" s="310">
        <f t="shared" si="104"/>
        <v>0</v>
      </c>
      <c r="S298" s="310">
        <f t="shared" si="104"/>
        <v>0</v>
      </c>
      <c r="T298" s="310">
        <f t="shared" si="104"/>
        <v>0</v>
      </c>
      <c r="U298" s="310">
        <f t="shared" si="104"/>
        <v>0</v>
      </c>
      <c r="V298" s="310">
        <f t="shared" si="104"/>
        <v>0</v>
      </c>
      <c r="W298" s="310">
        <f t="shared" si="104"/>
        <v>0</v>
      </c>
      <c r="X298" s="310">
        <f t="shared" si="104"/>
        <v>0</v>
      </c>
      <c r="Y298" s="310">
        <f t="shared" si="104"/>
        <v>0</v>
      </c>
      <c r="Z298" s="310">
        <f t="shared" si="104"/>
        <v>0</v>
      </c>
      <c r="AA298" s="310"/>
      <c r="AB298" s="309" t="str">
        <f t="shared" si="84"/>
        <v>- Revision</v>
      </c>
      <c r="AC298" s="303" t="str">
        <f t="shared" si="85"/>
        <v>%</v>
      </c>
      <c r="AD298" s="303"/>
      <c r="AE298" s="303"/>
      <c r="AF298" s="310">
        <f t="shared" ref="AF298:AO298" si="105">IFERROR(ROUND( AF296 / AF295,2) - 1, 0)</f>
        <v>0</v>
      </c>
      <c r="AG298" s="310">
        <f t="shared" si="105"/>
        <v>0</v>
      </c>
      <c r="AH298" s="310">
        <f t="shared" si="105"/>
        <v>0</v>
      </c>
      <c r="AI298" s="310">
        <f t="shared" si="105"/>
        <v>0</v>
      </c>
      <c r="AJ298" s="310">
        <f t="shared" si="105"/>
        <v>0</v>
      </c>
      <c r="AK298" s="310">
        <f t="shared" si="105"/>
        <v>0</v>
      </c>
      <c r="AL298" s="310">
        <f t="shared" si="105"/>
        <v>0</v>
      </c>
      <c r="AM298" s="310">
        <f t="shared" si="105"/>
        <v>0</v>
      </c>
      <c r="AN298" s="310">
        <f t="shared" si="105"/>
        <v>0</v>
      </c>
      <c r="AO298" s="310">
        <f t="shared" si="105"/>
        <v>0</v>
      </c>
    </row>
    <row r="299" spans="1:41">
      <c r="B299" s="301" t="s">
        <v>1447</v>
      </c>
      <c r="C299" s="302" t="s">
        <v>1520</v>
      </c>
      <c r="D299" s="303" t="str">
        <f t="array" ref="D299">_xlfn.XLOOKUP($B299,$B$114:$B$212,_xlfn.XLOOKUP(D$219,$D$5:$AO$5,$D$114:$AO$212))</f>
        <v>NZ$m</v>
      </c>
      <c r="E299" s="303"/>
      <c r="F299" s="303"/>
      <c r="G299" s="304" t="e">
        <f t="array" ref="G299">_xlfn.XLOOKUP($B299,$B$114:$B$212,_xlfn.XLOOKUP(G$219,$D$5:$AO$5,$D$114:$AO$212))</f>
        <v>#REF!</v>
      </c>
      <c r="H299" s="304" t="e">
        <f t="array" ref="H299">_xlfn.XLOOKUP($B299,$B$114:$B$212,_xlfn.XLOOKUP(H$219,$D$5:$AO$5,$D$114:$AO$212))</f>
        <v>#REF!</v>
      </c>
      <c r="I299" s="304" t="e">
        <f t="array" ref="I299">_xlfn.XLOOKUP($B299,$B$114:$B$212,_xlfn.XLOOKUP(I$219,$D$5:$AO$5,$D$114:$AO$212))</f>
        <v>#REF!</v>
      </c>
      <c r="J299" s="304" t="e">
        <f t="array" ref="J299">_xlfn.XLOOKUP($B299,$B$114:$B$212,_xlfn.XLOOKUP(J$219,$D$5:$AO$5,$D$114:$AO$212))</f>
        <v>#REF!</v>
      </c>
      <c r="K299" s="304" t="e">
        <f t="array" ref="K299">_xlfn.XLOOKUP($B299,$B$114:$B$212,_xlfn.XLOOKUP(K$219,$D$5:$AO$5,$D$114:$AO$212))</f>
        <v>#REF!</v>
      </c>
      <c r="L299" s="304" t="e">
        <f t="array" ref="L299">_xlfn.XLOOKUP($B299,$B$114:$B$212,_xlfn.XLOOKUP(L$219,$D$5:$AO$5,$D$114:$AO$212))</f>
        <v>#REF!</v>
      </c>
      <c r="M299" s="304" t="e">
        <f t="array" ref="M299">_xlfn.XLOOKUP($B299,$B$114:$B$212,_xlfn.XLOOKUP(M$219,$D$5:$AO$5,$D$114:$AO$212))</f>
        <v>#REF!</v>
      </c>
      <c r="N299" s="304" t="e">
        <f t="array" ref="N299">_xlfn.XLOOKUP($B299,$B$114:$B$212,_xlfn.XLOOKUP(N$219,$D$5:$AO$5,$D$114:$AO$212))</f>
        <v>#REF!</v>
      </c>
      <c r="O299" s="304" t="e">
        <f t="array" ref="O299">_xlfn.XLOOKUP($B299,$B$114:$B$212,_xlfn.XLOOKUP(O$219,$D$5:$AO$5,$D$114:$AO$212))</f>
        <v>#REF!</v>
      </c>
      <c r="P299" s="304" t="e">
        <f t="array" ref="P299">_xlfn.XLOOKUP($B299,$B$114:$B$212,_xlfn.XLOOKUP(P$219,$D$5:$AO$5,$D$114:$AO$212))</f>
        <v>#REF!</v>
      </c>
      <c r="Q299" s="304" t="e">
        <f t="array" ref="Q299">_xlfn.XLOOKUP($B299,$B$114:$B$212,_xlfn.XLOOKUP(Q$219,$D$5:$AO$5,$D$114:$AO$212))</f>
        <v>#REF!</v>
      </c>
      <c r="R299" s="304" t="e">
        <f t="array" ref="R299">_xlfn.XLOOKUP($B299,$B$114:$B$212,_xlfn.XLOOKUP(R$219,$D$5:$AO$5,$D$114:$AO$212))</f>
        <v>#REF!</v>
      </c>
      <c r="S299" s="304" t="e">
        <f t="array" ref="S299">_xlfn.XLOOKUP($B299,$B$114:$B$212,_xlfn.XLOOKUP(S$219,$D$5:$AO$5,$D$114:$AO$212))</f>
        <v>#REF!</v>
      </c>
      <c r="T299" s="304" t="e">
        <f t="array" ref="T299">_xlfn.XLOOKUP($B299,$B$114:$B$212,_xlfn.XLOOKUP(T$219,$D$5:$AO$5,$D$114:$AO$212))</f>
        <v>#REF!</v>
      </c>
      <c r="U299" s="304" t="e">
        <f t="array" ref="U299">_xlfn.XLOOKUP($B299,$B$114:$B$212,_xlfn.XLOOKUP(U$219,$D$5:$AO$5,$D$114:$AO$212))</f>
        <v>#REF!</v>
      </c>
      <c r="V299" s="304" t="e">
        <f t="array" ref="V299">_xlfn.XLOOKUP($B299,$B$114:$B$212,_xlfn.XLOOKUP(V$219,$D$5:$AO$5,$D$114:$AO$212))</f>
        <v>#REF!</v>
      </c>
      <c r="W299" s="304" t="e">
        <f t="array" ref="W299">_xlfn.XLOOKUP($B299,$B$114:$B$212,_xlfn.XLOOKUP(W$219,$D$5:$AO$5,$D$114:$AO$212))</f>
        <v>#REF!</v>
      </c>
      <c r="X299" s="304" t="e">
        <f t="array" ref="X299">_xlfn.XLOOKUP($B299,$B$114:$B$212,_xlfn.XLOOKUP(X$219,$D$5:$AO$5,$D$114:$AO$212))</f>
        <v>#REF!</v>
      </c>
      <c r="Y299" s="304" t="e">
        <f t="array" ref="Y299">_xlfn.XLOOKUP($B299,$B$114:$B$212,_xlfn.XLOOKUP(Y$219,$D$5:$AO$5,$D$114:$AO$212))</f>
        <v>#REF!</v>
      </c>
      <c r="Z299" s="304" t="e">
        <f t="array" ref="Z299">_xlfn.XLOOKUP($B299,$B$114:$B$212,_xlfn.XLOOKUP(Z$219,$D$5:$AO$5,$D$114:$AO$212))</f>
        <v>#REF!</v>
      </c>
      <c r="AA299" s="305"/>
      <c r="AB299" s="302" t="str">
        <f t="shared" si="84"/>
        <v>EBITDA excl. IB - old</v>
      </c>
      <c r="AC299" s="303" t="str">
        <f t="shared" si="85"/>
        <v>NZ$m</v>
      </c>
      <c r="AD299" s="303"/>
      <c r="AE299" s="303"/>
      <c r="AF299" s="304" t="e">
        <f t="array" ref="AF299">_xlfn.XLOOKUP($B299,$B$114:$B$212,_xlfn.XLOOKUP(AF$219,$D$5:$AO$5,$D$114:$AO$212))</f>
        <v>#REF!</v>
      </c>
      <c r="AG299" s="304" t="e">
        <f t="array" ref="AG299">_xlfn.XLOOKUP($B299,$B$114:$B$212,_xlfn.XLOOKUP(AG$219,$D$5:$AO$5,$D$114:$AO$212))</f>
        <v>#REF!</v>
      </c>
      <c r="AH299" s="304" t="e">
        <f t="array" ref="AH299">_xlfn.XLOOKUP($B299,$B$114:$B$212,_xlfn.XLOOKUP(AH$219,$D$5:$AO$5,$D$114:$AO$212))</f>
        <v>#REF!</v>
      </c>
      <c r="AI299" s="304" t="e">
        <f t="array" ref="AI299">_xlfn.XLOOKUP($B299,$B$114:$B$212,_xlfn.XLOOKUP(AI$219,$D$5:$AO$5,$D$114:$AO$212))</f>
        <v>#REF!</v>
      </c>
      <c r="AJ299" s="304" t="e">
        <f t="array" ref="AJ299">_xlfn.XLOOKUP($B299,$B$114:$B$212,_xlfn.XLOOKUP(AJ$219,$D$5:$AO$5,$D$114:$AO$212))</f>
        <v>#REF!</v>
      </c>
      <c r="AK299" s="304" t="e">
        <f t="array" ref="AK299">_xlfn.XLOOKUP($B299,$B$114:$B$212,_xlfn.XLOOKUP(AK$219,$D$5:$AO$5,$D$114:$AO$212))</f>
        <v>#REF!</v>
      </c>
      <c r="AL299" s="304" t="e">
        <f t="array" ref="AL299">_xlfn.XLOOKUP($B299,$B$114:$B$212,_xlfn.XLOOKUP(AL$219,$D$5:$AO$5,$D$114:$AO$212))</f>
        <v>#REF!</v>
      </c>
      <c r="AM299" s="304" t="e">
        <f t="array" ref="AM299">_xlfn.XLOOKUP($B299,$B$114:$B$212,_xlfn.XLOOKUP(AM$219,$D$5:$AO$5,$D$114:$AO$212))</f>
        <v>#REF!</v>
      </c>
      <c r="AN299" s="304" t="e">
        <f t="array" ref="AN299">_xlfn.XLOOKUP($B299,$B$114:$B$212,_xlfn.XLOOKUP(AN$219,$D$5:$AO$5,$D$114:$AO$212))</f>
        <v>#REF!</v>
      </c>
      <c r="AO299" s="304" t="e">
        <f t="array" ref="AO299">_xlfn.XLOOKUP($B299,$B$114:$B$212,_xlfn.XLOOKUP(AO$219,$D$5:$AO$5,$D$114:$AO$212))</f>
        <v>#REF!</v>
      </c>
    </row>
    <row r="300" spans="1:41">
      <c r="B300" s="301" t="s">
        <v>1447</v>
      </c>
      <c r="C300" s="306" t="s">
        <v>1521</v>
      </c>
      <c r="D300" s="307" t="str">
        <f t="array" ref="D300">_xlfn.XLOOKUP($B300,$B$11:$B$109,_xlfn.XLOOKUP(D$219,$D$5:$AO$5,$D$11:$AO$109))</f>
        <v>NZ$m</v>
      </c>
      <c r="E300" s="307"/>
      <c r="F300" s="307"/>
      <c r="G300" s="308" t="e">
        <f t="array" ref="G300">_xlfn.XLOOKUP($B300,$B$11:$B$109,_xlfn.XLOOKUP(G$219,$D$5:$AO$5,$D$11:$AO$109))</f>
        <v>#REF!</v>
      </c>
      <c r="H300" s="308" t="e">
        <f t="array" ref="H300">_xlfn.XLOOKUP($B300,$B$11:$B$109,_xlfn.XLOOKUP(H$219,$D$5:$AO$5,$D$11:$AO$109))</f>
        <v>#REF!</v>
      </c>
      <c r="I300" s="308" t="e">
        <f t="array" ref="I300">_xlfn.XLOOKUP($B300,$B$11:$B$109,_xlfn.XLOOKUP(I$219,$D$5:$AO$5,$D$11:$AO$109))</f>
        <v>#REF!</v>
      </c>
      <c r="J300" s="308" t="e">
        <f t="array" ref="J300">_xlfn.XLOOKUP($B300,$B$11:$B$109,_xlfn.XLOOKUP(J$219,$D$5:$AO$5,$D$11:$AO$109))</f>
        <v>#REF!</v>
      </c>
      <c r="K300" s="308" t="e">
        <f t="array" ref="K300">_xlfn.XLOOKUP($B300,$B$11:$B$109,_xlfn.XLOOKUP(K$219,$D$5:$AO$5,$D$11:$AO$109))</f>
        <v>#REF!</v>
      </c>
      <c r="L300" s="308" t="e">
        <f t="array" ref="L300">_xlfn.XLOOKUP($B300,$B$11:$B$109,_xlfn.XLOOKUP(L$219,$D$5:$AO$5,$D$11:$AO$109))</f>
        <v>#REF!</v>
      </c>
      <c r="M300" s="308" t="e">
        <f t="array" ref="M300">_xlfn.XLOOKUP($B300,$B$11:$B$109,_xlfn.XLOOKUP(M$219,$D$5:$AO$5,$D$11:$AO$109))</f>
        <v>#REF!</v>
      </c>
      <c r="N300" s="308" t="e">
        <f t="array" ref="N300">_xlfn.XLOOKUP($B300,$B$11:$B$109,_xlfn.XLOOKUP(N$219,$D$5:$AO$5,$D$11:$AO$109))</f>
        <v>#REF!</v>
      </c>
      <c r="O300" s="308" t="e">
        <f t="array" ref="O300">_xlfn.XLOOKUP($B300,$B$11:$B$109,_xlfn.XLOOKUP(O$219,$D$5:$AO$5,$D$11:$AO$109))</f>
        <v>#REF!</v>
      </c>
      <c r="P300" s="308" t="e">
        <f t="array" ref="P300">_xlfn.XLOOKUP($B300,$B$11:$B$109,_xlfn.XLOOKUP(P$219,$D$5:$AO$5,$D$11:$AO$109))</f>
        <v>#REF!</v>
      </c>
      <c r="Q300" s="308" t="e">
        <f t="array" ref="Q300">_xlfn.XLOOKUP($B300,$B$11:$B$109,_xlfn.XLOOKUP(Q$219,$D$5:$AO$5,$D$11:$AO$109))</f>
        <v>#REF!</v>
      </c>
      <c r="R300" s="308" t="e">
        <f t="array" ref="R300">_xlfn.XLOOKUP($B300,$B$11:$B$109,_xlfn.XLOOKUP(R$219,$D$5:$AO$5,$D$11:$AO$109))</f>
        <v>#REF!</v>
      </c>
      <c r="S300" s="308" t="e">
        <f t="array" ref="S300">_xlfn.XLOOKUP($B300,$B$11:$B$109,_xlfn.XLOOKUP(S$219,$D$5:$AO$5,$D$11:$AO$109))</f>
        <v>#REF!</v>
      </c>
      <c r="T300" s="308" t="e">
        <f t="array" ref="T300">_xlfn.XLOOKUP($B300,$B$11:$B$109,_xlfn.XLOOKUP(T$219,$D$5:$AO$5,$D$11:$AO$109))</f>
        <v>#REF!</v>
      </c>
      <c r="U300" s="308" t="e">
        <f t="array" ref="U300">_xlfn.XLOOKUP($B300,$B$11:$B$109,_xlfn.XLOOKUP(U$219,$D$5:$AO$5,$D$11:$AO$109))</f>
        <v>#REF!</v>
      </c>
      <c r="V300" s="308" t="e">
        <f t="array" ref="V300">_xlfn.XLOOKUP($B300,$B$11:$B$109,_xlfn.XLOOKUP(V$219,$D$5:$AO$5,$D$11:$AO$109))</f>
        <v>#REF!</v>
      </c>
      <c r="W300" s="308" t="e">
        <f t="array" ref="W300">_xlfn.XLOOKUP($B300,$B$11:$B$109,_xlfn.XLOOKUP(W$219,$D$5:$AO$5,$D$11:$AO$109))</f>
        <v>#REF!</v>
      </c>
      <c r="X300" s="308" t="e">
        <f t="array" ref="X300">_xlfn.XLOOKUP($B300,$B$11:$B$109,_xlfn.XLOOKUP(X$219,$D$5:$AO$5,$D$11:$AO$109))</f>
        <v>#REF!</v>
      </c>
      <c r="Y300" s="308" t="e">
        <f t="array" ref="Y300">_xlfn.XLOOKUP($B300,$B$11:$B$109,_xlfn.XLOOKUP(Y$219,$D$5:$AO$5,$D$11:$AO$109))</f>
        <v>#REF!</v>
      </c>
      <c r="Z300" s="308" t="e">
        <f t="array" ref="Z300">_xlfn.XLOOKUP($B300,$B$11:$B$109,_xlfn.XLOOKUP(Z$219,$D$5:$AO$5,$D$11:$AO$109))</f>
        <v>#REF!</v>
      </c>
      <c r="AA300" s="308"/>
      <c r="AB300" s="306" t="str">
        <f t="shared" si="84"/>
        <v>EBITDA excl. IB - New</v>
      </c>
      <c r="AC300" s="307" t="str">
        <f t="shared" si="85"/>
        <v>NZ$m</v>
      </c>
      <c r="AD300" s="307"/>
      <c r="AE300" s="307"/>
      <c r="AF300" s="308" t="e">
        <f t="array" ref="AF300">_xlfn.XLOOKUP($B300,$B$11:$B$109,_xlfn.XLOOKUP(AF$219,$D$5:$AO$5,$D$11:$AO$109))</f>
        <v>#REF!</v>
      </c>
      <c r="AG300" s="308" t="e">
        <f t="array" ref="AG300">_xlfn.XLOOKUP($B300,$B$11:$B$109,_xlfn.XLOOKUP(AG$219,$D$5:$AO$5,$D$11:$AO$109))</f>
        <v>#REF!</v>
      </c>
      <c r="AH300" s="308" t="e">
        <f t="array" ref="AH300">_xlfn.XLOOKUP($B300,$B$11:$B$109,_xlfn.XLOOKUP(AH$219,$D$5:$AO$5,$D$11:$AO$109))</f>
        <v>#REF!</v>
      </c>
      <c r="AI300" s="308" t="e">
        <f t="array" ref="AI300">_xlfn.XLOOKUP($B300,$B$11:$B$109,_xlfn.XLOOKUP(AI$219,$D$5:$AO$5,$D$11:$AO$109))</f>
        <v>#REF!</v>
      </c>
      <c r="AJ300" s="308" t="e">
        <f t="array" ref="AJ300">_xlfn.XLOOKUP($B300,$B$11:$B$109,_xlfn.XLOOKUP(AJ$219,$D$5:$AO$5,$D$11:$AO$109))</f>
        <v>#REF!</v>
      </c>
      <c r="AK300" s="308" t="e">
        <f t="array" ref="AK300">_xlfn.XLOOKUP($B300,$B$11:$B$109,_xlfn.XLOOKUP(AK$219,$D$5:$AO$5,$D$11:$AO$109))</f>
        <v>#REF!</v>
      </c>
      <c r="AL300" s="308" t="e">
        <f t="array" ref="AL300">_xlfn.XLOOKUP($B300,$B$11:$B$109,_xlfn.XLOOKUP(AL$219,$D$5:$AO$5,$D$11:$AO$109))</f>
        <v>#REF!</v>
      </c>
      <c r="AM300" s="308" t="e">
        <f t="array" ref="AM300">_xlfn.XLOOKUP($B300,$B$11:$B$109,_xlfn.XLOOKUP(AM$219,$D$5:$AO$5,$D$11:$AO$109))</f>
        <v>#REF!</v>
      </c>
      <c r="AN300" s="308" t="e">
        <f t="array" ref="AN300">_xlfn.XLOOKUP($B300,$B$11:$B$109,_xlfn.XLOOKUP(AN$219,$D$5:$AO$5,$D$11:$AO$109))</f>
        <v>#REF!</v>
      </c>
      <c r="AO300" s="308" t="e">
        <f t="array" ref="AO300">_xlfn.XLOOKUP($B300,$B$11:$B$109,_xlfn.XLOOKUP(AO$219,$D$5:$AO$5,$D$11:$AO$109))</f>
        <v>#REF!</v>
      </c>
    </row>
    <row r="301" spans="1:41" hidden="1" outlineLevel="1">
      <c r="C301" s="309" t="s">
        <v>1510</v>
      </c>
      <c r="D301" s="303" t="s">
        <v>88</v>
      </c>
      <c r="E301" s="303"/>
      <c r="F301" s="303"/>
      <c r="G301" s="310" t="s">
        <v>967</v>
      </c>
      <c r="H301" s="310" t="s">
        <v>967</v>
      </c>
      <c r="I301" s="310" t="e">
        <f t="shared" ref="I301:Z301" si="106">I300/G300-1</f>
        <v>#REF!</v>
      </c>
      <c r="J301" s="310" t="e">
        <f t="shared" si="106"/>
        <v>#REF!</v>
      </c>
      <c r="K301" s="310" t="e">
        <f t="shared" si="106"/>
        <v>#REF!</v>
      </c>
      <c r="L301" s="310" t="e">
        <f t="shared" si="106"/>
        <v>#REF!</v>
      </c>
      <c r="M301" s="310" t="e">
        <f t="shared" si="106"/>
        <v>#REF!</v>
      </c>
      <c r="N301" s="310" t="e">
        <f t="shared" si="106"/>
        <v>#REF!</v>
      </c>
      <c r="O301" s="310" t="e">
        <f t="shared" si="106"/>
        <v>#REF!</v>
      </c>
      <c r="P301" s="310" t="e">
        <f t="shared" si="106"/>
        <v>#REF!</v>
      </c>
      <c r="Q301" s="310" t="e">
        <f t="shared" si="106"/>
        <v>#REF!</v>
      </c>
      <c r="R301" s="310" t="e">
        <f t="shared" si="106"/>
        <v>#REF!</v>
      </c>
      <c r="S301" s="310" t="e">
        <f t="shared" si="106"/>
        <v>#REF!</v>
      </c>
      <c r="T301" s="310" t="e">
        <f t="shared" si="106"/>
        <v>#REF!</v>
      </c>
      <c r="U301" s="310" t="e">
        <f t="shared" si="106"/>
        <v>#REF!</v>
      </c>
      <c r="V301" s="310" t="e">
        <f t="shared" si="106"/>
        <v>#REF!</v>
      </c>
      <c r="W301" s="310" t="e">
        <f t="shared" si="106"/>
        <v>#REF!</v>
      </c>
      <c r="X301" s="310" t="e">
        <f t="shared" si="106"/>
        <v>#REF!</v>
      </c>
      <c r="Y301" s="310" t="e">
        <f t="shared" si="106"/>
        <v>#REF!</v>
      </c>
      <c r="Z301" s="310" t="e">
        <f t="shared" si="106"/>
        <v>#REF!</v>
      </c>
      <c r="AA301" s="311"/>
      <c r="AB301" s="309" t="str">
        <f t="shared" si="84"/>
        <v>- Growth</v>
      </c>
      <c r="AC301" s="303" t="str">
        <f t="shared" si="85"/>
        <v>%</v>
      </c>
      <c r="AD301" s="303"/>
      <c r="AE301" s="303"/>
      <c r="AF301" s="310" t="s">
        <v>967</v>
      </c>
      <c r="AG301" s="310" t="e">
        <f t="shared" ref="AG301:AO301" si="107">AG300/AF300-1</f>
        <v>#REF!</v>
      </c>
      <c r="AH301" s="310" t="e">
        <f t="shared" si="107"/>
        <v>#REF!</v>
      </c>
      <c r="AI301" s="310" t="e">
        <f t="shared" si="107"/>
        <v>#REF!</v>
      </c>
      <c r="AJ301" s="310" t="e">
        <f t="shared" si="107"/>
        <v>#REF!</v>
      </c>
      <c r="AK301" s="310" t="e">
        <f t="shared" si="107"/>
        <v>#REF!</v>
      </c>
      <c r="AL301" s="310" t="e">
        <f t="shared" si="107"/>
        <v>#REF!</v>
      </c>
      <c r="AM301" s="310" t="e">
        <f t="shared" si="107"/>
        <v>#REF!</v>
      </c>
      <c r="AN301" s="310" t="e">
        <f t="shared" si="107"/>
        <v>#REF!</v>
      </c>
      <c r="AO301" s="310" t="e">
        <f t="shared" si="107"/>
        <v>#REF!</v>
      </c>
    </row>
    <row r="302" spans="1:41" collapsed="1">
      <c r="C302" s="309" t="s">
        <v>1511</v>
      </c>
      <c r="D302" s="303" t="s">
        <v>88</v>
      </c>
      <c r="E302" s="303"/>
      <c r="F302" s="303"/>
      <c r="G302" s="310">
        <f t="shared" ref="G302:Z302" si="108">IFERROR(ROUND( G300 / G299,2) - 1, 0)</f>
        <v>0</v>
      </c>
      <c r="H302" s="310">
        <f t="shared" si="108"/>
        <v>0</v>
      </c>
      <c r="I302" s="310">
        <f t="shared" si="108"/>
        <v>0</v>
      </c>
      <c r="J302" s="310">
        <f t="shared" si="108"/>
        <v>0</v>
      </c>
      <c r="K302" s="310">
        <f t="shared" si="108"/>
        <v>0</v>
      </c>
      <c r="L302" s="310">
        <f t="shared" si="108"/>
        <v>0</v>
      </c>
      <c r="M302" s="310">
        <f t="shared" si="108"/>
        <v>0</v>
      </c>
      <c r="N302" s="310">
        <f t="shared" si="108"/>
        <v>0</v>
      </c>
      <c r="O302" s="310">
        <f t="shared" si="108"/>
        <v>0</v>
      </c>
      <c r="P302" s="310">
        <f t="shared" si="108"/>
        <v>0</v>
      </c>
      <c r="Q302" s="310">
        <f t="shared" si="108"/>
        <v>0</v>
      </c>
      <c r="R302" s="310">
        <f t="shared" si="108"/>
        <v>0</v>
      </c>
      <c r="S302" s="310">
        <f t="shared" si="108"/>
        <v>0</v>
      </c>
      <c r="T302" s="310">
        <f t="shared" si="108"/>
        <v>0</v>
      </c>
      <c r="U302" s="310">
        <f t="shared" si="108"/>
        <v>0</v>
      </c>
      <c r="V302" s="310">
        <f t="shared" si="108"/>
        <v>0</v>
      </c>
      <c r="W302" s="310">
        <f t="shared" si="108"/>
        <v>0</v>
      </c>
      <c r="X302" s="310">
        <f t="shared" si="108"/>
        <v>0</v>
      </c>
      <c r="Y302" s="310">
        <f t="shared" si="108"/>
        <v>0</v>
      </c>
      <c r="Z302" s="310">
        <f t="shared" si="108"/>
        <v>0</v>
      </c>
      <c r="AA302" s="310"/>
      <c r="AB302" s="309" t="str">
        <f t="shared" si="84"/>
        <v>- Revision</v>
      </c>
      <c r="AC302" s="303" t="str">
        <f t="shared" si="85"/>
        <v>%</v>
      </c>
      <c r="AD302" s="303"/>
      <c r="AE302" s="303"/>
      <c r="AF302" s="310">
        <f t="shared" ref="AF302:AO302" si="109">IFERROR(ROUND( AF300 / AF299,2) - 1, 0)</f>
        <v>0</v>
      </c>
      <c r="AG302" s="310">
        <f t="shared" si="109"/>
        <v>0</v>
      </c>
      <c r="AH302" s="310">
        <f t="shared" si="109"/>
        <v>0</v>
      </c>
      <c r="AI302" s="310">
        <f t="shared" si="109"/>
        <v>0</v>
      </c>
      <c r="AJ302" s="310">
        <f t="shared" si="109"/>
        <v>0</v>
      </c>
      <c r="AK302" s="310">
        <f t="shared" si="109"/>
        <v>0</v>
      </c>
      <c r="AL302" s="310">
        <f t="shared" si="109"/>
        <v>0</v>
      </c>
      <c r="AM302" s="310">
        <f t="shared" si="109"/>
        <v>0</v>
      </c>
      <c r="AN302" s="310">
        <f t="shared" si="109"/>
        <v>0</v>
      </c>
      <c r="AO302" s="310">
        <f t="shared" si="109"/>
        <v>0</v>
      </c>
    </row>
    <row r="303" spans="1:41">
      <c r="C303" s="309"/>
      <c r="D303" s="303"/>
      <c r="E303" s="303"/>
      <c r="F303" s="303"/>
      <c r="G303" s="310"/>
      <c r="H303" s="310"/>
      <c r="I303" s="310"/>
      <c r="J303" s="310"/>
      <c r="K303" s="310"/>
      <c r="L303" s="310"/>
      <c r="M303" s="310"/>
      <c r="N303" s="310"/>
      <c r="O303" s="310"/>
      <c r="P303" s="310"/>
      <c r="Q303" s="310"/>
      <c r="R303" s="310"/>
      <c r="S303" s="310"/>
      <c r="T303" s="310"/>
      <c r="U303" s="310"/>
      <c r="V303" s="310"/>
      <c r="W303" s="310"/>
      <c r="X303" s="310"/>
      <c r="Y303" s="310"/>
      <c r="Z303" s="310"/>
      <c r="AA303" s="310"/>
      <c r="AB303" s="309"/>
      <c r="AC303" s="303"/>
      <c r="AD303" s="303"/>
      <c r="AE303" s="303"/>
      <c r="AF303" s="310"/>
      <c r="AG303" s="310"/>
      <c r="AH303" s="310"/>
      <c r="AI303" s="310"/>
      <c r="AJ303" s="310"/>
      <c r="AK303" s="310"/>
      <c r="AL303" s="310"/>
      <c r="AM303" s="310"/>
      <c r="AN303" s="310"/>
      <c r="AO303" s="310"/>
    </row>
    <row r="304" spans="1:41">
      <c r="A304" t="s">
        <v>7</v>
      </c>
      <c r="C304" s="285" t="s">
        <v>42</v>
      </c>
      <c r="D304" s="286"/>
      <c r="E304" s="286"/>
      <c r="F304" s="286"/>
      <c r="G304" s="286"/>
      <c r="H304" s="286"/>
      <c r="I304" s="286"/>
      <c r="J304" s="286"/>
      <c r="K304" s="286"/>
      <c r="L304" s="286"/>
      <c r="M304" s="286"/>
      <c r="N304" s="286"/>
      <c r="O304" s="286"/>
      <c r="P304" s="286"/>
      <c r="Q304" s="286"/>
      <c r="R304" s="287"/>
      <c r="S304" s="287"/>
      <c r="T304" s="287"/>
      <c r="U304" s="287"/>
      <c r="V304" s="287"/>
      <c r="W304" s="287"/>
      <c r="X304" s="287"/>
      <c r="Y304" s="287"/>
      <c r="Z304" s="287"/>
      <c r="AA304" s="287"/>
      <c r="AB304" s="287"/>
      <c r="AC304" s="287"/>
      <c r="AD304" s="286"/>
      <c r="AE304" s="286"/>
      <c r="AF304" s="287"/>
      <c r="AG304" s="288"/>
      <c r="AH304" s="287"/>
      <c r="AI304" s="289"/>
    </row>
    <row r="305" spans="2:41">
      <c r="C305" s="290"/>
      <c r="D305" s="286"/>
      <c r="E305" s="286"/>
      <c r="F305" s="286"/>
      <c r="G305" s="286"/>
      <c r="H305" s="286"/>
      <c r="I305" s="286"/>
      <c r="J305" s="286"/>
      <c r="K305" s="286"/>
      <c r="L305" s="286"/>
      <c r="M305" s="286"/>
      <c r="N305" s="286"/>
      <c r="O305" s="286"/>
      <c r="P305" s="286"/>
      <c r="Q305" s="286"/>
      <c r="R305" s="287"/>
      <c r="S305" s="287"/>
      <c r="T305" s="287"/>
      <c r="U305" s="287"/>
      <c r="V305" s="287"/>
      <c r="W305" s="287"/>
      <c r="X305" s="287"/>
      <c r="Y305" s="287"/>
      <c r="Z305" s="287"/>
      <c r="AA305" s="287"/>
      <c r="AB305" s="287"/>
      <c r="AC305" s="287"/>
      <c r="AD305" s="286"/>
      <c r="AE305" s="286"/>
      <c r="AF305" s="287"/>
      <c r="AG305" s="288"/>
      <c r="AH305" s="287"/>
      <c r="AI305" s="289"/>
    </row>
    <row r="306" spans="2:41">
      <c r="C306" s="291"/>
      <c r="D306" s="291" t="s">
        <v>1329</v>
      </c>
      <c r="E306" s="291"/>
      <c r="F306" s="291" t="str">
        <f t="shared" ref="F306:Z306" si="110">F$5</f>
        <v>VAL</v>
      </c>
      <c r="G306" s="292" t="str">
        <f t="shared" si="110"/>
        <v>1H21A</v>
      </c>
      <c r="H306" s="293" t="str">
        <f t="shared" si="110"/>
        <v>2H21A</v>
      </c>
      <c r="I306" s="292" t="str">
        <f t="shared" si="110"/>
        <v>1H22A</v>
      </c>
      <c r="J306" s="293" t="str">
        <f t="shared" si="110"/>
        <v>2H22A</v>
      </c>
      <c r="K306" s="292" t="str">
        <f t="shared" si="110"/>
        <v>1H23A</v>
      </c>
      <c r="L306" s="293" t="str">
        <f t="shared" si="110"/>
        <v>2H23A</v>
      </c>
      <c r="M306" s="292" t="str">
        <f t="shared" si="110"/>
        <v>1H24E</v>
      </c>
      <c r="N306" s="293" t="str">
        <f t="shared" si="110"/>
        <v>2H24E</v>
      </c>
      <c r="O306" s="292" t="str">
        <f t="shared" si="110"/>
        <v>1H25E</v>
      </c>
      <c r="P306" s="293" t="str">
        <f t="shared" si="110"/>
        <v>2H25E</v>
      </c>
      <c r="Q306" s="292" t="str">
        <f t="shared" si="110"/>
        <v>1H26E</v>
      </c>
      <c r="R306" s="293" t="str">
        <f t="shared" si="110"/>
        <v>2H26E</v>
      </c>
      <c r="S306" s="292" t="str">
        <f t="shared" si="110"/>
        <v>1H27E</v>
      </c>
      <c r="T306" s="293" t="str">
        <f t="shared" si="110"/>
        <v>2H27E</v>
      </c>
      <c r="U306" s="292" t="str">
        <f t="shared" si="110"/>
        <v>1H28E</v>
      </c>
      <c r="V306" s="293" t="str">
        <f t="shared" si="110"/>
        <v>2H28E</v>
      </c>
      <c r="W306" s="292" t="str">
        <f t="shared" si="110"/>
        <v>1H29E</v>
      </c>
      <c r="X306" s="293" t="str">
        <f t="shared" si="110"/>
        <v>2H29E</v>
      </c>
      <c r="Y306" s="292" t="str">
        <f t="shared" si="110"/>
        <v>1H30E</v>
      </c>
      <c r="Z306" s="293" t="str">
        <f t="shared" si="110"/>
        <v>2H30E</v>
      </c>
      <c r="AA306" s="294"/>
      <c r="AB306" s="291"/>
      <c r="AC306" s="291" t="s">
        <v>1329</v>
      </c>
      <c r="AD306" s="291"/>
      <c r="AE306" s="291" t="str">
        <f t="shared" ref="AE306:AO306" si="111">AE$5</f>
        <v>VAL</v>
      </c>
      <c r="AF306" s="295" t="str">
        <f t="shared" si="111"/>
        <v>FY21A</v>
      </c>
      <c r="AG306" s="295" t="str">
        <f t="shared" si="111"/>
        <v>FY22A</v>
      </c>
      <c r="AH306" s="295" t="str">
        <f t="shared" si="111"/>
        <v>FY23A</v>
      </c>
      <c r="AI306" s="295" t="str">
        <f t="shared" si="111"/>
        <v>FY24A</v>
      </c>
      <c r="AJ306" s="295" t="str">
        <f t="shared" si="111"/>
        <v>FY25A</v>
      </c>
      <c r="AK306" s="295" t="str">
        <f t="shared" si="111"/>
        <v>FY26A</v>
      </c>
      <c r="AL306" s="295" t="str">
        <f t="shared" si="111"/>
        <v>FY27A</v>
      </c>
      <c r="AM306" s="295" t="str">
        <f t="shared" si="111"/>
        <v>FY28A</v>
      </c>
      <c r="AN306" s="295" t="str">
        <f t="shared" si="111"/>
        <v>FY29A</v>
      </c>
      <c r="AO306" s="295" t="str">
        <f t="shared" si="111"/>
        <v>FY30A</v>
      </c>
    </row>
    <row r="307" spans="2:41">
      <c r="C307" s="296"/>
      <c r="D307" s="296"/>
      <c r="E307" s="296"/>
      <c r="F307" s="296"/>
      <c r="G307" s="297">
        <f t="shared" ref="G307:Z307" si="112">G$6</f>
        <v>44196</v>
      </c>
      <c r="H307" s="298">
        <f t="shared" si="112"/>
        <v>44377</v>
      </c>
      <c r="I307" s="297">
        <f t="shared" si="112"/>
        <v>44561</v>
      </c>
      <c r="J307" s="298">
        <f t="shared" si="112"/>
        <v>44742</v>
      </c>
      <c r="K307" s="297">
        <f t="shared" si="112"/>
        <v>44926</v>
      </c>
      <c r="L307" s="298">
        <f t="shared" si="112"/>
        <v>45107</v>
      </c>
      <c r="M307" s="297">
        <f t="shared" si="112"/>
        <v>45291</v>
      </c>
      <c r="N307" s="298">
        <f t="shared" si="112"/>
        <v>45473</v>
      </c>
      <c r="O307" s="297">
        <f t="shared" si="112"/>
        <v>45657</v>
      </c>
      <c r="P307" s="298">
        <f t="shared" si="112"/>
        <v>45838</v>
      </c>
      <c r="Q307" s="297">
        <f t="shared" si="112"/>
        <v>46022</v>
      </c>
      <c r="R307" s="298">
        <f t="shared" si="112"/>
        <v>46203</v>
      </c>
      <c r="S307" s="297">
        <f t="shared" si="112"/>
        <v>46387</v>
      </c>
      <c r="T307" s="298">
        <f t="shared" si="112"/>
        <v>46568</v>
      </c>
      <c r="U307" s="297">
        <f t="shared" si="112"/>
        <v>46752</v>
      </c>
      <c r="V307" s="298">
        <f t="shared" si="112"/>
        <v>46934</v>
      </c>
      <c r="W307" s="297">
        <f t="shared" si="112"/>
        <v>47118</v>
      </c>
      <c r="X307" s="298">
        <f t="shared" si="112"/>
        <v>47299</v>
      </c>
      <c r="Y307" s="297">
        <f t="shared" si="112"/>
        <v>47483</v>
      </c>
      <c r="Z307" s="296">
        <f t="shared" si="112"/>
        <v>47664</v>
      </c>
      <c r="AA307" s="299"/>
      <c r="AB307" s="296"/>
      <c r="AC307" s="296"/>
      <c r="AD307" s="296"/>
      <c r="AE307" s="296"/>
      <c r="AF307" s="300">
        <f t="shared" ref="AF307:AO307" si="113">AF$6</f>
        <v>44377</v>
      </c>
      <c r="AG307" s="300">
        <f t="shared" si="113"/>
        <v>44742</v>
      </c>
      <c r="AH307" s="300">
        <f t="shared" si="113"/>
        <v>45107</v>
      </c>
      <c r="AI307" s="300">
        <f t="shared" si="113"/>
        <v>45473</v>
      </c>
      <c r="AJ307" s="300">
        <f t="shared" si="113"/>
        <v>45838</v>
      </c>
      <c r="AK307" s="300">
        <f t="shared" si="113"/>
        <v>46203</v>
      </c>
      <c r="AL307" s="300">
        <f t="shared" si="113"/>
        <v>46568</v>
      </c>
      <c r="AM307" s="300">
        <f t="shared" si="113"/>
        <v>46934</v>
      </c>
      <c r="AN307" s="300">
        <f t="shared" si="113"/>
        <v>47299</v>
      </c>
      <c r="AO307" s="300">
        <f t="shared" si="113"/>
        <v>47664</v>
      </c>
    </row>
    <row r="308" spans="2:41">
      <c r="B308" s="301" t="s">
        <v>1448</v>
      </c>
      <c r="C308" s="302" t="s">
        <v>1508</v>
      </c>
      <c r="D308" s="303" t="str">
        <f t="array" ref="D308">_xlfn.XLOOKUP($B308,$B$114:$B$212,_xlfn.XLOOKUP(D$219,$D$5:$AO$5,$D$114:$AO$212))</f>
        <v>A$m</v>
      </c>
      <c r="E308" s="303"/>
      <c r="F308" s="303"/>
      <c r="G308" s="304">
        <f t="array" ref="G308">_xlfn.XLOOKUP($B308,$B$114:$B$212,_xlfn.XLOOKUP(G$219,$D$5:$AO$5,$D$114:$AO$212))</f>
        <v>24.87679451467752</v>
      </c>
      <c r="H308" s="304">
        <f t="array" ref="H308">_xlfn.XLOOKUP($B308,$B$114:$B$212,_xlfn.XLOOKUP(H$219,$D$5:$AO$5,$D$114:$AO$212))</f>
        <v>36.236485485686323</v>
      </c>
      <c r="I308" s="304">
        <f t="array" ref="I308">_xlfn.XLOOKUP($B308,$B$114:$B$212,_xlfn.XLOOKUP(I$219,$D$5:$AO$5,$D$114:$AO$212))</f>
        <v>32.503937007874008</v>
      </c>
      <c r="J308" s="304">
        <f t="array" ref="J308">_xlfn.XLOOKUP($B308,$B$114:$B$212,_xlfn.XLOOKUP(J$219,$D$5:$AO$5,$D$114:$AO$212))</f>
        <v>38.597977444803313</v>
      </c>
      <c r="K308" s="304">
        <f t="array" ref="K308">_xlfn.XLOOKUP($B308,$B$114:$B$212,_xlfn.XLOOKUP(K$219,$D$5:$AO$5,$D$114:$AO$212))</f>
        <v>51.252621123496311</v>
      </c>
      <c r="L308" s="304">
        <f t="array" ref="L308">_xlfn.XLOOKUP($B308,$B$114:$B$212,_xlfn.XLOOKUP(L$219,$D$5:$AO$5,$D$114:$AO$212))</f>
        <v>47.656837869230792</v>
      </c>
      <c r="M308" s="304">
        <f t="array" ref="M308">_xlfn.XLOOKUP($B308,$B$114:$B$212,_xlfn.XLOOKUP(M$219,$D$5:$AO$5,$D$114:$AO$212))</f>
        <v>46.6</v>
      </c>
      <c r="N308" s="304">
        <f t="array" ref="N308">_xlfn.XLOOKUP($B308,$B$114:$B$212,_xlfn.XLOOKUP(N$219,$D$5:$AO$5,$D$114:$AO$212))</f>
        <v>50.867867216315901</v>
      </c>
      <c r="O308" s="304">
        <f t="array" ref="O308">_xlfn.XLOOKUP($B308,$B$114:$B$212,_xlfn.XLOOKUP(O$219,$D$5:$AO$5,$D$114:$AO$212))</f>
        <v>50.3</v>
      </c>
      <c r="P308" s="304">
        <f t="array" ref="P308">_xlfn.XLOOKUP($B308,$B$114:$B$212,_xlfn.XLOOKUP(P$219,$D$5:$AO$5,$D$114:$AO$212))</f>
        <v>49.8474</v>
      </c>
      <c r="Q308" s="304">
        <f t="array" ref="Q308">_xlfn.XLOOKUP($B308,$B$114:$B$212,_xlfn.XLOOKUP(Q$219,$D$5:$AO$5,$D$114:$AO$212))</f>
        <v>50.80299999999999</v>
      </c>
      <c r="R308" s="304">
        <f t="array" ref="R308">_xlfn.XLOOKUP($B308,$B$114:$B$212,_xlfn.XLOOKUP(R$219,$D$5:$AO$5,$D$114:$AO$212))</f>
        <v>50.345874000000002</v>
      </c>
      <c r="S308" s="304">
        <f t="array" ref="S308">_xlfn.XLOOKUP($B308,$B$114:$B$212,_xlfn.XLOOKUP(S$219,$D$5:$AO$5,$D$114:$AO$212))</f>
        <v>52.327089999999998</v>
      </c>
      <c r="T308" s="304">
        <f t="array" ref="T308">_xlfn.XLOOKUP($B308,$B$114:$B$212,_xlfn.XLOOKUP(T$219,$D$5:$AO$5,$D$114:$AO$212))</f>
        <v>51.85625022</v>
      </c>
      <c r="U308" s="304">
        <f t="array" ref="U308">_xlfn.XLOOKUP($B308,$B$114:$B$212,_xlfn.XLOOKUP(U$219,$D$5:$AO$5,$D$114:$AO$212))</f>
        <v>53.896902699999998</v>
      </c>
      <c r="V308" s="304">
        <f t="array" ref="V308">_xlfn.XLOOKUP($B308,$B$114:$B$212,_xlfn.XLOOKUP(V$219,$D$5:$AO$5,$D$114:$AO$212))</f>
        <v>53.707031305199997</v>
      </c>
      <c r="W308" s="304">
        <f t="array" ref="W308">_xlfn.XLOOKUP($B308,$B$114:$B$212,_xlfn.XLOOKUP(W$219,$D$5:$AO$5,$D$114:$AO$212))</f>
        <v>55.513809780999999</v>
      </c>
      <c r="X308" s="304">
        <f t="array" ref="X308">_xlfn.XLOOKUP($B308,$B$114:$B$212,_xlfn.XLOOKUP(X$219,$D$5:$AO$5,$D$114:$AO$212))</f>
        <v>55.014295858398008</v>
      </c>
      <c r="Y308" s="304">
        <f t="array" ref="Y308">_xlfn.XLOOKUP($B308,$B$114:$B$212,_xlfn.XLOOKUP(Y$219,$D$5:$AO$5,$D$114:$AO$212))</f>
        <v>57.17922407443001</v>
      </c>
      <c r="Z308" s="304">
        <f t="array" ref="Z308">_xlfn.XLOOKUP($B308,$B$114:$B$212,_xlfn.XLOOKUP(Z$219,$D$5:$AO$5,$D$114:$AO$212))</f>
        <v>56.664724734149942</v>
      </c>
      <c r="AA308" s="305"/>
      <c r="AB308" s="302" t="str">
        <f t="shared" ref="AB308:AB331" si="114">C308</f>
        <v>Slot Revenue - old</v>
      </c>
      <c r="AC308" s="303" t="str">
        <f t="shared" ref="AC308:AC331" si="115">D308</f>
        <v>A$m</v>
      </c>
      <c r="AD308" s="303"/>
      <c r="AE308" s="303"/>
      <c r="AF308" s="304">
        <f t="array" ref="AF308">_xlfn.XLOOKUP($B308,$B$114:$B$212,_xlfn.XLOOKUP(AF$219,$D$5:$AO$5,$D$114:$AO$212))</f>
        <v>61.113280000363837</v>
      </c>
      <c r="AG308" s="304">
        <f t="array" ref="AG308">_xlfn.XLOOKUP($B308,$B$114:$B$212,_xlfn.XLOOKUP(AG$219,$D$5:$AO$5,$D$114:$AO$212))</f>
        <v>71.10191445267732</v>
      </c>
      <c r="AH308" s="304">
        <f t="array" ref="AH308">_xlfn.XLOOKUP($B308,$B$114:$B$212,_xlfn.XLOOKUP(AH$219,$D$5:$AO$5,$D$114:$AO$212))</f>
        <v>98.90945899272711</v>
      </c>
      <c r="AI308" s="304">
        <f t="array" ref="AI308">_xlfn.XLOOKUP($B308,$B$114:$B$212,_xlfn.XLOOKUP(AI$219,$D$5:$AO$5,$D$114:$AO$212))</f>
        <v>97.467867216315909</v>
      </c>
      <c r="AJ308" s="304">
        <f t="array" ref="AJ308">_xlfn.XLOOKUP($B308,$B$114:$B$212,_xlfn.XLOOKUP(AJ$219,$D$5:$AO$5,$D$114:$AO$212))</f>
        <v>100.1474</v>
      </c>
      <c r="AK308" s="304">
        <f t="array" ref="AK308">_xlfn.XLOOKUP($B308,$B$114:$B$212,_xlfn.XLOOKUP(AK$219,$D$5:$AO$5,$D$114:$AO$212))</f>
        <v>101.14887400000001</v>
      </c>
      <c r="AL308" s="304">
        <f t="array" ref="AL308">_xlfn.XLOOKUP($B308,$B$114:$B$212,_xlfn.XLOOKUP(AL$219,$D$5:$AO$5,$D$114:$AO$212))</f>
        <v>104.18334022000001</v>
      </c>
      <c r="AM308" s="304">
        <f t="array" ref="AM308">_xlfn.XLOOKUP($B308,$B$114:$B$212,_xlfn.XLOOKUP(AM$219,$D$5:$AO$5,$D$114:$AO$212))</f>
        <v>107.6039340052</v>
      </c>
      <c r="AN308" s="304">
        <f t="array" ref="AN308">_xlfn.XLOOKUP($B308,$B$114:$B$212,_xlfn.XLOOKUP(AN$219,$D$5:$AO$5,$D$114:$AO$212))</f>
        <v>110.52810563939801</v>
      </c>
      <c r="AO308" s="304">
        <f t="array" ref="AO308">_xlfn.XLOOKUP($B308,$B$114:$B$212,_xlfn.XLOOKUP(AO$219,$D$5:$AO$5,$D$114:$AO$212))</f>
        <v>113.84394880858</v>
      </c>
    </row>
    <row r="309" spans="2:41">
      <c r="B309" s="301" t="s">
        <v>1448</v>
      </c>
      <c r="C309" s="306" t="s">
        <v>1509</v>
      </c>
      <c r="D309" s="307" t="str">
        <f t="array" ref="D309">_xlfn.XLOOKUP($B309,$B$11:$B$109,_xlfn.XLOOKUP(D$219,$D$5:$AO$5,$D$11:$AO$109))</f>
        <v>A$m</v>
      </c>
      <c r="E309" s="307"/>
      <c r="F309" s="307"/>
      <c r="G309" s="308">
        <f t="array" ref="G309">_xlfn.XLOOKUP($B309,$B$11:$B$109,_xlfn.XLOOKUP(G$219,$D$5:$AO$5,$D$11:$AO$109))</f>
        <v>24.87679451467752</v>
      </c>
      <c r="H309" s="308">
        <f t="array" ref="H309">_xlfn.XLOOKUP($B309,$B$11:$B$109,_xlfn.XLOOKUP(H$219,$D$5:$AO$5,$D$11:$AO$109))</f>
        <v>36.236485485686323</v>
      </c>
      <c r="I309" s="308">
        <f t="array" ref="I309">_xlfn.XLOOKUP($B309,$B$11:$B$109,_xlfn.XLOOKUP(I$219,$D$5:$AO$5,$D$11:$AO$109))</f>
        <v>32.503937007874008</v>
      </c>
      <c r="J309" s="308">
        <f t="array" ref="J309">_xlfn.XLOOKUP($B309,$B$11:$B$109,_xlfn.XLOOKUP(J$219,$D$5:$AO$5,$D$11:$AO$109))</f>
        <v>38.597977444803313</v>
      </c>
      <c r="K309" s="308">
        <f t="array" ref="K309">_xlfn.XLOOKUP($B309,$B$11:$B$109,_xlfn.XLOOKUP(K$219,$D$5:$AO$5,$D$11:$AO$109))</f>
        <v>51.6</v>
      </c>
      <c r="L309" s="308">
        <f t="array" ref="L309">_xlfn.XLOOKUP($B309,$B$11:$B$109,_xlfn.XLOOKUP(L$219,$D$5:$AO$5,$D$11:$AO$109))</f>
        <v>48.199999999999996</v>
      </c>
      <c r="M309" s="308">
        <f t="array" ref="M309">_xlfn.XLOOKUP($B309,$B$11:$B$109,_xlfn.XLOOKUP(M$219,$D$5:$AO$5,$D$11:$AO$109))</f>
        <v>46.6</v>
      </c>
      <c r="N309" s="308">
        <f t="array" ref="N309">_xlfn.XLOOKUP($B309,$B$11:$B$109,_xlfn.XLOOKUP(N$219,$D$5:$AO$5,$D$11:$AO$109))</f>
        <v>51.300000000000004</v>
      </c>
      <c r="O309" s="308">
        <f t="array" ref="O309">_xlfn.XLOOKUP($B309,$B$11:$B$109,_xlfn.XLOOKUP(O$219,$D$5:$AO$5,$D$11:$AO$109))</f>
        <v>50.3</v>
      </c>
      <c r="P309" s="308">
        <f t="array" ref="P309">_xlfn.XLOOKUP($B309,$B$11:$B$109,_xlfn.XLOOKUP(P$219,$D$5:$AO$5,$D$11:$AO$109))</f>
        <v>45.600000000000009</v>
      </c>
      <c r="Q309" s="308">
        <f t="array" ref="Q309">_xlfn.XLOOKUP($B309,$B$11:$B$109,_xlfn.XLOOKUP(Q$219,$D$5:$AO$5,$D$11:$AO$109))</f>
        <v>50.2</v>
      </c>
      <c r="R309" s="308">
        <f t="array" ref="R309">_xlfn.XLOOKUP($B309,$B$11:$B$109,_xlfn.XLOOKUP(R$219,$D$5:$AO$5,$D$11:$AO$109))</f>
        <v>52.8</v>
      </c>
      <c r="S309" s="308">
        <f t="array" ref="S309">_xlfn.XLOOKUP($B309,$B$11:$B$109,_xlfn.XLOOKUP(S$219,$D$5:$AO$5,$D$11:$AO$109))</f>
        <v>52</v>
      </c>
      <c r="T309" s="308">
        <f t="array" ref="T309">_xlfn.XLOOKUP($B309,$B$11:$B$109,_xlfn.XLOOKUP(T$219,$D$5:$AO$5,$D$11:$AO$109))</f>
        <v>52</v>
      </c>
      <c r="U309" s="308">
        <f t="array" ref="U309">_xlfn.XLOOKUP($B309,$B$11:$B$109,_xlfn.XLOOKUP(U$219,$D$5:$AO$5,$D$11:$AO$109))</f>
        <v>44</v>
      </c>
      <c r="V309" s="308">
        <f t="array" ref="V309">_xlfn.XLOOKUP($B309,$B$11:$B$109,_xlfn.XLOOKUP(V$219,$D$5:$AO$5,$D$11:$AO$109))</f>
        <v>44</v>
      </c>
      <c r="W309" s="308">
        <f t="array" ref="W309">_xlfn.XLOOKUP($B309,$B$11:$B$109,_xlfn.XLOOKUP(W$219,$D$5:$AO$5,$D$11:$AO$109))</f>
        <v>46.64</v>
      </c>
      <c r="X309" s="308">
        <f t="array" ref="X309">_xlfn.XLOOKUP($B309,$B$11:$B$109,_xlfn.XLOOKUP(X$219,$D$5:$AO$5,$D$11:$AO$109))</f>
        <v>46.64</v>
      </c>
      <c r="Y309" s="308">
        <f t="array" ref="Y309">_xlfn.XLOOKUP($B309,$B$11:$B$109,_xlfn.XLOOKUP(Y$219,$D$5:$AO$5,$D$11:$AO$109))</f>
        <v>49.438400000000001</v>
      </c>
      <c r="Z309" s="308">
        <f t="array" ref="Z309">_xlfn.XLOOKUP($B309,$B$11:$B$109,_xlfn.XLOOKUP(Z$219,$D$5:$AO$5,$D$11:$AO$109))</f>
        <v>49.438400000000001</v>
      </c>
      <c r="AA309" s="308"/>
      <c r="AB309" s="306" t="str">
        <f t="shared" si="114"/>
        <v>Slot Revenue - New</v>
      </c>
      <c r="AC309" s="307" t="str">
        <f t="shared" si="115"/>
        <v>A$m</v>
      </c>
      <c r="AD309" s="307"/>
      <c r="AE309" s="307"/>
      <c r="AF309" s="308">
        <f t="array" ref="AF309">_xlfn.XLOOKUP($B309,$B$11:$B$109,_xlfn.XLOOKUP(AF$219,$D$5:$AO$5,$D$11:$AO$109))</f>
        <v>61.113280000363844</v>
      </c>
      <c r="AG309" s="308">
        <f t="array" ref="AG309">_xlfn.XLOOKUP($B309,$B$11:$B$109,_xlfn.XLOOKUP(AG$219,$D$5:$AO$5,$D$11:$AO$109))</f>
        <v>71.10191445267732</v>
      </c>
      <c r="AH309" s="308">
        <f t="array" ref="AH309">_xlfn.XLOOKUP($B309,$B$11:$B$109,_xlfn.XLOOKUP(AH$219,$D$5:$AO$5,$D$11:$AO$109))</f>
        <v>99.8</v>
      </c>
      <c r="AI309" s="308">
        <f t="array" ref="AI309">_xlfn.XLOOKUP($B309,$B$11:$B$109,_xlfn.XLOOKUP(AI$219,$D$5:$AO$5,$D$11:$AO$109))</f>
        <v>97.9</v>
      </c>
      <c r="AJ309" s="308">
        <f t="array" ref="AJ309">_xlfn.XLOOKUP($B309,$B$11:$B$109,_xlfn.XLOOKUP(AJ$219,$D$5:$AO$5,$D$11:$AO$109))</f>
        <v>95.9</v>
      </c>
      <c r="AK309" s="308">
        <f t="array" ref="AK309">_xlfn.XLOOKUP($B309,$B$11:$B$109,_xlfn.XLOOKUP(AK$219,$D$5:$AO$5,$D$11:$AO$109))</f>
        <v>103</v>
      </c>
      <c r="AL309" s="308">
        <f t="array" ref="AL309">_xlfn.XLOOKUP($B309,$B$11:$B$109,_xlfn.XLOOKUP(AL$219,$D$5:$AO$5,$D$11:$AO$109))</f>
        <v>104</v>
      </c>
      <c r="AM309" s="308">
        <f t="array" ref="AM309">_xlfn.XLOOKUP($B309,$B$11:$B$109,_xlfn.XLOOKUP(AM$219,$D$5:$AO$5,$D$11:$AO$109))</f>
        <v>88</v>
      </c>
      <c r="AN309" s="308">
        <f t="array" ref="AN309">_xlfn.XLOOKUP($B309,$B$11:$B$109,_xlfn.XLOOKUP(AN$219,$D$5:$AO$5,$D$11:$AO$109))</f>
        <v>93.28</v>
      </c>
      <c r="AO309" s="308">
        <f t="array" ref="AO309">_xlfn.XLOOKUP($B309,$B$11:$B$109,_xlfn.XLOOKUP(AO$219,$D$5:$AO$5,$D$11:$AO$109))</f>
        <v>98.876800000000003</v>
      </c>
    </row>
    <row r="310" spans="2:41" hidden="1" outlineLevel="1">
      <c r="C310" s="309" t="s">
        <v>1510</v>
      </c>
      <c r="D310" s="303" t="s">
        <v>88</v>
      </c>
      <c r="E310" s="303"/>
      <c r="F310" s="303"/>
      <c r="G310" s="310" t="s">
        <v>967</v>
      </c>
      <c r="H310" s="310" t="s">
        <v>967</v>
      </c>
      <c r="I310" s="310">
        <f t="shared" ref="I310:Z310" si="116">I309/G309-1</f>
        <v>0.30659667541557289</v>
      </c>
      <c r="J310" s="310">
        <f t="shared" si="116"/>
        <v>6.5168901659897305E-2</v>
      </c>
      <c r="K310" s="310">
        <f t="shared" si="116"/>
        <v>0.58750000000000036</v>
      </c>
      <c r="L310" s="310">
        <f t="shared" si="116"/>
        <v>0.24877009602194744</v>
      </c>
      <c r="M310" s="310">
        <f t="shared" si="116"/>
        <v>-9.68992248062015E-2</v>
      </c>
      <c r="N310" s="310">
        <f t="shared" si="116"/>
        <v>6.4315352697095651E-2</v>
      </c>
      <c r="O310" s="310">
        <f t="shared" si="116"/>
        <v>7.9399141630901227E-2</v>
      </c>
      <c r="P310" s="310">
        <f t="shared" si="116"/>
        <v>-0.11111111111111105</v>
      </c>
      <c r="Q310" s="310">
        <f t="shared" si="116"/>
        <v>-1.9880715705764551E-3</v>
      </c>
      <c r="R310" s="310">
        <f t="shared" si="116"/>
        <v>0.15789473684210509</v>
      </c>
      <c r="S310" s="310">
        <f t="shared" si="116"/>
        <v>3.5856573705179251E-2</v>
      </c>
      <c r="T310" s="310">
        <f t="shared" si="116"/>
        <v>-1.5151515151515138E-2</v>
      </c>
      <c r="U310" s="310">
        <f t="shared" si="116"/>
        <v>-0.15384615384615385</v>
      </c>
      <c r="V310" s="310">
        <f t="shared" si="116"/>
        <v>-0.15384615384615385</v>
      </c>
      <c r="W310" s="310">
        <f t="shared" si="116"/>
        <v>6.0000000000000053E-2</v>
      </c>
      <c r="X310" s="310">
        <f t="shared" si="116"/>
        <v>6.0000000000000053E-2</v>
      </c>
      <c r="Y310" s="310">
        <f t="shared" si="116"/>
        <v>6.0000000000000053E-2</v>
      </c>
      <c r="Z310" s="310">
        <f t="shared" si="116"/>
        <v>6.0000000000000053E-2</v>
      </c>
      <c r="AA310" s="311"/>
      <c r="AB310" s="309" t="str">
        <f t="shared" si="114"/>
        <v>- Growth</v>
      </c>
      <c r="AC310" s="303" t="str">
        <f t="shared" si="115"/>
        <v>%</v>
      </c>
      <c r="AD310" s="303"/>
      <c r="AE310" s="303"/>
      <c r="AF310" s="310" t="s">
        <v>967</v>
      </c>
      <c r="AG310" s="310">
        <f t="shared" ref="AG310:AO310" si="117">AG309/AF309-1</f>
        <v>0.16344458114920379</v>
      </c>
      <c r="AH310" s="310">
        <f t="shared" si="117"/>
        <v>0.40361902725450527</v>
      </c>
      <c r="AI310" s="310">
        <f t="shared" si="117"/>
        <v>-1.9038076152304573E-2</v>
      </c>
      <c r="AJ310" s="310">
        <f t="shared" si="117"/>
        <v>-2.0429009193054126E-2</v>
      </c>
      <c r="AK310" s="310">
        <f t="shared" si="117"/>
        <v>7.4035453597497414E-2</v>
      </c>
      <c r="AL310" s="310">
        <f t="shared" si="117"/>
        <v>9.7087378640776656E-3</v>
      </c>
      <c r="AM310" s="310">
        <f t="shared" si="117"/>
        <v>-0.15384615384615385</v>
      </c>
      <c r="AN310" s="310">
        <f t="shared" si="117"/>
        <v>6.0000000000000053E-2</v>
      </c>
      <c r="AO310" s="310">
        <f t="shared" si="117"/>
        <v>6.0000000000000053E-2</v>
      </c>
    </row>
    <row r="311" spans="2:41" collapsed="1">
      <c r="C311" s="309" t="s">
        <v>1511</v>
      </c>
      <c r="D311" s="303" t="s">
        <v>88</v>
      </c>
      <c r="E311" s="303"/>
      <c r="F311" s="303"/>
      <c r="G311" s="310">
        <f t="shared" ref="G311:Z311" si="118">IFERROR(ROUND( G309 / G308,2) - 1, 0)</f>
        <v>0</v>
      </c>
      <c r="H311" s="310">
        <f t="shared" si="118"/>
        <v>0</v>
      </c>
      <c r="I311" s="310">
        <f t="shared" si="118"/>
        <v>0</v>
      </c>
      <c r="J311" s="310">
        <f t="shared" si="118"/>
        <v>0</v>
      </c>
      <c r="K311" s="310">
        <f t="shared" si="118"/>
        <v>1.0000000000000009E-2</v>
      </c>
      <c r="L311" s="310">
        <f t="shared" si="118"/>
        <v>1.0000000000000009E-2</v>
      </c>
      <c r="M311" s="310">
        <f t="shared" si="118"/>
        <v>0</v>
      </c>
      <c r="N311" s="310">
        <f t="shared" si="118"/>
        <v>1.0000000000000009E-2</v>
      </c>
      <c r="O311" s="310">
        <f t="shared" si="118"/>
        <v>0</v>
      </c>
      <c r="P311" s="310">
        <f t="shared" si="118"/>
        <v>-8.9999999999999969E-2</v>
      </c>
      <c r="Q311" s="310">
        <f t="shared" si="118"/>
        <v>-1.0000000000000009E-2</v>
      </c>
      <c r="R311" s="310">
        <f t="shared" si="118"/>
        <v>5.0000000000000044E-2</v>
      </c>
      <c r="S311" s="310">
        <f t="shared" si="118"/>
        <v>-1.0000000000000009E-2</v>
      </c>
      <c r="T311" s="310">
        <f t="shared" si="118"/>
        <v>0</v>
      </c>
      <c r="U311" s="310">
        <f t="shared" si="118"/>
        <v>-0.18000000000000005</v>
      </c>
      <c r="V311" s="310">
        <f t="shared" si="118"/>
        <v>-0.18000000000000005</v>
      </c>
      <c r="W311" s="310">
        <f t="shared" si="118"/>
        <v>-0.16000000000000003</v>
      </c>
      <c r="X311" s="310">
        <f t="shared" si="118"/>
        <v>-0.15000000000000002</v>
      </c>
      <c r="Y311" s="310">
        <f t="shared" si="118"/>
        <v>-0.14000000000000001</v>
      </c>
      <c r="Z311" s="310">
        <f t="shared" si="118"/>
        <v>-0.13</v>
      </c>
      <c r="AA311" s="310"/>
      <c r="AB311" s="309" t="str">
        <f t="shared" si="114"/>
        <v>- Revision</v>
      </c>
      <c r="AC311" s="303" t="str">
        <f t="shared" si="115"/>
        <v>%</v>
      </c>
      <c r="AD311" s="303"/>
      <c r="AE311" s="303"/>
      <c r="AF311" s="310">
        <f t="shared" ref="AF311:AO311" si="119">IFERROR(ROUND( AF309 / AF308,2) - 1, 0)</f>
        <v>0</v>
      </c>
      <c r="AG311" s="310">
        <f t="shared" si="119"/>
        <v>0</v>
      </c>
      <c r="AH311" s="310">
        <f t="shared" si="119"/>
        <v>1.0000000000000009E-2</v>
      </c>
      <c r="AI311" s="310">
        <f t="shared" si="119"/>
        <v>0</v>
      </c>
      <c r="AJ311" s="310">
        <f t="shared" si="119"/>
        <v>-4.0000000000000036E-2</v>
      </c>
      <c r="AK311" s="310">
        <f t="shared" si="119"/>
        <v>2.0000000000000018E-2</v>
      </c>
      <c r="AL311" s="310">
        <f t="shared" si="119"/>
        <v>0</v>
      </c>
      <c r="AM311" s="310">
        <f t="shared" si="119"/>
        <v>-0.18000000000000005</v>
      </c>
      <c r="AN311" s="310">
        <f t="shared" si="119"/>
        <v>-0.16000000000000003</v>
      </c>
      <c r="AO311" s="310">
        <f t="shared" si="119"/>
        <v>-0.13</v>
      </c>
    </row>
    <row r="312" spans="2:41">
      <c r="B312" s="301" t="s">
        <v>1449</v>
      </c>
      <c r="C312" s="302" t="s">
        <v>1512</v>
      </c>
      <c r="D312" s="303" t="str">
        <f t="array" ref="D312">_xlfn.XLOOKUP($B312,$B$114:$B$212,_xlfn.XLOOKUP(D$219,$D$5:$AO$5,$D$114:$AO$212))</f>
        <v>A$m</v>
      </c>
      <c r="E312" s="303"/>
      <c r="F312" s="303"/>
      <c r="G312" s="304">
        <f t="array" ref="G312">_xlfn.XLOOKUP($B312,$B$114:$B$212,_xlfn.XLOOKUP(G$219,$D$5:$AO$5,$D$114:$AO$212))</f>
        <v>36.929505035354623</v>
      </c>
      <c r="H312" s="304">
        <f t="array" ref="H312">_xlfn.XLOOKUP($B312,$B$114:$B$212,_xlfn.XLOOKUP(H$219,$D$5:$AO$5,$D$114:$AO$212))</f>
        <v>39.910483962743633</v>
      </c>
      <c r="I312" s="304">
        <f t="array" ref="I312">_xlfn.XLOOKUP($B312,$B$114:$B$212,_xlfn.XLOOKUP(I$219,$D$5:$AO$5,$D$114:$AO$212))</f>
        <v>34.110236220472437</v>
      </c>
      <c r="J312" s="304">
        <f t="array" ref="J312">_xlfn.XLOOKUP($B312,$B$114:$B$212,_xlfn.XLOOKUP(J$219,$D$5:$AO$5,$D$114:$AO$212))</f>
        <v>27.44745062741568</v>
      </c>
      <c r="K312" s="304">
        <f t="array" ref="K312">_xlfn.XLOOKUP($B312,$B$114:$B$212,_xlfn.XLOOKUP(K$219,$D$5:$AO$5,$D$114:$AO$212))</f>
        <v>39.432733693852782</v>
      </c>
      <c r="L312" s="304">
        <f t="array" ref="L312">_xlfn.XLOOKUP($B312,$B$114:$B$212,_xlfn.XLOOKUP(L$219,$D$5:$AO$5,$D$114:$AO$212))</f>
        <v>29.822070323076929</v>
      </c>
      <c r="M312" s="304">
        <f t="array" ref="M312">_xlfn.XLOOKUP($B312,$B$114:$B$212,_xlfn.XLOOKUP(M$219,$D$5:$AO$5,$D$114:$AO$212))</f>
        <v>29.1</v>
      </c>
      <c r="N312" s="304">
        <f t="array" ref="N312">_xlfn.XLOOKUP($B312,$B$114:$B$212,_xlfn.XLOOKUP(N$219,$D$5:$AO$5,$D$114:$AO$212))</f>
        <v>28.60707311781297</v>
      </c>
      <c r="O312" s="304">
        <f t="array" ref="O312">_xlfn.XLOOKUP($B312,$B$114:$B$212,_xlfn.XLOOKUP(O$219,$D$5:$AO$5,$D$114:$AO$212))</f>
        <v>30.3</v>
      </c>
      <c r="P312" s="304">
        <f t="array" ref="P312">_xlfn.XLOOKUP($B312,$B$114:$B$212,_xlfn.XLOOKUP(P$219,$D$5:$AO$5,$D$114:$AO$212))</f>
        <v>29.321999999999999</v>
      </c>
      <c r="Q312" s="304">
        <f t="array" ref="Q312">_xlfn.XLOOKUP($B312,$B$114:$B$212,_xlfn.XLOOKUP(Q$219,$D$5:$AO$5,$D$114:$AO$212))</f>
        <v>30.603000000000002</v>
      </c>
      <c r="R312" s="304">
        <f t="array" ref="R312">_xlfn.XLOOKUP($B312,$B$114:$B$212,_xlfn.XLOOKUP(R$219,$D$5:$AO$5,$D$114:$AO$212))</f>
        <v>29.615220000000001</v>
      </c>
      <c r="S312" s="304">
        <f t="array" ref="S312">_xlfn.XLOOKUP($B312,$B$114:$B$212,_xlfn.XLOOKUP(S$219,$D$5:$AO$5,$D$114:$AO$212))</f>
        <v>30.909030000000001</v>
      </c>
      <c r="T312" s="304">
        <f t="array" ref="T312">_xlfn.XLOOKUP($B312,$B$114:$B$212,_xlfn.XLOOKUP(T$219,$D$5:$AO$5,$D$114:$AO$212))</f>
        <v>29.911372199999999</v>
      </c>
      <c r="U312" s="304">
        <f t="array" ref="U312">_xlfn.XLOOKUP($B312,$B$114:$B$212,_xlfn.XLOOKUP(U$219,$D$5:$AO$5,$D$114:$AO$212))</f>
        <v>31.21812030000001</v>
      </c>
      <c r="V312" s="304">
        <f t="array" ref="V312">_xlfn.XLOOKUP($B312,$B$114:$B$212,_xlfn.XLOOKUP(V$219,$D$5:$AO$5,$D$114:$AO$212))</f>
        <v>30.377394683999999</v>
      </c>
      <c r="W312" s="304">
        <f t="array" ref="W312">_xlfn.XLOOKUP($B312,$B$114:$B$212,_xlfn.XLOOKUP(W$219,$D$5:$AO$5,$D$114:$AO$212))</f>
        <v>31.530301503000011</v>
      </c>
      <c r="X312" s="304">
        <f t="array" ref="X312">_xlfn.XLOOKUP($B312,$B$114:$B$212,_xlfn.XLOOKUP(X$219,$D$5:$AO$5,$D$114:$AO$212))</f>
        <v>30.512590781219998</v>
      </c>
      <c r="Y312" s="304">
        <f t="array" ref="Y312">_xlfn.XLOOKUP($B312,$B$114:$B$212,_xlfn.XLOOKUP(Y$219,$D$5:$AO$5,$D$114:$AO$212))</f>
        <v>31.845604518030012</v>
      </c>
      <c r="Z312" s="304">
        <f t="array" ref="Z312">_xlfn.XLOOKUP($B312,$B$114:$B$212,_xlfn.XLOOKUP(Z$219,$D$5:$AO$5,$D$114:$AO$212))</f>
        <v>30.817716689032199</v>
      </c>
      <c r="AA312" s="305"/>
      <c r="AB312" s="302" t="str">
        <f t="shared" si="114"/>
        <v>Tables Revenue - old</v>
      </c>
      <c r="AC312" s="303" t="str">
        <f t="shared" si="115"/>
        <v>A$m</v>
      </c>
      <c r="AD312" s="303"/>
      <c r="AE312" s="303"/>
      <c r="AF312" s="304">
        <f t="array" ref="AF312">_xlfn.XLOOKUP($B312,$B$114:$B$212,_xlfn.XLOOKUP(AF$219,$D$5:$AO$5,$D$114:$AO$212))</f>
        <v>76.839988998098249</v>
      </c>
      <c r="AG312" s="304">
        <f t="array" ref="AG312">_xlfn.XLOOKUP($B312,$B$114:$B$212,_xlfn.XLOOKUP(AG$219,$D$5:$AO$5,$D$114:$AO$212))</f>
        <v>61.557686847888128</v>
      </c>
      <c r="AH312" s="304">
        <f t="array" ref="AH312">_xlfn.XLOOKUP($B312,$B$114:$B$212,_xlfn.XLOOKUP(AH$219,$D$5:$AO$5,$D$114:$AO$212))</f>
        <v>69.254804016929711</v>
      </c>
      <c r="AI312" s="304">
        <f t="array" ref="AI312">_xlfn.XLOOKUP($B312,$B$114:$B$212,_xlfn.XLOOKUP(AI$219,$D$5:$AO$5,$D$114:$AO$212))</f>
        <v>57.707073117812968</v>
      </c>
      <c r="AJ312" s="304">
        <f t="array" ref="AJ312">_xlfn.XLOOKUP($B312,$B$114:$B$212,_xlfn.XLOOKUP(AJ$219,$D$5:$AO$5,$D$114:$AO$212))</f>
        <v>59.622</v>
      </c>
      <c r="AK312" s="304">
        <f t="array" ref="AK312">_xlfn.XLOOKUP($B312,$B$114:$B$212,_xlfn.XLOOKUP(AK$219,$D$5:$AO$5,$D$114:$AO$212))</f>
        <v>60.218220000000002</v>
      </c>
      <c r="AL312" s="304">
        <f t="array" ref="AL312">_xlfn.XLOOKUP($B312,$B$114:$B$212,_xlfn.XLOOKUP(AL$219,$D$5:$AO$5,$D$114:$AO$212))</f>
        <v>60.820402199999997</v>
      </c>
      <c r="AM312" s="304">
        <f t="array" ref="AM312">_xlfn.XLOOKUP($B312,$B$114:$B$212,_xlfn.XLOOKUP(AM$219,$D$5:$AO$5,$D$114:$AO$212))</f>
        <v>61.595514983999998</v>
      </c>
      <c r="AN312" s="304">
        <f t="array" ref="AN312">_xlfn.XLOOKUP($B312,$B$114:$B$212,_xlfn.XLOOKUP(AN$219,$D$5:$AO$5,$D$114:$AO$212))</f>
        <v>62.042892284220009</v>
      </c>
      <c r="AO312" s="304">
        <f t="array" ref="AO312">_xlfn.XLOOKUP($B312,$B$114:$B$212,_xlfn.XLOOKUP(AO$219,$D$5:$AO$5,$D$114:$AO$212))</f>
        <v>62.663321207062197</v>
      </c>
    </row>
    <row r="313" spans="2:41">
      <c r="B313" s="301" t="s">
        <v>1449</v>
      </c>
      <c r="C313" s="306" t="s">
        <v>1513</v>
      </c>
      <c r="D313" s="307" t="str">
        <f t="array" ref="D313">_xlfn.XLOOKUP($B313,$B$11:$B$109,_xlfn.XLOOKUP(D$219,$D$5:$AO$5,$D$11:$AO$109))</f>
        <v>A$m</v>
      </c>
      <c r="E313" s="307"/>
      <c r="F313" s="307"/>
      <c r="G313" s="308">
        <f t="array" ref="G313">_xlfn.XLOOKUP($B313,$B$11:$B$109,_xlfn.XLOOKUP(G$219,$D$5:$AO$5,$D$11:$AO$109))</f>
        <v>36.929505035354623</v>
      </c>
      <c r="H313" s="308">
        <f t="array" ref="H313">_xlfn.XLOOKUP($B313,$B$11:$B$109,_xlfn.XLOOKUP(H$219,$D$5:$AO$5,$D$11:$AO$109))</f>
        <v>39.910483962743633</v>
      </c>
      <c r="I313" s="308">
        <f t="array" ref="I313">_xlfn.XLOOKUP($B313,$B$11:$B$109,_xlfn.XLOOKUP(I$219,$D$5:$AO$5,$D$11:$AO$109))</f>
        <v>34.110236220472437</v>
      </c>
      <c r="J313" s="308">
        <f t="array" ref="J313">_xlfn.XLOOKUP($B313,$B$11:$B$109,_xlfn.XLOOKUP(J$219,$D$5:$AO$5,$D$11:$AO$109))</f>
        <v>27.44745062741568</v>
      </c>
      <c r="K313" s="308">
        <f t="array" ref="K313">_xlfn.XLOOKUP($B313,$B$11:$B$109,_xlfn.XLOOKUP(K$219,$D$5:$AO$5,$D$11:$AO$109))</f>
        <v>39.9</v>
      </c>
      <c r="L313" s="308">
        <f t="array" ref="L313">_xlfn.XLOOKUP($B313,$B$11:$B$109,_xlfn.XLOOKUP(L$219,$D$5:$AO$5,$D$11:$AO$109))</f>
        <v>30.300000000000004</v>
      </c>
      <c r="M313" s="308">
        <f t="array" ref="M313">_xlfn.XLOOKUP($B313,$B$11:$B$109,_xlfn.XLOOKUP(M$219,$D$5:$AO$5,$D$11:$AO$109))</f>
        <v>29.1</v>
      </c>
      <c r="N313" s="308">
        <f t="array" ref="N313">_xlfn.XLOOKUP($B313,$B$11:$B$109,_xlfn.XLOOKUP(N$219,$D$5:$AO$5,$D$11:$AO$109))</f>
        <v>29</v>
      </c>
      <c r="O313" s="308">
        <f t="array" ref="O313">_xlfn.XLOOKUP($B313,$B$11:$B$109,_xlfn.XLOOKUP(O$219,$D$5:$AO$5,$D$11:$AO$109))</f>
        <v>30.3</v>
      </c>
      <c r="P313" s="308">
        <f t="array" ref="P313">_xlfn.XLOOKUP($B313,$B$11:$B$109,_xlfn.XLOOKUP(P$219,$D$5:$AO$5,$D$11:$AO$109))</f>
        <v>27.2</v>
      </c>
      <c r="Q313" s="308">
        <f t="array" ref="Q313">_xlfn.XLOOKUP($B313,$B$11:$B$109,_xlfn.XLOOKUP(Q$219,$D$5:$AO$5,$D$11:$AO$109))</f>
        <v>31.4</v>
      </c>
      <c r="R313" s="308">
        <f t="array" ref="R313">_xlfn.XLOOKUP($B313,$B$11:$B$109,_xlfn.XLOOKUP(R$219,$D$5:$AO$5,$D$11:$AO$109))</f>
        <v>30.1</v>
      </c>
      <c r="S313" s="308">
        <f t="array" ref="S313">_xlfn.XLOOKUP($B313,$B$11:$B$109,_xlfn.XLOOKUP(S$219,$D$5:$AO$5,$D$11:$AO$109))</f>
        <v>29</v>
      </c>
      <c r="T313" s="308">
        <f t="array" ref="T313">_xlfn.XLOOKUP($B313,$B$11:$B$109,_xlfn.XLOOKUP(T$219,$D$5:$AO$5,$D$11:$AO$109))</f>
        <v>30.1</v>
      </c>
      <c r="U313" s="308">
        <f t="array" ref="U313">_xlfn.XLOOKUP($B313,$B$11:$B$109,_xlfn.XLOOKUP(U$219,$D$5:$AO$5,$D$11:$AO$109))</f>
        <v>25</v>
      </c>
      <c r="V313" s="308">
        <f t="array" ref="V313">_xlfn.XLOOKUP($B313,$B$11:$B$109,_xlfn.XLOOKUP(V$219,$D$5:$AO$5,$D$11:$AO$109))</f>
        <v>25</v>
      </c>
      <c r="W313" s="308">
        <f t="array" ref="W313">_xlfn.XLOOKUP($B313,$B$11:$B$109,_xlfn.XLOOKUP(W$219,$D$5:$AO$5,$D$11:$AO$109))</f>
        <v>26.5</v>
      </c>
      <c r="X313" s="308">
        <f t="array" ref="X313">_xlfn.XLOOKUP($B313,$B$11:$B$109,_xlfn.XLOOKUP(X$219,$D$5:$AO$5,$D$11:$AO$109))</f>
        <v>26.5</v>
      </c>
      <c r="Y313" s="308">
        <f t="array" ref="Y313">_xlfn.XLOOKUP($B313,$B$11:$B$109,_xlfn.XLOOKUP(Y$219,$D$5:$AO$5,$D$11:$AO$109))</f>
        <v>28.09</v>
      </c>
      <c r="Z313" s="308">
        <f t="array" ref="Z313">_xlfn.XLOOKUP($B313,$B$11:$B$109,_xlfn.XLOOKUP(Z$219,$D$5:$AO$5,$D$11:$AO$109))</f>
        <v>28.09</v>
      </c>
      <c r="AA313" s="308"/>
      <c r="AB313" s="306" t="str">
        <f t="shared" si="114"/>
        <v>Tables Revenue - New</v>
      </c>
      <c r="AC313" s="307" t="str">
        <f t="shared" si="115"/>
        <v>A$m</v>
      </c>
      <c r="AD313" s="307"/>
      <c r="AE313" s="307"/>
      <c r="AF313" s="308">
        <f t="array" ref="AF313">_xlfn.XLOOKUP($B313,$B$11:$B$109,_xlfn.XLOOKUP(AF$219,$D$5:$AO$5,$D$11:$AO$109))</f>
        <v>76.839988998098249</v>
      </c>
      <c r="AG313" s="308">
        <f t="array" ref="AG313">_xlfn.XLOOKUP($B313,$B$11:$B$109,_xlfn.XLOOKUP(AG$219,$D$5:$AO$5,$D$11:$AO$109))</f>
        <v>61.557686847888121</v>
      </c>
      <c r="AH313" s="308">
        <f t="array" ref="AH313">_xlfn.XLOOKUP($B313,$B$11:$B$109,_xlfn.XLOOKUP(AH$219,$D$5:$AO$5,$D$11:$AO$109))</f>
        <v>70.2</v>
      </c>
      <c r="AI313" s="308">
        <f t="array" ref="AI313">_xlfn.XLOOKUP($B313,$B$11:$B$109,_xlfn.XLOOKUP(AI$219,$D$5:$AO$5,$D$11:$AO$109))</f>
        <v>58.1</v>
      </c>
      <c r="AJ313" s="308">
        <f t="array" ref="AJ313">_xlfn.XLOOKUP($B313,$B$11:$B$109,_xlfn.XLOOKUP(AJ$219,$D$5:$AO$5,$D$11:$AO$109))</f>
        <v>57.5</v>
      </c>
      <c r="AK313" s="308">
        <f t="array" ref="AK313">_xlfn.XLOOKUP($B313,$B$11:$B$109,_xlfn.XLOOKUP(AK$219,$D$5:$AO$5,$D$11:$AO$109))</f>
        <v>61.5</v>
      </c>
      <c r="AL313" s="308">
        <f t="array" ref="AL313">_xlfn.XLOOKUP($B313,$B$11:$B$109,_xlfn.XLOOKUP(AL$219,$D$5:$AO$5,$D$11:$AO$109))</f>
        <v>59.1</v>
      </c>
      <c r="AM313" s="308">
        <f t="array" ref="AM313">_xlfn.XLOOKUP($B313,$B$11:$B$109,_xlfn.XLOOKUP(AM$219,$D$5:$AO$5,$D$11:$AO$109))</f>
        <v>50</v>
      </c>
      <c r="AN313" s="308">
        <f t="array" ref="AN313">_xlfn.XLOOKUP($B313,$B$11:$B$109,_xlfn.XLOOKUP(AN$219,$D$5:$AO$5,$D$11:$AO$109))</f>
        <v>53</v>
      </c>
      <c r="AO313" s="308">
        <f t="array" ref="AO313">_xlfn.XLOOKUP($B313,$B$11:$B$109,_xlfn.XLOOKUP(AO$219,$D$5:$AO$5,$D$11:$AO$109))</f>
        <v>56.18</v>
      </c>
    </row>
    <row r="314" spans="2:41" hidden="1" outlineLevel="1">
      <c r="C314" s="309" t="s">
        <v>1510</v>
      </c>
      <c r="D314" s="303" t="s">
        <v>88</v>
      </c>
      <c r="E314" s="303"/>
      <c r="F314" s="303"/>
      <c r="G314" s="310" t="s">
        <v>967</v>
      </c>
      <c r="H314" s="310" t="s">
        <v>967</v>
      </c>
      <c r="I314" s="310">
        <f t="shared" ref="I314:Z314" si="120">I313/G313-1</f>
        <v>-7.6341906347868638E-2</v>
      </c>
      <c r="J314" s="310">
        <f t="shared" si="120"/>
        <v>-0.31227467316513058</v>
      </c>
      <c r="K314" s="310">
        <f t="shared" si="120"/>
        <v>0.16973684210526319</v>
      </c>
      <c r="L314" s="310">
        <f t="shared" si="120"/>
        <v>0.10392766203703729</v>
      </c>
      <c r="M314" s="310">
        <f t="shared" si="120"/>
        <v>-0.27067669172932329</v>
      </c>
      <c r="N314" s="310">
        <f t="shared" si="120"/>
        <v>-4.290429042904309E-2</v>
      </c>
      <c r="O314" s="310">
        <f t="shared" si="120"/>
        <v>4.1237113402061931E-2</v>
      </c>
      <c r="P314" s="310">
        <f t="shared" si="120"/>
        <v>-6.2068965517241392E-2</v>
      </c>
      <c r="Q314" s="310">
        <f t="shared" si="120"/>
        <v>3.6303630363036188E-2</v>
      </c>
      <c r="R314" s="310">
        <f t="shared" si="120"/>
        <v>0.10661764705882359</v>
      </c>
      <c r="S314" s="310">
        <f t="shared" si="120"/>
        <v>-7.6433121019108263E-2</v>
      </c>
      <c r="T314" s="310">
        <f t="shared" si="120"/>
        <v>0</v>
      </c>
      <c r="U314" s="310">
        <f t="shared" si="120"/>
        <v>-0.13793103448275867</v>
      </c>
      <c r="V314" s="310">
        <f t="shared" si="120"/>
        <v>-0.16943521594684385</v>
      </c>
      <c r="W314" s="310">
        <f t="shared" si="120"/>
        <v>6.0000000000000053E-2</v>
      </c>
      <c r="X314" s="310">
        <f t="shared" si="120"/>
        <v>6.0000000000000053E-2</v>
      </c>
      <c r="Y314" s="310">
        <f t="shared" si="120"/>
        <v>6.0000000000000053E-2</v>
      </c>
      <c r="Z314" s="310">
        <f t="shared" si="120"/>
        <v>6.0000000000000053E-2</v>
      </c>
      <c r="AA314" s="311"/>
      <c r="AB314" s="309" t="str">
        <f t="shared" si="114"/>
        <v>- Growth</v>
      </c>
      <c r="AC314" s="303" t="str">
        <f t="shared" si="115"/>
        <v>%</v>
      </c>
      <c r="AD314" s="303"/>
      <c r="AE314" s="303"/>
      <c r="AF314" s="310" t="s">
        <v>967</v>
      </c>
      <c r="AG314" s="310">
        <f t="shared" ref="AG314:AO314" si="121">AG313/AF313-1</f>
        <v>-0.1988847519302529</v>
      </c>
      <c r="AH314" s="310">
        <f t="shared" si="121"/>
        <v>0.14039372813776185</v>
      </c>
      <c r="AI314" s="310">
        <f t="shared" si="121"/>
        <v>-0.17236467236467234</v>
      </c>
      <c r="AJ314" s="310">
        <f t="shared" si="121"/>
        <v>-1.0327022375215211E-2</v>
      </c>
      <c r="AK314" s="310">
        <f t="shared" si="121"/>
        <v>6.956521739130439E-2</v>
      </c>
      <c r="AL314" s="310">
        <f t="shared" si="121"/>
        <v>-3.9024390243902363E-2</v>
      </c>
      <c r="AM314" s="310">
        <f t="shared" si="121"/>
        <v>-0.15397631133671741</v>
      </c>
      <c r="AN314" s="310">
        <f t="shared" si="121"/>
        <v>6.0000000000000053E-2</v>
      </c>
      <c r="AO314" s="310">
        <f t="shared" si="121"/>
        <v>6.0000000000000053E-2</v>
      </c>
    </row>
    <row r="315" spans="2:41" collapsed="1">
      <c r="C315" s="309" t="s">
        <v>1511</v>
      </c>
      <c r="D315" s="303" t="s">
        <v>88</v>
      </c>
      <c r="E315" s="303"/>
      <c r="F315" s="303"/>
      <c r="G315" s="310">
        <f t="shared" ref="G315:Z315" si="122">IFERROR(ROUND( G313 / G312,2) - 1, 0)</f>
        <v>0</v>
      </c>
      <c r="H315" s="310">
        <f t="shared" si="122"/>
        <v>0</v>
      </c>
      <c r="I315" s="310">
        <f t="shared" si="122"/>
        <v>0</v>
      </c>
      <c r="J315" s="310">
        <f t="shared" si="122"/>
        <v>0</v>
      </c>
      <c r="K315" s="310">
        <f t="shared" si="122"/>
        <v>1.0000000000000009E-2</v>
      </c>
      <c r="L315" s="310">
        <f t="shared" si="122"/>
        <v>2.0000000000000018E-2</v>
      </c>
      <c r="M315" s="310">
        <f t="shared" si="122"/>
        <v>0</v>
      </c>
      <c r="N315" s="310">
        <f t="shared" si="122"/>
        <v>1.0000000000000009E-2</v>
      </c>
      <c r="O315" s="310">
        <f t="shared" si="122"/>
        <v>0</v>
      </c>
      <c r="P315" s="310">
        <f t="shared" si="122"/>
        <v>-6.9999999999999951E-2</v>
      </c>
      <c r="Q315" s="310">
        <f t="shared" si="122"/>
        <v>3.0000000000000027E-2</v>
      </c>
      <c r="R315" s="310">
        <f t="shared" si="122"/>
        <v>2.0000000000000018E-2</v>
      </c>
      <c r="S315" s="310">
        <f t="shared" si="122"/>
        <v>-6.0000000000000053E-2</v>
      </c>
      <c r="T315" s="310">
        <f t="shared" si="122"/>
        <v>1.0000000000000009E-2</v>
      </c>
      <c r="U315" s="310">
        <f t="shared" si="122"/>
        <v>-0.19999999999999996</v>
      </c>
      <c r="V315" s="310">
        <f t="shared" si="122"/>
        <v>-0.18000000000000005</v>
      </c>
      <c r="W315" s="310">
        <f t="shared" si="122"/>
        <v>-0.16000000000000003</v>
      </c>
      <c r="X315" s="310">
        <f t="shared" si="122"/>
        <v>-0.13</v>
      </c>
      <c r="Y315" s="310">
        <f t="shared" si="122"/>
        <v>-0.12</v>
      </c>
      <c r="Z315" s="310">
        <f t="shared" si="122"/>
        <v>-8.9999999999999969E-2</v>
      </c>
      <c r="AA315" s="310"/>
      <c r="AB315" s="309" t="str">
        <f t="shared" si="114"/>
        <v>- Revision</v>
      </c>
      <c r="AC315" s="303" t="str">
        <f t="shared" si="115"/>
        <v>%</v>
      </c>
      <c r="AD315" s="303"/>
      <c r="AE315" s="303"/>
      <c r="AF315" s="310">
        <f t="shared" ref="AF315:AO315" si="123">IFERROR(ROUND( AF313 / AF312,2) - 1, 0)</f>
        <v>0</v>
      </c>
      <c r="AG315" s="310">
        <f t="shared" si="123"/>
        <v>0</v>
      </c>
      <c r="AH315" s="310">
        <f t="shared" si="123"/>
        <v>1.0000000000000009E-2</v>
      </c>
      <c r="AI315" s="310">
        <f t="shared" si="123"/>
        <v>1.0000000000000009E-2</v>
      </c>
      <c r="AJ315" s="310">
        <f t="shared" si="123"/>
        <v>-4.0000000000000036E-2</v>
      </c>
      <c r="AK315" s="310">
        <f t="shared" si="123"/>
        <v>2.0000000000000018E-2</v>
      </c>
      <c r="AL315" s="310">
        <f t="shared" si="123"/>
        <v>-3.0000000000000027E-2</v>
      </c>
      <c r="AM315" s="310">
        <f t="shared" si="123"/>
        <v>-0.18999999999999995</v>
      </c>
      <c r="AN315" s="310">
        <f t="shared" si="123"/>
        <v>-0.15000000000000002</v>
      </c>
      <c r="AO315" s="310">
        <f t="shared" si="123"/>
        <v>-9.9999999999999978E-2</v>
      </c>
    </row>
    <row r="316" spans="2:41">
      <c r="B316" s="301" t="s">
        <v>1450</v>
      </c>
      <c r="C316" s="302" t="s">
        <v>1514</v>
      </c>
      <c r="D316" s="303" t="str">
        <f t="array" ref="D316">_xlfn.XLOOKUP($B316,$B$114:$B$212,_xlfn.XLOOKUP(D$219,$D$5:$AO$5,$D$114:$AO$212))</f>
        <v>A$m</v>
      </c>
      <c r="E316" s="303"/>
      <c r="F316" s="303"/>
      <c r="G316" s="304">
        <f t="array" ref="G316">_xlfn.XLOOKUP($B316,$B$114:$B$212,_xlfn.XLOOKUP(G$219,$D$5:$AO$5,$D$114:$AO$212))</f>
        <v>25.4</v>
      </c>
      <c r="H316" s="304">
        <f t="array" ref="H316">_xlfn.XLOOKUP($B316,$B$114:$B$212,_xlfn.XLOOKUP(H$219,$D$5:$AO$5,$D$114:$AO$212))</f>
        <v>23.9</v>
      </c>
      <c r="I316" s="304">
        <f t="array" ref="I316">_xlfn.XLOOKUP($B316,$B$114:$B$212,_xlfn.XLOOKUP(I$219,$D$5:$AO$5,$D$114:$AO$212))</f>
        <v>23.412073490813651</v>
      </c>
      <c r="J316" s="304">
        <f t="array" ref="J316">_xlfn.XLOOKUP($B316,$B$114:$B$212,_xlfn.XLOOKUP(J$219,$D$5:$AO$5,$D$114:$AO$212))</f>
        <v>23.720019060729602</v>
      </c>
      <c r="K316" s="304">
        <f t="array" ref="K316">_xlfn.XLOOKUP($B316,$B$114:$B$212,_xlfn.XLOOKUP(K$219,$D$5:$AO$5,$D$114:$AO$212))</f>
        <v>34.985100982231543</v>
      </c>
      <c r="L316" s="304">
        <f t="array" ref="L316">_xlfn.XLOOKUP($B316,$B$114:$B$212,_xlfn.XLOOKUP(L$219,$D$5:$AO$5,$D$114:$AO$212))</f>
        <v>36.492511615384643</v>
      </c>
      <c r="M316" s="304">
        <f t="array" ref="M316">_xlfn.XLOOKUP($B316,$B$114:$B$212,_xlfn.XLOOKUP(M$219,$D$5:$AO$5,$D$114:$AO$212))</f>
        <v>35.799264546831068</v>
      </c>
      <c r="N316" s="304">
        <f t="array" ref="N316">_xlfn.XLOOKUP($B316,$B$114:$B$212,_xlfn.XLOOKUP(N$219,$D$5:$AO$5,$D$114:$AO$212))</f>
        <v>33.304404426122787</v>
      </c>
      <c r="O316" s="304">
        <f t="array" ref="O316">_xlfn.XLOOKUP($B316,$B$114:$B$212,_xlfn.XLOOKUP(O$219,$D$5:$AO$5,$D$114:$AO$212))</f>
        <v>38.9</v>
      </c>
      <c r="P316" s="304">
        <f t="array" ref="P316">_xlfn.XLOOKUP($B316,$B$114:$B$212,_xlfn.XLOOKUP(P$219,$D$5:$AO$5,$D$114:$AO$212))</f>
        <v>38.900000000000013</v>
      </c>
      <c r="Q316" s="304">
        <f t="array" ref="Q316">_xlfn.XLOOKUP($B316,$B$114:$B$212,_xlfn.XLOOKUP(Q$219,$D$5:$AO$5,$D$114:$AO$212))</f>
        <v>38.900000000000013</v>
      </c>
      <c r="R316" s="304">
        <f t="array" ref="R316">_xlfn.XLOOKUP($B316,$B$114:$B$212,_xlfn.XLOOKUP(R$219,$D$5:$AO$5,$D$114:$AO$212))</f>
        <v>40.45600000000001</v>
      </c>
      <c r="S316" s="304">
        <f t="array" ref="S316">_xlfn.XLOOKUP($B316,$B$114:$B$212,_xlfn.XLOOKUP(S$219,$D$5:$AO$5,$D$114:$AO$212))</f>
        <v>40.45600000000001</v>
      </c>
      <c r="T316" s="304">
        <f t="array" ref="T316">_xlfn.XLOOKUP($B316,$B$114:$B$212,_xlfn.XLOOKUP(T$219,$D$5:$AO$5,$D$114:$AO$212))</f>
        <v>42.074240000000003</v>
      </c>
      <c r="U316" s="304">
        <f t="array" ref="U316">_xlfn.XLOOKUP($B316,$B$114:$B$212,_xlfn.XLOOKUP(U$219,$D$5:$AO$5,$D$114:$AO$212))</f>
        <v>42.074240000000003</v>
      </c>
      <c r="V316" s="304">
        <f t="array" ref="V316">_xlfn.XLOOKUP($B316,$B$114:$B$212,_xlfn.XLOOKUP(V$219,$D$5:$AO$5,$D$114:$AO$212))</f>
        <v>43.757209600000003</v>
      </c>
      <c r="W316" s="304">
        <f t="array" ref="W316">_xlfn.XLOOKUP($B316,$B$114:$B$212,_xlfn.XLOOKUP(W$219,$D$5:$AO$5,$D$114:$AO$212))</f>
        <v>43.757209600000003</v>
      </c>
      <c r="X316" s="304">
        <f t="array" ref="X316">_xlfn.XLOOKUP($B316,$B$114:$B$212,_xlfn.XLOOKUP(X$219,$D$5:$AO$5,$D$114:$AO$212))</f>
        <v>45.507497984000011</v>
      </c>
      <c r="Y316" s="304">
        <f t="array" ref="Y316">_xlfn.XLOOKUP($B316,$B$114:$B$212,_xlfn.XLOOKUP(Y$219,$D$5:$AO$5,$D$114:$AO$212))</f>
        <v>45.507497984000011</v>
      </c>
      <c r="Z316" s="304">
        <f t="array" ref="Z316">_xlfn.XLOOKUP($B316,$B$114:$B$212,_xlfn.XLOOKUP(Z$219,$D$5:$AO$5,$D$114:$AO$212))</f>
        <v>47.327797903360008</v>
      </c>
      <c r="AA316" s="305"/>
      <c r="AB316" s="302" t="str">
        <f t="shared" si="114"/>
        <v>Non Gaming Revenue - old</v>
      </c>
      <c r="AC316" s="303" t="str">
        <f t="shared" si="115"/>
        <v>A$m</v>
      </c>
      <c r="AD316" s="303"/>
      <c r="AE316" s="303"/>
      <c r="AF316" s="304">
        <f t="array" ref="AF316">_xlfn.XLOOKUP($B316,$B$114:$B$212,_xlfn.XLOOKUP(AF$219,$D$5:$AO$5,$D$114:$AO$212))</f>
        <v>49.3</v>
      </c>
      <c r="AG316" s="304">
        <f t="array" ref="AG316">_xlfn.XLOOKUP($B316,$B$114:$B$212,_xlfn.XLOOKUP(AG$219,$D$5:$AO$5,$D$114:$AO$212))</f>
        <v>47.132092551543252</v>
      </c>
      <c r="AH316" s="304">
        <f t="array" ref="AH316">_xlfn.XLOOKUP($B316,$B$114:$B$212,_xlfn.XLOOKUP(AH$219,$D$5:$AO$5,$D$114:$AO$212))</f>
        <v>71.477612597616172</v>
      </c>
      <c r="AI316" s="304">
        <f t="array" ref="AI316">_xlfn.XLOOKUP($B316,$B$114:$B$212,_xlfn.XLOOKUP(AI$219,$D$5:$AO$5,$D$114:$AO$212))</f>
        <v>69.103668972953869</v>
      </c>
      <c r="AJ316" s="304">
        <f t="array" ref="AJ316">_xlfn.XLOOKUP($B316,$B$114:$B$212,_xlfn.XLOOKUP(AJ$219,$D$5:$AO$5,$D$114:$AO$212))</f>
        <v>77.800000000000011</v>
      </c>
      <c r="AK316" s="304">
        <f t="array" ref="AK316">_xlfn.XLOOKUP($B316,$B$114:$B$212,_xlfn.XLOOKUP(AK$219,$D$5:$AO$5,$D$114:$AO$212))</f>
        <v>79.356000000000023</v>
      </c>
      <c r="AL316" s="304">
        <f t="array" ref="AL316">_xlfn.XLOOKUP($B316,$B$114:$B$212,_xlfn.XLOOKUP(AL$219,$D$5:$AO$5,$D$114:$AO$212))</f>
        <v>82.53024000000002</v>
      </c>
      <c r="AM316" s="304">
        <f t="array" ref="AM316">_xlfn.XLOOKUP($B316,$B$114:$B$212,_xlfn.XLOOKUP(AM$219,$D$5:$AO$5,$D$114:$AO$212))</f>
        <v>85.831449600000013</v>
      </c>
      <c r="AN316" s="304">
        <f t="array" ref="AN316">_xlfn.XLOOKUP($B316,$B$114:$B$212,_xlfn.XLOOKUP(AN$219,$D$5:$AO$5,$D$114:$AO$212))</f>
        <v>89.264707584000007</v>
      </c>
      <c r="AO316" s="304">
        <f t="array" ref="AO316">_xlfn.XLOOKUP($B316,$B$114:$B$212,_xlfn.XLOOKUP(AO$219,$D$5:$AO$5,$D$114:$AO$212))</f>
        <v>92.835295887360019</v>
      </c>
    </row>
    <row r="317" spans="2:41">
      <c r="B317" s="301" t="s">
        <v>1450</v>
      </c>
      <c r="C317" s="318" t="s">
        <v>1515</v>
      </c>
      <c r="D317" s="307" t="str">
        <f t="array" ref="D317">_xlfn.XLOOKUP($B317,$B$11:$B$109,_xlfn.XLOOKUP(D$219,$D$5:$AO$5,$D$11:$AO$109))</f>
        <v>A$m</v>
      </c>
      <c r="E317" s="307"/>
      <c r="F317" s="307"/>
      <c r="G317" s="308">
        <f t="array" ref="G317">_xlfn.XLOOKUP($B317,$B$11:$B$109,_xlfn.XLOOKUP(G$219,$D$5:$AO$5,$D$11:$AO$109))</f>
        <v>25.4</v>
      </c>
      <c r="H317" s="308">
        <f t="array" ref="H317">_xlfn.XLOOKUP($B317,$B$11:$B$109,_xlfn.XLOOKUP(H$219,$D$5:$AO$5,$D$11:$AO$109))</f>
        <v>23.9</v>
      </c>
      <c r="I317" s="308">
        <f t="array" ref="I317">_xlfn.XLOOKUP($B317,$B$11:$B$109,_xlfn.XLOOKUP(I$219,$D$5:$AO$5,$D$11:$AO$109))</f>
        <v>23.412073490813651</v>
      </c>
      <c r="J317" s="308">
        <f t="array" ref="J317">_xlfn.XLOOKUP($B317,$B$11:$B$109,_xlfn.XLOOKUP(J$219,$D$5:$AO$5,$D$11:$AO$109))</f>
        <v>23.720019060729602</v>
      </c>
      <c r="K317" s="308">
        <f t="array" ref="K317">_xlfn.XLOOKUP($B317,$B$11:$B$109,_xlfn.XLOOKUP(K$219,$D$5:$AO$5,$D$11:$AO$109))</f>
        <v>34.799999999999997</v>
      </c>
      <c r="L317" s="308">
        <f t="array" ref="L317">_xlfn.XLOOKUP($B317,$B$11:$B$109,_xlfn.XLOOKUP(L$219,$D$5:$AO$5,$D$11:$AO$109))</f>
        <v>36.5</v>
      </c>
      <c r="M317" s="308">
        <f t="array" ref="M317">_xlfn.XLOOKUP($B317,$B$11:$B$109,_xlfn.XLOOKUP(M$219,$D$5:$AO$5,$D$11:$AO$109))</f>
        <v>35.799264546831068</v>
      </c>
      <c r="N317" s="308">
        <f t="array" ref="N317">_xlfn.XLOOKUP($B317,$B$11:$B$109,_xlfn.XLOOKUP(N$219,$D$5:$AO$5,$D$11:$AO$109))</f>
        <v>33.200735453168932</v>
      </c>
      <c r="O317" s="308">
        <f t="array" ref="O317">_xlfn.XLOOKUP($B317,$B$11:$B$109,_xlfn.XLOOKUP(O$219,$D$5:$AO$5,$D$11:$AO$109))</f>
        <v>38.9</v>
      </c>
      <c r="P317" s="308">
        <f t="array" ref="P317">_xlfn.XLOOKUP($B317,$B$11:$B$109,_xlfn.XLOOKUP(P$219,$D$5:$AO$5,$D$11:$AO$109))</f>
        <v>33.800000000000004</v>
      </c>
      <c r="Q317" s="308">
        <f t="array" ref="Q317">_xlfn.XLOOKUP($B317,$B$11:$B$109,_xlfn.XLOOKUP(Q$219,$D$5:$AO$5,$D$11:$AO$109))</f>
        <v>41.1</v>
      </c>
      <c r="R317" s="308">
        <f t="array" ref="R317">_xlfn.XLOOKUP($B317,$B$11:$B$109,_xlfn.XLOOKUP(R$219,$D$5:$AO$5,$D$11:$AO$109))</f>
        <v>39.300000000000004</v>
      </c>
      <c r="S317" s="308">
        <f t="array" ref="S317">_xlfn.XLOOKUP($B317,$B$11:$B$109,_xlfn.XLOOKUP(S$219,$D$5:$AO$5,$D$11:$AO$109))</f>
        <v>42.3</v>
      </c>
      <c r="T317" s="308">
        <f t="array" ref="T317">_xlfn.XLOOKUP($B317,$B$11:$B$109,_xlfn.XLOOKUP(T$219,$D$5:$AO$5,$D$11:$AO$109))</f>
        <v>40.299999999999997</v>
      </c>
      <c r="U317" s="308">
        <f t="array" ref="U317">_xlfn.XLOOKUP($B317,$B$11:$B$109,_xlfn.XLOOKUP(U$219,$D$5:$AO$5,$D$11:$AO$109))</f>
        <v>42.3</v>
      </c>
      <c r="V317" s="308">
        <f t="array" ref="V317">_xlfn.XLOOKUP($B317,$B$11:$B$109,_xlfn.XLOOKUP(V$219,$D$5:$AO$5,$D$11:$AO$109))</f>
        <v>40.299999999999997</v>
      </c>
      <c r="W317" s="308">
        <f t="array" ref="W317">_xlfn.XLOOKUP($B317,$B$11:$B$109,_xlfn.XLOOKUP(W$219,$D$5:$AO$5,$D$11:$AO$109))</f>
        <v>43.992000000000004</v>
      </c>
      <c r="X317" s="308">
        <f t="array" ref="X317">_xlfn.XLOOKUP($B317,$B$11:$B$109,_xlfn.XLOOKUP(X$219,$D$5:$AO$5,$D$11:$AO$109))</f>
        <v>41.911999999999999</v>
      </c>
      <c r="Y317" s="308">
        <f t="array" ref="Y317">_xlfn.XLOOKUP($B317,$B$11:$B$109,_xlfn.XLOOKUP(Y$219,$D$5:$AO$5,$D$11:$AO$109))</f>
        <v>45.75168</v>
      </c>
      <c r="Z317" s="308">
        <f t="array" ref="Z317">_xlfn.XLOOKUP($B317,$B$11:$B$109,_xlfn.XLOOKUP(Z$219,$D$5:$AO$5,$D$11:$AO$109))</f>
        <v>43.588479999999997</v>
      </c>
      <c r="AA317" s="308"/>
      <c r="AB317" s="306" t="str">
        <f t="shared" si="114"/>
        <v>Non Gaming Revenue - New</v>
      </c>
      <c r="AC317" s="307" t="str">
        <f t="shared" si="115"/>
        <v>A$m</v>
      </c>
      <c r="AD317" s="307"/>
      <c r="AE317" s="307"/>
      <c r="AF317" s="308">
        <f t="array" ref="AF317">_xlfn.XLOOKUP($B317,$B$11:$B$109,_xlfn.XLOOKUP(AF$219,$D$5:$AO$5,$D$11:$AO$109))</f>
        <v>49.3</v>
      </c>
      <c r="AG317" s="308">
        <f t="array" ref="AG317">_xlfn.XLOOKUP($B317,$B$11:$B$109,_xlfn.XLOOKUP(AG$219,$D$5:$AO$5,$D$11:$AO$109))</f>
        <v>47.132092551543252</v>
      </c>
      <c r="AH317" s="308">
        <f t="array" ref="AH317">_xlfn.XLOOKUP($B317,$B$11:$B$109,_xlfn.XLOOKUP(AH$219,$D$5:$AO$5,$D$11:$AO$109))</f>
        <v>71.3</v>
      </c>
      <c r="AI317" s="308">
        <f t="array" ref="AI317">_xlfn.XLOOKUP($B317,$B$11:$B$109,_xlfn.XLOOKUP(AI$219,$D$5:$AO$5,$D$11:$AO$109))</f>
        <v>69</v>
      </c>
      <c r="AJ317" s="308">
        <f t="array" ref="AJ317">_xlfn.XLOOKUP($B317,$B$11:$B$109,_xlfn.XLOOKUP(AJ$219,$D$5:$AO$5,$D$11:$AO$109))</f>
        <v>72.7</v>
      </c>
      <c r="AK317" s="308">
        <f t="array" ref="AK317">_xlfn.XLOOKUP($B317,$B$11:$B$109,_xlfn.XLOOKUP(AK$219,$D$5:$AO$5,$D$11:$AO$109))</f>
        <v>80.400000000000006</v>
      </c>
      <c r="AL317" s="308">
        <f t="array" ref="AL317">_xlfn.XLOOKUP($B317,$B$11:$B$109,_xlfn.XLOOKUP(AL$219,$D$5:$AO$5,$D$11:$AO$109))</f>
        <v>82.6</v>
      </c>
      <c r="AM317" s="308">
        <f t="array" ref="AM317">_xlfn.XLOOKUP($B317,$B$11:$B$109,_xlfn.XLOOKUP(AM$219,$D$5:$AO$5,$D$11:$AO$109))</f>
        <v>82.6</v>
      </c>
      <c r="AN317" s="308">
        <f t="array" ref="AN317">_xlfn.XLOOKUP($B317,$B$11:$B$109,_xlfn.XLOOKUP(AN$219,$D$5:$AO$5,$D$11:$AO$109))</f>
        <v>85.903999999999996</v>
      </c>
      <c r="AO317" s="308">
        <f t="array" ref="AO317">_xlfn.XLOOKUP($B317,$B$11:$B$109,_xlfn.XLOOKUP(AO$219,$D$5:$AO$5,$D$11:$AO$109))</f>
        <v>89.340159999999997</v>
      </c>
    </row>
    <row r="318" spans="2:41" hidden="1" outlineLevel="1">
      <c r="B318" s="301"/>
      <c r="C318" s="309" t="s">
        <v>1510</v>
      </c>
      <c r="D318" s="303" t="s">
        <v>88</v>
      </c>
      <c r="E318" s="303"/>
      <c r="F318" s="303"/>
      <c r="G318" s="310" t="s">
        <v>967</v>
      </c>
      <c r="H318" s="310" t="s">
        <v>967</v>
      </c>
      <c r="I318" s="310">
        <f t="shared" ref="I318:Z318" si="124">I317/G317-1</f>
        <v>-7.8264823196312894E-2</v>
      </c>
      <c r="J318" s="310">
        <f t="shared" si="124"/>
        <v>-7.5305832330709865E-3</v>
      </c>
      <c r="K318" s="310">
        <f t="shared" si="124"/>
        <v>0.48641255605381151</v>
      </c>
      <c r="L318" s="310">
        <f t="shared" si="124"/>
        <v>0.53878459821428581</v>
      </c>
      <c r="M318" s="310">
        <f t="shared" si="124"/>
        <v>2.8714498472157235E-2</v>
      </c>
      <c r="N318" s="310">
        <f t="shared" si="124"/>
        <v>-9.0390809502221003E-2</v>
      </c>
      <c r="O318" s="310">
        <f t="shared" si="124"/>
        <v>8.6614501510573705E-2</v>
      </c>
      <c r="P318" s="310">
        <f t="shared" si="124"/>
        <v>1.8049737111286657E-2</v>
      </c>
      <c r="Q318" s="310">
        <f t="shared" si="124"/>
        <v>5.6555269922879292E-2</v>
      </c>
      <c r="R318" s="310">
        <f t="shared" si="124"/>
        <v>0.16272189349112431</v>
      </c>
      <c r="S318" s="310">
        <f t="shared" si="124"/>
        <v>2.9197080291970767E-2</v>
      </c>
      <c r="T318" s="310">
        <f t="shared" si="124"/>
        <v>2.5445292620865034E-2</v>
      </c>
      <c r="U318" s="310">
        <f t="shared" si="124"/>
        <v>0</v>
      </c>
      <c r="V318" s="310">
        <f t="shared" si="124"/>
        <v>0</v>
      </c>
      <c r="W318" s="310">
        <f t="shared" si="124"/>
        <v>4.0000000000000258E-2</v>
      </c>
      <c r="X318" s="310">
        <f t="shared" si="124"/>
        <v>4.0000000000000036E-2</v>
      </c>
      <c r="Y318" s="310">
        <f t="shared" si="124"/>
        <v>3.9999999999999813E-2</v>
      </c>
      <c r="Z318" s="310">
        <f t="shared" si="124"/>
        <v>4.0000000000000036E-2</v>
      </c>
      <c r="AA318" s="311"/>
      <c r="AB318" s="309" t="str">
        <f t="shared" si="114"/>
        <v>- Growth</v>
      </c>
      <c r="AC318" s="303" t="str">
        <f t="shared" si="115"/>
        <v>%</v>
      </c>
      <c r="AD318" s="303"/>
      <c r="AE318" s="303"/>
      <c r="AF318" s="310" t="s">
        <v>967</v>
      </c>
      <c r="AG318" s="310">
        <f t="shared" ref="AG318:AO318" si="125">AG317/AF317-1</f>
        <v>-4.3973781915958354E-2</v>
      </c>
      <c r="AH318" s="310">
        <f t="shared" si="125"/>
        <v>0.51276966797149792</v>
      </c>
      <c r="AI318" s="310">
        <f t="shared" si="125"/>
        <v>-3.2258064516129004E-2</v>
      </c>
      <c r="AJ318" s="310">
        <f t="shared" si="125"/>
        <v>5.3623188405797162E-2</v>
      </c>
      <c r="AK318" s="310">
        <f t="shared" si="125"/>
        <v>0.10591471801925723</v>
      </c>
      <c r="AL318" s="310">
        <f t="shared" si="125"/>
        <v>2.736318407960181E-2</v>
      </c>
      <c r="AM318" s="310">
        <f t="shared" si="125"/>
        <v>0</v>
      </c>
      <c r="AN318" s="310">
        <f t="shared" si="125"/>
        <v>4.0000000000000036E-2</v>
      </c>
      <c r="AO318" s="310">
        <f t="shared" si="125"/>
        <v>4.0000000000000036E-2</v>
      </c>
    </row>
    <row r="319" spans="2:41" collapsed="1">
      <c r="B319" s="301"/>
      <c r="C319" s="309" t="s">
        <v>1511</v>
      </c>
      <c r="D319" s="303" t="s">
        <v>88</v>
      </c>
      <c r="E319" s="303"/>
      <c r="F319" s="303"/>
      <c r="G319" s="310">
        <f t="shared" ref="G319:Z319" si="126">IFERROR(ROUND( G317 / G316,2) - 1, 0)</f>
        <v>0</v>
      </c>
      <c r="H319" s="310">
        <f t="shared" si="126"/>
        <v>0</v>
      </c>
      <c r="I319" s="310">
        <f t="shared" si="126"/>
        <v>0</v>
      </c>
      <c r="J319" s="310">
        <f t="shared" si="126"/>
        <v>0</v>
      </c>
      <c r="K319" s="310">
        <f t="shared" si="126"/>
        <v>-1.0000000000000009E-2</v>
      </c>
      <c r="L319" s="310">
        <f t="shared" si="126"/>
        <v>0</v>
      </c>
      <c r="M319" s="310">
        <f t="shared" si="126"/>
        <v>0</v>
      </c>
      <c r="N319" s="310">
        <f t="shared" si="126"/>
        <v>0</v>
      </c>
      <c r="O319" s="310">
        <f t="shared" si="126"/>
        <v>0</v>
      </c>
      <c r="P319" s="310">
        <f t="shared" si="126"/>
        <v>-0.13</v>
      </c>
      <c r="Q319" s="310">
        <f t="shared" si="126"/>
        <v>6.0000000000000053E-2</v>
      </c>
      <c r="R319" s="310">
        <f t="shared" si="126"/>
        <v>-3.0000000000000027E-2</v>
      </c>
      <c r="S319" s="310">
        <f t="shared" si="126"/>
        <v>5.0000000000000044E-2</v>
      </c>
      <c r="T319" s="310">
        <f t="shared" si="126"/>
        <v>-4.0000000000000036E-2</v>
      </c>
      <c r="U319" s="310">
        <f t="shared" si="126"/>
        <v>1.0000000000000009E-2</v>
      </c>
      <c r="V319" s="310">
        <f t="shared" si="126"/>
        <v>-7.999999999999996E-2</v>
      </c>
      <c r="W319" s="310">
        <f t="shared" si="126"/>
        <v>1.0000000000000009E-2</v>
      </c>
      <c r="X319" s="310">
        <f t="shared" si="126"/>
        <v>-7.999999999999996E-2</v>
      </c>
      <c r="Y319" s="310">
        <f t="shared" si="126"/>
        <v>1.0000000000000009E-2</v>
      </c>
      <c r="Z319" s="310">
        <f t="shared" si="126"/>
        <v>-7.999999999999996E-2</v>
      </c>
      <c r="AA319" s="310"/>
      <c r="AB319" s="309" t="str">
        <f t="shared" si="114"/>
        <v>- Revision</v>
      </c>
      <c r="AC319" s="303" t="str">
        <f t="shared" si="115"/>
        <v>%</v>
      </c>
      <c r="AD319" s="303"/>
      <c r="AE319" s="303"/>
      <c r="AF319" s="310">
        <f t="shared" ref="AF319:AO319" si="127">IFERROR(ROUND( AF317 / AF316,2) - 1, 0)</f>
        <v>0</v>
      </c>
      <c r="AG319" s="310">
        <f t="shared" si="127"/>
        <v>0</v>
      </c>
      <c r="AH319" s="310">
        <f t="shared" si="127"/>
        <v>0</v>
      </c>
      <c r="AI319" s="310">
        <f t="shared" si="127"/>
        <v>0</v>
      </c>
      <c r="AJ319" s="310">
        <f t="shared" si="127"/>
        <v>-6.9999999999999951E-2</v>
      </c>
      <c r="AK319" s="310">
        <f t="shared" si="127"/>
        <v>1.0000000000000009E-2</v>
      </c>
      <c r="AL319" s="310">
        <f t="shared" si="127"/>
        <v>0</v>
      </c>
      <c r="AM319" s="310">
        <f t="shared" si="127"/>
        <v>-4.0000000000000036E-2</v>
      </c>
      <c r="AN319" s="310">
        <f t="shared" si="127"/>
        <v>-4.0000000000000036E-2</v>
      </c>
      <c r="AO319" s="310">
        <f t="shared" si="127"/>
        <v>-4.0000000000000036E-2</v>
      </c>
    </row>
    <row r="320" spans="2:41">
      <c r="B320" s="301" t="s">
        <v>1451</v>
      </c>
      <c r="C320" s="302" t="s">
        <v>1516</v>
      </c>
      <c r="D320" s="303" t="str">
        <f t="array" ref="D320">_xlfn.XLOOKUP($B320,$B$114:$B$212,_xlfn.XLOOKUP(D$219,$D$5:$AO$5,$D$114:$AO$212))</f>
        <v>A$m</v>
      </c>
      <c r="E320" s="303"/>
      <c r="F320" s="303"/>
      <c r="G320" s="304">
        <f t="array" ref="G320">_xlfn.XLOOKUP($B320,$B$114:$B$212,_xlfn.XLOOKUP(G$219,$D$5:$AO$5,$D$114:$AO$212))</f>
        <v>87.206299550032128</v>
      </c>
      <c r="H320" s="304">
        <f t="array" ref="H320">_xlfn.XLOOKUP($B320,$B$114:$B$212,_xlfn.XLOOKUP(H$219,$D$5:$AO$5,$D$114:$AO$212))</f>
        <v>100.04696944842991</v>
      </c>
      <c r="I320" s="304">
        <f t="array" ref="I320">_xlfn.XLOOKUP($B320,$B$114:$B$212,_xlfn.XLOOKUP(I$219,$D$5:$AO$5,$D$114:$AO$212))</f>
        <v>90.026246719160099</v>
      </c>
      <c r="J320" s="304">
        <f t="array" ref="J320">_xlfn.XLOOKUP($B320,$B$114:$B$212,_xlfn.XLOOKUP(J$219,$D$5:$AO$5,$D$114:$AO$212))</f>
        <v>89.76544713294858</v>
      </c>
      <c r="K320" s="304">
        <f t="array" ref="K320">_xlfn.XLOOKUP($B320,$B$114:$B$212,_xlfn.XLOOKUP(K$219,$D$5:$AO$5,$D$114:$AO$212))</f>
        <v>129.54420041937979</v>
      </c>
      <c r="L320" s="304">
        <f t="array" ref="L320">_xlfn.XLOOKUP($B320,$B$114:$B$212,_xlfn.XLOOKUP(L$219,$D$5:$AO$5,$D$114:$AO$212))</f>
        <v>118.7468493692308</v>
      </c>
      <c r="M320" s="304">
        <f t="array" ref="M320">_xlfn.XLOOKUP($B320,$B$114:$B$212,_xlfn.XLOOKUP(M$219,$D$5:$AO$5,$D$114:$AO$212))</f>
        <v>116.7992645468311</v>
      </c>
      <c r="N320" s="304">
        <f t="array" ref="N320">_xlfn.XLOOKUP($B320,$B$114:$B$212,_xlfn.XLOOKUP(N$219,$D$5:$AO$5,$D$114:$AO$212))</f>
        <v>119.4185289650683</v>
      </c>
      <c r="O320" s="304">
        <f t="array" ref="O320">_xlfn.XLOOKUP($B320,$B$114:$B$212,_xlfn.XLOOKUP(O$219,$D$5:$AO$5,$D$114:$AO$212))</f>
        <v>123.2</v>
      </c>
      <c r="P320" s="304">
        <f t="array" ref="P320">_xlfn.XLOOKUP($B320,$B$114:$B$212,_xlfn.XLOOKUP(P$219,$D$5:$AO$5,$D$114:$AO$212))</f>
        <v>122.5694</v>
      </c>
      <c r="Q320" s="304">
        <f t="array" ref="Q320">_xlfn.XLOOKUP($B320,$B$114:$B$212,_xlfn.XLOOKUP(Q$219,$D$5:$AO$5,$D$114:$AO$212))</f>
        <v>124.806</v>
      </c>
      <c r="R320" s="304">
        <f t="array" ref="R320">_xlfn.XLOOKUP($B320,$B$114:$B$212,_xlfn.XLOOKUP(R$219,$D$5:$AO$5,$D$114:$AO$212))</f>
        <v>125.097094</v>
      </c>
      <c r="S320" s="304">
        <f t="array" ref="S320">_xlfn.XLOOKUP($B320,$B$114:$B$212,_xlfn.XLOOKUP(S$219,$D$5:$AO$5,$D$114:$AO$212))</f>
        <v>128.37212</v>
      </c>
      <c r="T320" s="304">
        <f t="array" ref="T320">_xlfn.XLOOKUP($B320,$B$114:$B$212,_xlfn.XLOOKUP(T$219,$D$5:$AO$5,$D$114:$AO$212))</f>
        <v>128.70906242000001</v>
      </c>
      <c r="U320" s="304">
        <f t="array" ref="U320">_xlfn.XLOOKUP($B320,$B$114:$B$212,_xlfn.XLOOKUP(U$219,$D$5:$AO$5,$D$114:$AO$212))</f>
        <v>132.05646300000001</v>
      </c>
      <c r="V320" s="304">
        <f t="array" ref="V320">_xlfn.XLOOKUP($B320,$B$114:$B$212,_xlfn.XLOOKUP(V$219,$D$5:$AO$5,$D$114:$AO$212))</f>
        <v>132.90352358920001</v>
      </c>
      <c r="W320" s="304">
        <f t="array" ref="W320">_xlfn.XLOOKUP($B320,$B$114:$B$212,_xlfn.XLOOKUP(W$219,$D$5:$AO$5,$D$114:$AO$212))</f>
        <v>135.86320888399999</v>
      </c>
      <c r="X320" s="304">
        <f t="array" ref="X320">_xlfn.XLOOKUP($B320,$B$114:$B$212,_xlfn.XLOOKUP(X$219,$D$5:$AO$5,$D$114:$AO$212))</f>
        <v>136.29874814361801</v>
      </c>
      <c r="Y320" s="304">
        <f t="array" ref="Y320">_xlfn.XLOOKUP($B320,$B$114:$B$212,_xlfn.XLOOKUP(Y$219,$D$5:$AO$5,$D$114:$AO$212))</f>
        <v>139.79669009646</v>
      </c>
      <c r="Z320" s="304">
        <f t="array" ref="Z320">_xlfn.XLOOKUP($B320,$B$114:$B$212,_xlfn.XLOOKUP(Z$219,$D$5:$AO$5,$D$114:$AO$212))</f>
        <v>140.28517738734209</v>
      </c>
      <c r="AA320" s="305"/>
      <c r="AB320" s="302" t="str">
        <f t="shared" si="114"/>
        <v>Total Domestic Revenue - old</v>
      </c>
      <c r="AC320" s="303" t="str">
        <f t="shared" si="115"/>
        <v>A$m</v>
      </c>
      <c r="AD320" s="303"/>
      <c r="AE320" s="303"/>
      <c r="AF320" s="304">
        <f t="array" ref="AF320">_xlfn.XLOOKUP($B320,$B$114:$B$212,_xlfn.XLOOKUP(AF$219,$D$5:$AO$5,$D$114:$AO$212))</f>
        <v>187.25326899846209</v>
      </c>
      <c r="AG320" s="304">
        <f t="array" ref="AG320">_xlfn.XLOOKUP($B320,$B$114:$B$212,_xlfn.XLOOKUP(AG$219,$D$5:$AO$5,$D$114:$AO$212))</f>
        <v>179.79169385210869</v>
      </c>
      <c r="AH320" s="304">
        <f t="array" ref="AH320">_xlfn.XLOOKUP($B320,$B$114:$B$212,_xlfn.XLOOKUP(AH$219,$D$5:$AO$5,$D$114:$AO$212))</f>
        <v>248.29104978861059</v>
      </c>
      <c r="AI320" s="304">
        <f t="array" ref="AI320">_xlfn.XLOOKUP($B320,$B$114:$B$212,_xlfn.XLOOKUP(AI$219,$D$5:$AO$5,$D$114:$AO$212))</f>
        <v>236.2177935118994</v>
      </c>
      <c r="AJ320" s="304">
        <f t="array" ref="AJ320">_xlfn.XLOOKUP($B320,$B$114:$B$212,_xlfn.XLOOKUP(AJ$219,$D$5:$AO$5,$D$114:$AO$212))</f>
        <v>245.76939999999999</v>
      </c>
      <c r="AK320" s="304">
        <f t="array" ref="AK320">_xlfn.XLOOKUP($B320,$B$114:$B$212,_xlfn.XLOOKUP(AK$219,$D$5:$AO$5,$D$114:$AO$212))</f>
        <v>249.90309400000001</v>
      </c>
      <c r="AL320" s="304">
        <f t="array" ref="AL320">_xlfn.XLOOKUP($B320,$B$114:$B$212,_xlfn.XLOOKUP(AL$219,$D$5:$AO$5,$D$114:$AO$212))</f>
        <v>257.08118242</v>
      </c>
      <c r="AM320" s="304">
        <f t="array" ref="AM320">_xlfn.XLOOKUP($B320,$B$114:$B$212,_xlfn.XLOOKUP(AM$219,$D$5:$AO$5,$D$114:$AO$212))</f>
        <v>264.95998658920001</v>
      </c>
      <c r="AN320" s="304">
        <f t="array" ref="AN320">_xlfn.XLOOKUP($B320,$B$114:$B$212,_xlfn.XLOOKUP(AN$219,$D$5:$AO$5,$D$114:$AO$212))</f>
        <v>272.16195702761797</v>
      </c>
      <c r="AO320" s="304">
        <f t="array" ref="AO320">_xlfn.XLOOKUP($B320,$B$114:$B$212,_xlfn.XLOOKUP(AO$219,$D$5:$AO$5,$D$114:$AO$212))</f>
        <v>280.08186748380223</v>
      </c>
    </row>
    <row r="321" spans="1:41">
      <c r="B321" s="301" t="s">
        <v>1451</v>
      </c>
      <c r="C321" s="306" t="s">
        <v>1517</v>
      </c>
      <c r="D321" s="307" t="str">
        <f t="array" ref="D321">_xlfn.XLOOKUP($B321,$B$11:$B$109,_xlfn.XLOOKUP(D$219,$D$5:$AO$5,$D$11:$AO$109))</f>
        <v>A$m</v>
      </c>
      <c r="E321" s="307"/>
      <c r="F321" s="307"/>
      <c r="G321" s="308">
        <f t="array" ref="G321">_xlfn.XLOOKUP($B321,$B$11:$B$109,_xlfn.XLOOKUP(G$219,$D$5:$AO$5,$D$11:$AO$109))</f>
        <v>87.206299550032142</v>
      </c>
      <c r="H321" s="308">
        <f t="array" ref="H321">_xlfn.XLOOKUP($B321,$B$11:$B$109,_xlfn.XLOOKUP(H$219,$D$5:$AO$5,$D$11:$AO$109))</f>
        <v>100.04696944842996</v>
      </c>
      <c r="I321" s="308">
        <f t="array" ref="I321">_xlfn.XLOOKUP($B321,$B$11:$B$109,_xlfn.XLOOKUP(I$219,$D$5:$AO$5,$D$11:$AO$109))</f>
        <v>90.026246719160099</v>
      </c>
      <c r="J321" s="308">
        <f t="array" ref="J321">_xlfn.XLOOKUP($B321,$B$11:$B$109,_xlfn.XLOOKUP(J$219,$D$5:$AO$5,$D$11:$AO$109))</f>
        <v>89.765447132948594</v>
      </c>
      <c r="K321" s="308">
        <f t="array" ref="K321">_xlfn.XLOOKUP($B321,$B$11:$B$109,_xlfn.XLOOKUP(K$219,$D$5:$AO$5,$D$11:$AO$109))</f>
        <v>129.89999999999998</v>
      </c>
      <c r="L321" s="308">
        <f t="array" ref="L321">_xlfn.XLOOKUP($B321,$B$11:$B$109,_xlfn.XLOOKUP(L$219,$D$5:$AO$5,$D$11:$AO$109))</f>
        <v>119.9</v>
      </c>
      <c r="M321" s="308">
        <f t="array" ref="M321">_xlfn.XLOOKUP($B321,$B$11:$B$109,_xlfn.XLOOKUP(M$219,$D$5:$AO$5,$D$11:$AO$109))</f>
        <v>116.79926454683107</v>
      </c>
      <c r="N321" s="308">
        <f t="array" ref="N321">_xlfn.XLOOKUP($B321,$B$11:$B$109,_xlfn.XLOOKUP(N$219,$D$5:$AO$5,$D$11:$AO$109))</f>
        <v>119.90073545316895</v>
      </c>
      <c r="O321" s="308">
        <f t="array" ref="O321">_xlfn.XLOOKUP($B321,$B$11:$B$109,_xlfn.XLOOKUP(O$219,$D$5:$AO$5,$D$11:$AO$109))</f>
        <v>123.2</v>
      </c>
      <c r="P321" s="308">
        <f t="array" ref="P321">_xlfn.XLOOKUP($B321,$B$11:$B$109,_xlfn.XLOOKUP(P$219,$D$5:$AO$5,$D$11:$AO$109))</f>
        <v>108.8</v>
      </c>
      <c r="Q321" s="308">
        <f t="array" ref="Q321">_xlfn.XLOOKUP($B321,$B$11:$B$109,_xlfn.XLOOKUP(Q$219,$D$5:$AO$5,$D$11:$AO$109))</f>
        <v>124.5</v>
      </c>
      <c r="R321" s="308">
        <f t="array" ref="R321">_xlfn.XLOOKUP($B321,$B$11:$B$109,_xlfn.XLOOKUP(R$219,$D$5:$AO$5,$D$11:$AO$109))</f>
        <v>122.1</v>
      </c>
      <c r="S321" s="308">
        <f t="array" ref="S321">_xlfn.XLOOKUP($B321,$B$11:$B$109,_xlfn.XLOOKUP(S$219,$D$5:$AO$5,$D$11:$AO$109))</f>
        <v>125</v>
      </c>
      <c r="T321" s="308">
        <f t="array" ref="T321">_xlfn.XLOOKUP($B321,$B$11:$B$109,_xlfn.XLOOKUP(T$219,$D$5:$AO$5,$D$11:$AO$109))</f>
        <v>124.1</v>
      </c>
      <c r="U321" s="308">
        <f t="array" ref="U321">_xlfn.XLOOKUP($B321,$B$11:$B$109,_xlfn.XLOOKUP(U$219,$D$5:$AO$5,$D$11:$AO$109))</f>
        <v>113</v>
      </c>
      <c r="V321" s="308">
        <f t="array" ref="V321">_xlfn.XLOOKUP($B321,$B$11:$B$109,_xlfn.XLOOKUP(V$219,$D$5:$AO$5,$D$11:$AO$109))</f>
        <v>111.068</v>
      </c>
      <c r="W321" s="308">
        <f t="array" ref="W321">_xlfn.XLOOKUP($B321,$B$11:$B$109,_xlfn.XLOOKUP(W$219,$D$5:$AO$5,$D$11:$AO$109))</f>
        <v>118.9</v>
      </c>
      <c r="X321" s="308">
        <f t="array" ref="X321">_xlfn.XLOOKUP($B321,$B$11:$B$109,_xlfn.XLOOKUP(X$219,$D$5:$AO$5,$D$11:$AO$109))</f>
        <v>116.89071999999999</v>
      </c>
      <c r="Y321" s="308">
        <f t="array" ref="Y321">_xlfn.XLOOKUP($B321,$B$11:$B$109,_xlfn.XLOOKUP(Y$219,$D$5:$AO$5,$D$11:$AO$109))</f>
        <v>125.11879999999999</v>
      </c>
      <c r="Z321" s="308">
        <f t="array" ref="Z321">_xlfn.XLOOKUP($B321,$B$11:$B$109,_xlfn.XLOOKUP(Z$219,$D$5:$AO$5,$D$11:$AO$109))</f>
        <v>123.0291488</v>
      </c>
      <c r="AA321" s="308"/>
      <c r="AB321" s="306" t="str">
        <f t="shared" si="114"/>
        <v>Total Domestic Revenue - New</v>
      </c>
      <c r="AC321" s="307" t="str">
        <f t="shared" si="115"/>
        <v>A$m</v>
      </c>
      <c r="AD321" s="307"/>
      <c r="AE321" s="307"/>
      <c r="AF321" s="308">
        <f t="array" ref="AF321">_xlfn.XLOOKUP($B321,$B$11:$B$109,_xlfn.XLOOKUP(AF$219,$D$5:$AO$5,$D$11:$AO$109))</f>
        <v>187.25326899846209</v>
      </c>
      <c r="AG321" s="308">
        <f t="array" ref="AG321">_xlfn.XLOOKUP($B321,$B$11:$B$109,_xlfn.XLOOKUP(AG$219,$D$5:$AO$5,$D$11:$AO$109))</f>
        <v>179.79169385210869</v>
      </c>
      <c r="AH321" s="308">
        <f t="array" ref="AH321">_xlfn.XLOOKUP($B321,$B$11:$B$109,_xlfn.XLOOKUP(AH$219,$D$5:$AO$5,$D$11:$AO$109))</f>
        <v>249.79999999999998</v>
      </c>
      <c r="AI321" s="308">
        <f t="array" ref="AI321">_xlfn.XLOOKUP($B321,$B$11:$B$109,_xlfn.XLOOKUP(AI$219,$D$5:$AO$5,$D$11:$AO$109))</f>
        <v>236.70000000000002</v>
      </c>
      <c r="AJ321" s="308">
        <f t="array" ref="AJ321">_xlfn.XLOOKUP($B321,$B$11:$B$109,_xlfn.XLOOKUP(AJ$219,$D$5:$AO$5,$D$11:$AO$109))</f>
        <v>232</v>
      </c>
      <c r="AK321" s="308">
        <f t="array" ref="AK321">_xlfn.XLOOKUP($B321,$B$11:$B$109,_xlfn.XLOOKUP(AK$219,$D$5:$AO$5,$D$11:$AO$109))</f>
        <v>246.6</v>
      </c>
      <c r="AL321" s="308">
        <f t="array" ref="AL321">_xlfn.XLOOKUP($B321,$B$11:$B$109,_xlfn.XLOOKUP(AL$219,$D$5:$AO$5,$D$11:$AO$109))</f>
        <v>249.1</v>
      </c>
      <c r="AM321" s="308">
        <f t="array" ref="AM321">_xlfn.XLOOKUP($B321,$B$11:$B$109,_xlfn.XLOOKUP(AM$219,$D$5:$AO$5,$D$11:$AO$109))</f>
        <v>224.06799999999998</v>
      </c>
      <c r="AN321" s="308">
        <f t="array" ref="AN321">_xlfn.XLOOKUP($B321,$B$11:$B$109,_xlfn.XLOOKUP(AN$219,$D$5:$AO$5,$D$11:$AO$109))</f>
        <v>235.79071999999999</v>
      </c>
      <c r="AO321" s="308">
        <f t="array" ref="AO321">_xlfn.XLOOKUP($B321,$B$11:$B$109,_xlfn.XLOOKUP(AO$219,$D$5:$AO$5,$D$11:$AO$109))</f>
        <v>248.14794879999999</v>
      </c>
    </row>
    <row r="322" spans="1:41" hidden="1" outlineLevel="1">
      <c r="B322" s="301"/>
      <c r="C322" s="309" t="s">
        <v>1510</v>
      </c>
      <c r="D322" s="303" t="s">
        <v>88</v>
      </c>
      <c r="E322" s="303"/>
      <c r="F322" s="303"/>
      <c r="G322" s="310" t="s">
        <v>967</v>
      </c>
      <c r="H322" s="310" t="s">
        <v>967</v>
      </c>
      <c r="I322" s="310">
        <f t="shared" ref="I322:Z322" si="128">I321/G321-1</f>
        <v>3.2336507611013809E-2</v>
      </c>
      <c r="J322" s="310">
        <f t="shared" si="128"/>
        <v>-0.10276695408331249</v>
      </c>
      <c r="K322" s="310">
        <f t="shared" si="128"/>
        <v>0.44291253644314854</v>
      </c>
      <c r="L322" s="310">
        <f t="shared" si="128"/>
        <v>0.33570325586882155</v>
      </c>
      <c r="M322" s="310">
        <f t="shared" si="128"/>
        <v>-0.10085246692200855</v>
      </c>
      <c r="N322" s="310">
        <f t="shared" si="128"/>
        <v>6.1338879810968194E-6</v>
      </c>
      <c r="O322" s="310">
        <f t="shared" si="128"/>
        <v>5.4801162301861384E-2</v>
      </c>
      <c r="P322" s="310">
        <f t="shared" si="128"/>
        <v>-9.2582713619006052E-2</v>
      </c>
      <c r="Q322" s="310">
        <f t="shared" si="128"/>
        <v>1.0551948051948035E-2</v>
      </c>
      <c r="R322" s="310">
        <f t="shared" si="128"/>
        <v>0.12224264705882359</v>
      </c>
      <c r="S322" s="310">
        <f t="shared" si="128"/>
        <v>4.0160642570281624E-3</v>
      </c>
      <c r="T322" s="310">
        <f t="shared" si="128"/>
        <v>1.6380016380016293E-2</v>
      </c>
      <c r="U322" s="310">
        <f t="shared" si="128"/>
        <v>-9.5999999999999974E-2</v>
      </c>
      <c r="V322" s="310">
        <f t="shared" si="128"/>
        <v>-0.10501208702659148</v>
      </c>
      <c r="W322" s="310">
        <f t="shared" si="128"/>
        <v>5.2212389380531077E-2</v>
      </c>
      <c r="X322" s="310">
        <f t="shared" si="128"/>
        <v>5.2424820830482055E-2</v>
      </c>
      <c r="Y322" s="310">
        <f t="shared" si="128"/>
        <v>5.2302775441547489E-2</v>
      </c>
      <c r="Z322" s="310">
        <f t="shared" si="128"/>
        <v>5.2514252628438118E-2</v>
      </c>
      <c r="AA322" s="311"/>
      <c r="AB322" s="309" t="str">
        <f t="shared" si="114"/>
        <v>- Growth</v>
      </c>
      <c r="AC322" s="303" t="str">
        <f t="shared" si="115"/>
        <v>%</v>
      </c>
      <c r="AD322" s="303"/>
      <c r="AE322" s="303"/>
      <c r="AF322" s="310" t="s">
        <v>967</v>
      </c>
      <c r="AG322" s="310">
        <f t="shared" ref="AG322:AO322" si="129">AG321/AF321-1</f>
        <v>-3.984750272324844E-2</v>
      </c>
      <c r="AH322" s="310">
        <f t="shared" si="129"/>
        <v>0.3893856531852804</v>
      </c>
      <c r="AI322" s="310">
        <f t="shared" si="129"/>
        <v>-5.2441953562850196E-2</v>
      </c>
      <c r="AJ322" s="310">
        <f t="shared" si="129"/>
        <v>-1.9856358259400131E-2</v>
      </c>
      <c r="AK322" s="310">
        <f t="shared" si="129"/>
        <v>6.2931034482758497E-2</v>
      </c>
      <c r="AL322" s="310">
        <f t="shared" si="129"/>
        <v>1.0137875101378757E-2</v>
      </c>
      <c r="AM322" s="310">
        <f t="shared" si="129"/>
        <v>-0.10048976314733038</v>
      </c>
      <c r="AN322" s="310">
        <f t="shared" si="129"/>
        <v>5.231768927289937E-2</v>
      </c>
      <c r="AO322" s="310">
        <f t="shared" si="129"/>
        <v>5.2407612988331298E-2</v>
      </c>
    </row>
    <row r="323" spans="1:41" collapsed="1">
      <c r="B323" s="301"/>
      <c r="C323" s="309" t="s">
        <v>1511</v>
      </c>
      <c r="D323" s="303" t="s">
        <v>88</v>
      </c>
      <c r="E323" s="303"/>
      <c r="F323" s="303"/>
      <c r="G323" s="310">
        <f t="shared" ref="G323:Z323" si="130">IFERROR(ROUND( G321 / G320,2) - 1, 0)</f>
        <v>0</v>
      </c>
      <c r="H323" s="310">
        <f t="shared" si="130"/>
        <v>0</v>
      </c>
      <c r="I323" s="310">
        <f t="shared" si="130"/>
        <v>0</v>
      </c>
      <c r="J323" s="310">
        <f t="shared" si="130"/>
        <v>0</v>
      </c>
      <c r="K323" s="310">
        <f t="shared" si="130"/>
        <v>0</v>
      </c>
      <c r="L323" s="310">
        <f t="shared" si="130"/>
        <v>1.0000000000000009E-2</v>
      </c>
      <c r="M323" s="310">
        <f t="shared" si="130"/>
        <v>0</v>
      </c>
      <c r="N323" s="310">
        <f t="shared" si="130"/>
        <v>0</v>
      </c>
      <c r="O323" s="310">
        <f t="shared" si="130"/>
        <v>0</v>
      </c>
      <c r="P323" s="310">
        <f t="shared" si="130"/>
        <v>-0.10999999999999999</v>
      </c>
      <c r="Q323" s="310">
        <f t="shared" si="130"/>
        <v>0</v>
      </c>
      <c r="R323" s="310">
        <f t="shared" si="130"/>
        <v>-2.0000000000000018E-2</v>
      </c>
      <c r="S323" s="310">
        <f t="shared" si="130"/>
        <v>-3.0000000000000027E-2</v>
      </c>
      <c r="T323" s="310">
        <f t="shared" si="130"/>
        <v>-4.0000000000000036E-2</v>
      </c>
      <c r="U323" s="310">
        <f t="shared" si="130"/>
        <v>-0.14000000000000001</v>
      </c>
      <c r="V323" s="310">
        <f t="shared" si="130"/>
        <v>-0.16000000000000003</v>
      </c>
      <c r="W323" s="310">
        <f t="shared" si="130"/>
        <v>-0.12</v>
      </c>
      <c r="X323" s="310">
        <f t="shared" si="130"/>
        <v>-0.14000000000000001</v>
      </c>
      <c r="Y323" s="310">
        <f t="shared" si="130"/>
        <v>-9.9999999999999978E-2</v>
      </c>
      <c r="Z323" s="310">
        <f t="shared" si="130"/>
        <v>-0.12</v>
      </c>
      <c r="AA323" s="310"/>
      <c r="AB323" s="309" t="str">
        <f t="shared" si="114"/>
        <v>- Revision</v>
      </c>
      <c r="AC323" s="303" t="str">
        <f t="shared" si="115"/>
        <v>%</v>
      </c>
      <c r="AD323" s="303"/>
      <c r="AE323" s="303"/>
      <c r="AF323" s="310">
        <f t="shared" ref="AF323:AO323" si="131">IFERROR(ROUND( AF321 / AF320,2) - 1, 0)</f>
        <v>0</v>
      </c>
      <c r="AG323" s="310">
        <f t="shared" si="131"/>
        <v>0</v>
      </c>
      <c r="AH323" s="310">
        <f t="shared" si="131"/>
        <v>1.0000000000000009E-2</v>
      </c>
      <c r="AI323" s="310">
        <f t="shared" si="131"/>
        <v>0</v>
      </c>
      <c r="AJ323" s="310">
        <f t="shared" si="131"/>
        <v>-6.0000000000000053E-2</v>
      </c>
      <c r="AK323" s="310">
        <f t="shared" si="131"/>
        <v>-1.0000000000000009E-2</v>
      </c>
      <c r="AL323" s="310">
        <f t="shared" si="131"/>
        <v>-3.0000000000000027E-2</v>
      </c>
      <c r="AM323" s="310">
        <f t="shared" si="131"/>
        <v>-0.15000000000000002</v>
      </c>
      <c r="AN323" s="310">
        <f t="shared" si="131"/>
        <v>-0.13</v>
      </c>
      <c r="AO323" s="310">
        <f t="shared" si="131"/>
        <v>-0.10999999999999999</v>
      </c>
    </row>
    <row r="324" spans="1:41">
      <c r="B324" s="301" t="s">
        <v>1452</v>
      </c>
      <c r="C324" s="302" t="s">
        <v>1518</v>
      </c>
      <c r="D324" s="303" t="str">
        <f t="array" ref="D324">_xlfn.XLOOKUP($B324,$B$114:$B$212,_xlfn.XLOOKUP(D$219,$D$5:$AO$5,$D$114:$AO$212))</f>
        <v>A$m</v>
      </c>
      <c r="E324" s="303"/>
      <c r="F324" s="303"/>
      <c r="G324" s="304" t="e">
        <f t="array" ref="G324">_xlfn.XLOOKUP($B324,$B$114:$B$212,_xlfn.XLOOKUP(G$219,$D$5:$AO$5,$D$114:$AO$212))</f>
        <v>#REF!</v>
      </c>
      <c r="H324" s="304" t="e">
        <f t="array" ref="H324">_xlfn.XLOOKUP($B324,$B$114:$B$212,_xlfn.XLOOKUP(H$219,$D$5:$AO$5,$D$114:$AO$212))</f>
        <v>#REF!</v>
      </c>
      <c r="I324" s="304" t="e">
        <f t="array" ref="I324">_xlfn.XLOOKUP($B324,$B$114:$B$212,_xlfn.XLOOKUP(I$219,$D$5:$AO$5,$D$114:$AO$212))</f>
        <v>#REF!</v>
      </c>
      <c r="J324" s="304" t="e">
        <f t="array" ref="J324">_xlfn.XLOOKUP($B324,$B$114:$B$212,_xlfn.XLOOKUP(J$219,$D$5:$AO$5,$D$114:$AO$212))</f>
        <v>#REF!</v>
      </c>
      <c r="K324" s="304" t="e">
        <f t="array" ref="K324">_xlfn.XLOOKUP($B324,$B$114:$B$212,_xlfn.XLOOKUP(K$219,$D$5:$AO$5,$D$114:$AO$212))</f>
        <v>#REF!</v>
      </c>
      <c r="L324" s="304" t="e">
        <f t="array" ref="L324">_xlfn.XLOOKUP($B324,$B$114:$B$212,_xlfn.XLOOKUP(L$219,$D$5:$AO$5,$D$114:$AO$212))</f>
        <v>#REF!</v>
      </c>
      <c r="M324" s="304" t="e">
        <f t="array" ref="M324">_xlfn.XLOOKUP($B324,$B$114:$B$212,_xlfn.XLOOKUP(M$219,$D$5:$AO$5,$D$114:$AO$212))</f>
        <v>#REF!</v>
      </c>
      <c r="N324" s="304" t="e">
        <f t="array" ref="N324">_xlfn.XLOOKUP($B324,$B$114:$B$212,_xlfn.XLOOKUP(N$219,$D$5:$AO$5,$D$114:$AO$212))</f>
        <v>#REF!</v>
      </c>
      <c r="O324" s="304" t="e">
        <f t="array" ref="O324">_xlfn.XLOOKUP($B324,$B$114:$B$212,_xlfn.XLOOKUP(O$219,$D$5:$AO$5,$D$114:$AO$212))</f>
        <v>#REF!</v>
      </c>
      <c r="P324" s="304" t="e">
        <f t="array" ref="P324">_xlfn.XLOOKUP($B324,$B$114:$B$212,_xlfn.XLOOKUP(P$219,$D$5:$AO$5,$D$114:$AO$212))</f>
        <v>#REF!</v>
      </c>
      <c r="Q324" s="304" t="e">
        <f t="array" ref="Q324">_xlfn.XLOOKUP($B324,$B$114:$B$212,_xlfn.XLOOKUP(Q$219,$D$5:$AO$5,$D$114:$AO$212))</f>
        <v>#REF!</v>
      </c>
      <c r="R324" s="304" t="e">
        <f t="array" ref="R324">_xlfn.XLOOKUP($B324,$B$114:$B$212,_xlfn.XLOOKUP(R$219,$D$5:$AO$5,$D$114:$AO$212))</f>
        <v>#REF!</v>
      </c>
      <c r="S324" s="304" t="e">
        <f t="array" ref="S324">_xlfn.XLOOKUP($B324,$B$114:$B$212,_xlfn.XLOOKUP(S$219,$D$5:$AO$5,$D$114:$AO$212))</f>
        <v>#REF!</v>
      </c>
      <c r="T324" s="304" t="e">
        <f t="array" ref="T324">_xlfn.XLOOKUP($B324,$B$114:$B$212,_xlfn.XLOOKUP(T$219,$D$5:$AO$5,$D$114:$AO$212))</f>
        <v>#REF!</v>
      </c>
      <c r="U324" s="304" t="e">
        <f t="array" ref="U324">_xlfn.XLOOKUP($B324,$B$114:$B$212,_xlfn.XLOOKUP(U$219,$D$5:$AO$5,$D$114:$AO$212))</f>
        <v>#REF!</v>
      </c>
      <c r="V324" s="304" t="e">
        <f t="array" ref="V324">_xlfn.XLOOKUP($B324,$B$114:$B$212,_xlfn.XLOOKUP(V$219,$D$5:$AO$5,$D$114:$AO$212))</f>
        <v>#REF!</v>
      </c>
      <c r="W324" s="304" t="e">
        <f t="array" ref="W324">_xlfn.XLOOKUP($B324,$B$114:$B$212,_xlfn.XLOOKUP(W$219,$D$5:$AO$5,$D$114:$AO$212))</f>
        <v>#REF!</v>
      </c>
      <c r="X324" s="304" t="e">
        <f t="array" ref="X324">_xlfn.XLOOKUP($B324,$B$114:$B$212,_xlfn.XLOOKUP(X$219,$D$5:$AO$5,$D$114:$AO$212))</f>
        <v>#REF!</v>
      </c>
      <c r="Y324" s="304" t="e">
        <f t="array" ref="Y324">_xlfn.XLOOKUP($B324,$B$114:$B$212,_xlfn.XLOOKUP(Y$219,$D$5:$AO$5,$D$114:$AO$212))</f>
        <v>#REF!</v>
      </c>
      <c r="Z324" s="304" t="e">
        <f t="array" ref="Z324">_xlfn.XLOOKUP($B324,$B$114:$B$212,_xlfn.XLOOKUP(Z$219,$D$5:$AO$5,$D$114:$AO$212))</f>
        <v>#REF!</v>
      </c>
      <c r="AA324" s="305"/>
      <c r="AB324" s="302" t="str">
        <f t="shared" si="114"/>
        <v>Total Domestic Revenue excl. GST - old</v>
      </c>
      <c r="AC324" s="303" t="str">
        <f t="shared" si="115"/>
        <v>A$m</v>
      </c>
      <c r="AD324" s="303"/>
      <c r="AE324" s="303"/>
      <c r="AF324" s="304" t="e">
        <f t="array" ref="AF324">_xlfn.XLOOKUP($B324,$B$114:$B$212,_xlfn.XLOOKUP(AF$219,$D$5:$AO$5,$D$114:$AO$212))</f>
        <v>#REF!</v>
      </c>
      <c r="AG324" s="304" t="e">
        <f t="array" ref="AG324">_xlfn.XLOOKUP($B324,$B$114:$B$212,_xlfn.XLOOKUP(AG$219,$D$5:$AO$5,$D$114:$AO$212))</f>
        <v>#REF!</v>
      </c>
      <c r="AH324" s="304" t="e">
        <f t="array" ref="AH324">_xlfn.XLOOKUP($B324,$B$114:$B$212,_xlfn.XLOOKUP(AH$219,$D$5:$AO$5,$D$114:$AO$212))</f>
        <v>#REF!</v>
      </c>
      <c r="AI324" s="304" t="e">
        <f t="array" ref="AI324">_xlfn.XLOOKUP($B324,$B$114:$B$212,_xlfn.XLOOKUP(AI$219,$D$5:$AO$5,$D$114:$AO$212))</f>
        <v>#REF!</v>
      </c>
      <c r="AJ324" s="304" t="e">
        <f t="array" ref="AJ324">_xlfn.XLOOKUP($B324,$B$114:$B$212,_xlfn.XLOOKUP(AJ$219,$D$5:$AO$5,$D$114:$AO$212))</f>
        <v>#REF!</v>
      </c>
      <c r="AK324" s="304" t="e">
        <f t="array" ref="AK324">_xlfn.XLOOKUP($B324,$B$114:$B$212,_xlfn.XLOOKUP(AK$219,$D$5:$AO$5,$D$114:$AO$212))</f>
        <v>#REF!</v>
      </c>
      <c r="AL324" s="304" t="e">
        <f t="array" ref="AL324">_xlfn.XLOOKUP($B324,$B$114:$B$212,_xlfn.XLOOKUP(AL$219,$D$5:$AO$5,$D$114:$AO$212))</f>
        <v>#REF!</v>
      </c>
      <c r="AM324" s="304" t="e">
        <f t="array" ref="AM324">_xlfn.XLOOKUP($B324,$B$114:$B$212,_xlfn.XLOOKUP(AM$219,$D$5:$AO$5,$D$114:$AO$212))</f>
        <v>#REF!</v>
      </c>
      <c r="AN324" s="304" t="e">
        <f t="array" ref="AN324">_xlfn.XLOOKUP($B324,$B$114:$B$212,_xlfn.XLOOKUP(AN$219,$D$5:$AO$5,$D$114:$AO$212))</f>
        <v>#REF!</v>
      </c>
      <c r="AO324" s="304" t="e">
        <f t="array" ref="AO324">_xlfn.XLOOKUP($B324,$B$114:$B$212,_xlfn.XLOOKUP(AO$219,$D$5:$AO$5,$D$114:$AO$212))</f>
        <v>#REF!</v>
      </c>
    </row>
    <row r="325" spans="1:41">
      <c r="B325" s="301" t="s">
        <v>1452</v>
      </c>
      <c r="C325" s="306" t="s">
        <v>1519</v>
      </c>
      <c r="D325" s="307" t="str">
        <f t="array" ref="D325">_xlfn.XLOOKUP($B325,$B$11:$B$109,_xlfn.XLOOKUP(D$219,$D$5:$AO$5,$D$11:$AO$109))</f>
        <v>A$m</v>
      </c>
      <c r="E325" s="307"/>
      <c r="F325" s="307"/>
      <c r="G325" s="308" t="e">
        <f t="array" ref="G325">_xlfn.XLOOKUP($B325,$B$11:$B$109,_xlfn.XLOOKUP(G$219,$D$5:$AO$5,$D$11:$AO$109))</f>
        <v>#REF!</v>
      </c>
      <c r="H325" s="308" t="e">
        <f t="array" ref="H325">_xlfn.XLOOKUP($B325,$B$11:$B$109,_xlfn.XLOOKUP(H$219,$D$5:$AO$5,$D$11:$AO$109))</f>
        <v>#REF!</v>
      </c>
      <c r="I325" s="308" t="e">
        <f t="array" ref="I325">_xlfn.XLOOKUP($B325,$B$11:$B$109,_xlfn.XLOOKUP(I$219,$D$5:$AO$5,$D$11:$AO$109))</f>
        <v>#REF!</v>
      </c>
      <c r="J325" s="308" t="e">
        <f t="array" ref="J325">_xlfn.XLOOKUP($B325,$B$11:$B$109,_xlfn.XLOOKUP(J$219,$D$5:$AO$5,$D$11:$AO$109))</f>
        <v>#REF!</v>
      </c>
      <c r="K325" s="308" t="e">
        <f t="array" ref="K325">_xlfn.XLOOKUP($B325,$B$11:$B$109,_xlfn.XLOOKUP(K$219,$D$5:$AO$5,$D$11:$AO$109))</f>
        <v>#REF!</v>
      </c>
      <c r="L325" s="308" t="e">
        <f t="array" ref="L325">_xlfn.XLOOKUP($B325,$B$11:$B$109,_xlfn.XLOOKUP(L$219,$D$5:$AO$5,$D$11:$AO$109))</f>
        <v>#REF!</v>
      </c>
      <c r="M325" s="308" t="e">
        <f t="array" ref="M325">_xlfn.XLOOKUP($B325,$B$11:$B$109,_xlfn.XLOOKUP(M$219,$D$5:$AO$5,$D$11:$AO$109))</f>
        <v>#REF!</v>
      </c>
      <c r="N325" s="308" t="e">
        <f t="array" ref="N325">_xlfn.XLOOKUP($B325,$B$11:$B$109,_xlfn.XLOOKUP(N$219,$D$5:$AO$5,$D$11:$AO$109))</f>
        <v>#REF!</v>
      </c>
      <c r="O325" s="308" t="e">
        <f t="array" ref="O325">_xlfn.XLOOKUP($B325,$B$11:$B$109,_xlfn.XLOOKUP(O$219,$D$5:$AO$5,$D$11:$AO$109))</f>
        <v>#REF!</v>
      </c>
      <c r="P325" s="308" t="e">
        <f t="array" ref="P325">_xlfn.XLOOKUP($B325,$B$11:$B$109,_xlfn.XLOOKUP(P$219,$D$5:$AO$5,$D$11:$AO$109))</f>
        <v>#REF!</v>
      </c>
      <c r="Q325" s="308" t="e">
        <f t="array" ref="Q325">_xlfn.XLOOKUP($B325,$B$11:$B$109,_xlfn.XLOOKUP(Q$219,$D$5:$AO$5,$D$11:$AO$109))</f>
        <v>#REF!</v>
      </c>
      <c r="R325" s="308" t="e">
        <f t="array" ref="R325">_xlfn.XLOOKUP($B325,$B$11:$B$109,_xlfn.XLOOKUP(R$219,$D$5:$AO$5,$D$11:$AO$109))</f>
        <v>#REF!</v>
      </c>
      <c r="S325" s="308" t="e">
        <f t="array" ref="S325">_xlfn.XLOOKUP($B325,$B$11:$B$109,_xlfn.XLOOKUP(S$219,$D$5:$AO$5,$D$11:$AO$109))</f>
        <v>#REF!</v>
      </c>
      <c r="T325" s="308" t="e">
        <f t="array" ref="T325">_xlfn.XLOOKUP($B325,$B$11:$B$109,_xlfn.XLOOKUP(T$219,$D$5:$AO$5,$D$11:$AO$109))</f>
        <v>#REF!</v>
      </c>
      <c r="U325" s="308" t="e">
        <f t="array" ref="U325">_xlfn.XLOOKUP($B325,$B$11:$B$109,_xlfn.XLOOKUP(U$219,$D$5:$AO$5,$D$11:$AO$109))</f>
        <v>#REF!</v>
      </c>
      <c r="V325" s="308" t="e">
        <f t="array" ref="V325">_xlfn.XLOOKUP($B325,$B$11:$B$109,_xlfn.XLOOKUP(V$219,$D$5:$AO$5,$D$11:$AO$109))</f>
        <v>#REF!</v>
      </c>
      <c r="W325" s="308" t="e">
        <f t="array" ref="W325">_xlfn.XLOOKUP($B325,$B$11:$B$109,_xlfn.XLOOKUP(W$219,$D$5:$AO$5,$D$11:$AO$109))</f>
        <v>#REF!</v>
      </c>
      <c r="X325" s="308" t="e">
        <f t="array" ref="X325">_xlfn.XLOOKUP($B325,$B$11:$B$109,_xlfn.XLOOKUP(X$219,$D$5:$AO$5,$D$11:$AO$109))</f>
        <v>#REF!</v>
      </c>
      <c r="Y325" s="308" t="e">
        <f t="array" ref="Y325">_xlfn.XLOOKUP($B325,$B$11:$B$109,_xlfn.XLOOKUP(Y$219,$D$5:$AO$5,$D$11:$AO$109))</f>
        <v>#REF!</v>
      </c>
      <c r="Z325" s="308" t="e">
        <f t="array" ref="Z325">_xlfn.XLOOKUP($B325,$B$11:$B$109,_xlfn.XLOOKUP(Z$219,$D$5:$AO$5,$D$11:$AO$109))</f>
        <v>#REF!</v>
      </c>
      <c r="AA325" s="308"/>
      <c r="AB325" s="306" t="str">
        <f t="shared" si="114"/>
        <v>Total Domestic Revenue excl. GST - New</v>
      </c>
      <c r="AC325" s="307" t="str">
        <f t="shared" si="115"/>
        <v>A$m</v>
      </c>
      <c r="AD325" s="307"/>
      <c r="AE325" s="307"/>
      <c r="AF325" s="308" t="e">
        <f t="array" ref="AF325">_xlfn.XLOOKUP($B325,$B$11:$B$109,_xlfn.XLOOKUP(AF$219,$D$5:$AO$5,$D$11:$AO$109))</f>
        <v>#REF!</v>
      </c>
      <c r="AG325" s="308" t="e">
        <f t="array" ref="AG325">_xlfn.XLOOKUP($B325,$B$11:$B$109,_xlfn.XLOOKUP(AG$219,$D$5:$AO$5,$D$11:$AO$109))</f>
        <v>#REF!</v>
      </c>
      <c r="AH325" s="308" t="e">
        <f t="array" ref="AH325">_xlfn.XLOOKUP($B325,$B$11:$B$109,_xlfn.XLOOKUP(AH$219,$D$5:$AO$5,$D$11:$AO$109))</f>
        <v>#REF!</v>
      </c>
      <c r="AI325" s="308" t="e">
        <f t="array" ref="AI325">_xlfn.XLOOKUP($B325,$B$11:$B$109,_xlfn.XLOOKUP(AI$219,$D$5:$AO$5,$D$11:$AO$109))</f>
        <v>#REF!</v>
      </c>
      <c r="AJ325" s="308" t="e">
        <f t="array" ref="AJ325">_xlfn.XLOOKUP($B325,$B$11:$B$109,_xlfn.XLOOKUP(AJ$219,$D$5:$AO$5,$D$11:$AO$109))</f>
        <v>#REF!</v>
      </c>
      <c r="AK325" s="308" t="e">
        <f t="array" ref="AK325">_xlfn.XLOOKUP($B325,$B$11:$B$109,_xlfn.XLOOKUP(AK$219,$D$5:$AO$5,$D$11:$AO$109))</f>
        <v>#REF!</v>
      </c>
      <c r="AL325" s="308" t="e">
        <f t="array" ref="AL325">_xlfn.XLOOKUP($B325,$B$11:$B$109,_xlfn.XLOOKUP(AL$219,$D$5:$AO$5,$D$11:$AO$109))</f>
        <v>#REF!</v>
      </c>
      <c r="AM325" s="308" t="e">
        <f t="array" ref="AM325">_xlfn.XLOOKUP($B325,$B$11:$B$109,_xlfn.XLOOKUP(AM$219,$D$5:$AO$5,$D$11:$AO$109))</f>
        <v>#REF!</v>
      </c>
      <c r="AN325" s="308" t="e">
        <f t="array" ref="AN325">_xlfn.XLOOKUP($B325,$B$11:$B$109,_xlfn.XLOOKUP(AN$219,$D$5:$AO$5,$D$11:$AO$109))</f>
        <v>#REF!</v>
      </c>
      <c r="AO325" s="308" t="e">
        <f t="array" ref="AO325">_xlfn.XLOOKUP($B325,$B$11:$B$109,_xlfn.XLOOKUP(AO$219,$D$5:$AO$5,$D$11:$AO$109))</f>
        <v>#REF!</v>
      </c>
    </row>
    <row r="326" spans="1:41" hidden="1" outlineLevel="1">
      <c r="B326" s="301"/>
      <c r="C326" s="309" t="s">
        <v>1510</v>
      </c>
      <c r="D326" s="303" t="s">
        <v>88</v>
      </c>
      <c r="E326" s="303"/>
      <c r="F326" s="303"/>
      <c r="G326" s="310" t="s">
        <v>967</v>
      </c>
      <c r="H326" s="310" t="s">
        <v>967</v>
      </c>
      <c r="I326" s="310" t="e">
        <f t="shared" ref="I326:Z326" si="132">I325/G325-1</f>
        <v>#REF!</v>
      </c>
      <c r="J326" s="310" t="e">
        <f t="shared" si="132"/>
        <v>#REF!</v>
      </c>
      <c r="K326" s="310" t="e">
        <f t="shared" si="132"/>
        <v>#REF!</v>
      </c>
      <c r="L326" s="310" t="e">
        <f t="shared" si="132"/>
        <v>#REF!</v>
      </c>
      <c r="M326" s="310" t="e">
        <f t="shared" si="132"/>
        <v>#REF!</v>
      </c>
      <c r="N326" s="310" t="e">
        <f t="shared" si="132"/>
        <v>#REF!</v>
      </c>
      <c r="O326" s="310" t="e">
        <f t="shared" si="132"/>
        <v>#REF!</v>
      </c>
      <c r="P326" s="310" t="e">
        <f t="shared" si="132"/>
        <v>#REF!</v>
      </c>
      <c r="Q326" s="310" t="e">
        <f t="shared" si="132"/>
        <v>#REF!</v>
      </c>
      <c r="R326" s="310" t="e">
        <f t="shared" si="132"/>
        <v>#REF!</v>
      </c>
      <c r="S326" s="310" t="e">
        <f t="shared" si="132"/>
        <v>#REF!</v>
      </c>
      <c r="T326" s="310" t="e">
        <f t="shared" si="132"/>
        <v>#REF!</v>
      </c>
      <c r="U326" s="310" t="e">
        <f t="shared" si="132"/>
        <v>#REF!</v>
      </c>
      <c r="V326" s="310" t="e">
        <f t="shared" si="132"/>
        <v>#REF!</v>
      </c>
      <c r="W326" s="310" t="e">
        <f t="shared" si="132"/>
        <v>#REF!</v>
      </c>
      <c r="X326" s="310" t="e">
        <f t="shared" si="132"/>
        <v>#REF!</v>
      </c>
      <c r="Y326" s="310" t="e">
        <f t="shared" si="132"/>
        <v>#REF!</v>
      </c>
      <c r="Z326" s="310" t="e">
        <f t="shared" si="132"/>
        <v>#REF!</v>
      </c>
      <c r="AA326" s="311"/>
      <c r="AB326" s="309" t="str">
        <f t="shared" si="114"/>
        <v>- Growth</v>
      </c>
      <c r="AC326" s="303" t="str">
        <f t="shared" si="115"/>
        <v>%</v>
      </c>
      <c r="AD326" s="303"/>
      <c r="AE326" s="303"/>
      <c r="AF326" s="310" t="s">
        <v>967</v>
      </c>
      <c r="AG326" s="310" t="e">
        <f t="shared" ref="AG326:AO326" si="133">AG325/AF325-1</f>
        <v>#REF!</v>
      </c>
      <c r="AH326" s="310" t="e">
        <f t="shared" si="133"/>
        <v>#REF!</v>
      </c>
      <c r="AI326" s="310" t="e">
        <f t="shared" si="133"/>
        <v>#REF!</v>
      </c>
      <c r="AJ326" s="310" t="e">
        <f t="shared" si="133"/>
        <v>#REF!</v>
      </c>
      <c r="AK326" s="310" t="e">
        <f t="shared" si="133"/>
        <v>#REF!</v>
      </c>
      <c r="AL326" s="310" t="e">
        <f t="shared" si="133"/>
        <v>#REF!</v>
      </c>
      <c r="AM326" s="310" t="e">
        <f t="shared" si="133"/>
        <v>#REF!</v>
      </c>
      <c r="AN326" s="310" t="e">
        <f t="shared" si="133"/>
        <v>#REF!</v>
      </c>
      <c r="AO326" s="310" t="e">
        <f t="shared" si="133"/>
        <v>#REF!</v>
      </c>
    </row>
    <row r="327" spans="1:41" collapsed="1">
      <c r="B327" s="301"/>
      <c r="C327" s="309" t="s">
        <v>1511</v>
      </c>
      <c r="D327" s="303" t="s">
        <v>88</v>
      </c>
      <c r="E327" s="303"/>
      <c r="F327" s="303"/>
      <c r="G327" s="310">
        <f t="shared" ref="G327:Z327" si="134">IFERROR(ROUND( G325 / G324,2) - 1, 0)</f>
        <v>0</v>
      </c>
      <c r="H327" s="310">
        <f t="shared" si="134"/>
        <v>0</v>
      </c>
      <c r="I327" s="310">
        <f t="shared" si="134"/>
        <v>0</v>
      </c>
      <c r="J327" s="310">
        <f t="shared" si="134"/>
        <v>0</v>
      </c>
      <c r="K327" s="310">
        <f t="shared" si="134"/>
        <v>0</v>
      </c>
      <c r="L327" s="310">
        <f t="shared" si="134"/>
        <v>0</v>
      </c>
      <c r="M327" s="310">
        <f t="shared" si="134"/>
        <v>0</v>
      </c>
      <c r="N327" s="310">
        <f t="shared" si="134"/>
        <v>0</v>
      </c>
      <c r="O327" s="310">
        <f t="shared" si="134"/>
        <v>0</v>
      </c>
      <c r="P327" s="310">
        <f t="shared" si="134"/>
        <v>0</v>
      </c>
      <c r="Q327" s="310">
        <f t="shared" si="134"/>
        <v>0</v>
      </c>
      <c r="R327" s="310">
        <f t="shared" si="134"/>
        <v>0</v>
      </c>
      <c r="S327" s="310">
        <f t="shared" si="134"/>
        <v>0</v>
      </c>
      <c r="T327" s="310">
        <f t="shared" si="134"/>
        <v>0</v>
      </c>
      <c r="U327" s="310">
        <f t="shared" si="134"/>
        <v>0</v>
      </c>
      <c r="V327" s="310">
        <f t="shared" si="134"/>
        <v>0</v>
      </c>
      <c r="W327" s="310">
        <f t="shared" si="134"/>
        <v>0</v>
      </c>
      <c r="X327" s="310">
        <f t="shared" si="134"/>
        <v>0</v>
      </c>
      <c r="Y327" s="310">
        <f t="shared" si="134"/>
        <v>0</v>
      </c>
      <c r="Z327" s="310">
        <f t="shared" si="134"/>
        <v>0</v>
      </c>
      <c r="AA327" s="310"/>
      <c r="AB327" s="309" t="str">
        <f t="shared" si="114"/>
        <v>- Revision</v>
      </c>
      <c r="AC327" s="303" t="str">
        <f t="shared" si="115"/>
        <v>%</v>
      </c>
      <c r="AD327" s="303"/>
      <c r="AE327" s="303"/>
      <c r="AF327" s="310">
        <f t="shared" ref="AF327:AO327" si="135">IFERROR(ROUND( AF325 / AF324,2) - 1, 0)</f>
        <v>0</v>
      </c>
      <c r="AG327" s="310">
        <f t="shared" si="135"/>
        <v>0</v>
      </c>
      <c r="AH327" s="310">
        <f t="shared" si="135"/>
        <v>0</v>
      </c>
      <c r="AI327" s="310">
        <f t="shared" si="135"/>
        <v>0</v>
      </c>
      <c r="AJ327" s="310">
        <f t="shared" si="135"/>
        <v>0</v>
      </c>
      <c r="AK327" s="310">
        <f t="shared" si="135"/>
        <v>0</v>
      </c>
      <c r="AL327" s="310">
        <f t="shared" si="135"/>
        <v>0</v>
      </c>
      <c r="AM327" s="310">
        <f t="shared" si="135"/>
        <v>0</v>
      </c>
      <c r="AN327" s="310">
        <f t="shared" si="135"/>
        <v>0</v>
      </c>
      <c r="AO327" s="310">
        <f t="shared" si="135"/>
        <v>0</v>
      </c>
    </row>
    <row r="328" spans="1:41">
      <c r="B328" s="301" t="s">
        <v>1453</v>
      </c>
      <c r="C328" s="302" t="s">
        <v>1520</v>
      </c>
      <c r="D328" s="303" t="str">
        <f t="array" ref="D328">_xlfn.XLOOKUP($B328,$B$114:$B$212,_xlfn.XLOOKUP(D$219,$D$5:$AO$5,$D$114:$AO$212))</f>
        <v>A$m</v>
      </c>
      <c r="E328" s="303"/>
      <c r="F328" s="303"/>
      <c r="G328" s="304" t="e">
        <f t="array" ref="G328">_xlfn.XLOOKUP($B328,$B$114:$B$212,_xlfn.XLOOKUP(G$219,$D$5:$AO$5,$D$114:$AO$212))</f>
        <v>#REF!</v>
      </c>
      <c r="H328" s="304" t="e">
        <f t="array" ref="H328">_xlfn.XLOOKUP($B328,$B$114:$B$212,_xlfn.XLOOKUP(H$219,$D$5:$AO$5,$D$114:$AO$212))</f>
        <v>#REF!</v>
      </c>
      <c r="I328" s="304" t="e">
        <f t="array" ref="I328">_xlfn.XLOOKUP($B328,$B$114:$B$212,_xlfn.XLOOKUP(I$219,$D$5:$AO$5,$D$114:$AO$212))</f>
        <v>#REF!</v>
      </c>
      <c r="J328" s="304" t="e">
        <f t="array" ref="J328">_xlfn.XLOOKUP($B328,$B$114:$B$212,_xlfn.XLOOKUP(J$219,$D$5:$AO$5,$D$114:$AO$212))</f>
        <v>#REF!</v>
      </c>
      <c r="K328" s="304" t="e">
        <f t="array" ref="K328">_xlfn.XLOOKUP($B328,$B$114:$B$212,_xlfn.XLOOKUP(K$219,$D$5:$AO$5,$D$114:$AO$212))</f>
        <v>#REF!</v>
      </c>
      <c r="L328" s="304" t="e">
        <f t="array" ref="L328">_xlfn.XLOOKUP($B328,$B$114:$B$212,_xlfn.XLOOKUP(L$219,$D$5:$AO$5,$D$114:$AO$212))</f>
        <v>#REF!</v>
      </c>
      <c r="M328" s="304" t="e">
        <f t="array" ref="M328">_xlfn.XLOOKUP($B328,$B$114:$B$212,_xlfn.XLOOKUP(M$219,$D$5:$AO$5,$D$114:$AO$212))</f>
        <v>#REF!</v>
      </c>
      <c r="N328" s="304" t="e">
        <f t="array" ref="N328">_xlfn.XLOOKUP($B328,$B$114:$B$212,_xlfn.XLOOKUP(N$219,$D$5:$AO$5,$D$114:$AO$212))</f>
        <v>#REF!</v>
      </c>
      <c r="O328" s="304" t="e">
        <f t="array" ref="O328">_xlfn.XLOOKUP($B328,$B$114:$B$212,_xlfn.XLOOKUP(O$219,$D$5:$AO$5,$D$114:$AO$212))</f>
        <v>#REF!</v>
      </c>
      <c r="P328" s="304" t="e">
        <f t="array" ref="P328">_xlfn.XLOOKUP($B328,$B$114:$B$212,_xlfn.XLOOKUP(P$219,$D$5:$AO$5,$D$114:$AO$212))</f>
        <v>#REF!</v>
      </c>
      <c r="Q328" s="304" t="e">
        <f t="array" ref="Q328">_xlfn.XLOOKUP($B328,$B$114:$B$212,_xlfn.XLOOKUP(Q$219,$D$5:$AO$5,$D$114:$AO$212))</f>
        <v>#REF!</v>
      </c>
      <c r="R328" s="304" t="e">
        <f t="array" ref="R328">_xlfn.XLOOKUP($B328,$B$114:$B$212,_xlfn.XLOOKUP(R$219,$D$5:$AO$5,$D$114:$AO$212))</f>
        <v>#REF!</v>
      </c>
      <c r="S328" s="304" t="e">
        <f t="array" ref="S328">_xlfn.XLOOKUP($B328,$B$114:$B$212,_xlfn.XLOOKUP(S$219,$D$5:$AO$5,$D$114:$AO$212))</f>
        <v>#REF!</v>
      </c>
      <c r="T328" s="304" t="e">
        <f t="array" ref="T328">_xlfn.XLOOKUP($B328,$B$114:$B$212,_xlfn.XLOOKUP(T$219,$D$5:$AO$5,$D$114:$AO$212))</f>
        <v>#REF!</v>
      </c>
      <c r="U328" s="304" t="e">
        <f t="array" ref="U328">_xlfn.XLOOKUP($B328,$B$114:$B$212,_xlfn.XLOOKUP(U$219,$D$5:$AO$5,$D$114:$AO$212))</f>
        <v>#REF!</v>
      </c>
      <c r="V328" s="304" t="e">
        <f t="array" ref="V328">_xlfn.XLOOKUP($B328,$B$114:$B$212,_xlfn.XLOOKUP(V$219,$D$5:$AO$5,$D$114:$AO$212))</f>
        <v>#REF!</v>
      </c>
      <c r="W328" s="304" t="e">
        <f t="array" ref="W328">_xlfn.XLOOKUP($B328,$B$114:$B$212,_xlfn.XLOOKUP(W$219,$D$5:$AO$5,$D$114:$AO$212))</f>
        <v>#REF!</v>
      </c>
      <c r="X328" s="304" t="e">
        <f t="array" ref="X328">_xlfn.XLOOKUP($B328,$B$114:$B$212,_xlfn.XLOOKUP(X$219,$D$5:$AO$5,$D$114:$AO$212))</f>
        <v>#REF!</v>
      </c>
      <c r="Y328" s="304" t="e">
        <f t="array" ref="Y328">_xlfn.XLOOKUP($B328,$B$114:$B$212,_xlfn.XLOOKUP(Y$219,$D$5:$AO$5,$D$114:$AO$212))</f>
        <v>#REF!</v>
      </c>
      <c r="Z328" s="304" t="e">
        <f t="array" ref="Z328">_xlfn.XLOOKUP($B328,$B$114:$B$212,_xlfn.XLOOKUP(Z$219,$D$5:$AO$5,$D$114:$AO$212))</f>
        <v>#REF!</v>
      </c>
      <c r="AA328" s="305"/>
      <c r="AB328" s="302" t="str">
        <f t="shared" si="114"/>
        <v>EBITDA excl. IB - old</v>
      </c>
      <c r="AC328" s="303" t="str">
        <f t="shared" si="115"/>
        <v>A$m</v>
      </c>
      <c r="AD328" s="303"/>
      <c r="AE328" s="303"/>
      <c r="AF328" s="304" t="e">
        <f t="array" ref="AF328">_xlfn.XLOOKUP($B328,$B$114:$B$212,_xlfn.XLOOKUP(AF$219,$D$5:$AO$5,$D$114:$AO$212))</f>
        <v>#REF!</v>
      </c>
      <c r="AG328" s="304" t="e">
        <f t="array" ref="AG328">_xlfn.XLOOKUP($B328,$B$114:$B$212,_xlfn.XLOOKUP(AG$219,$D$5:$AO$5,$D$114:$AO$212))</f>
        <v>#REF!</v>
      </c>
      <c r="AH328" s="304" t="e">
        <f t="array" ref="AH328">_xlfn.XLOOKUP($B328,$B$114:$B$212,_xlfn.XLOOKUP(AH$219,$D$5:$AO$5,$D$114:$AO$212))</f>
        <v>#REF!</v>
      </c>
      <c r="AI328" s="304" t="e">
        <f t="array" ref="AI328">_xlfn.XLOOKUP($B328,$B$114:$B$212,_xlfn.XLOOKUP(AI$219,$D$5:$AO$5,$D$114:$AO$212))</f>
        <v>#REF!</v>
      </c>
      <c r="AJ328" s="304" t="e">
        <f t="array" ref="AJ328">_xlfn.XLOOKUP($B328,$B$114:$B$212,_xlfn.XLOOKUP(AJ$219,$D$5:$AO$5,$D$114:$AO$212))</f>
        <v>#REF!</v>
      </c>
      <c r="AK328" s="304" t="e">
        <f t="array" ref="AK328">_xlfn.XLOOKUP($B328,$B$114:$B$212,_xlfn.XLOOKUP(AK$219,$D$5:$AO$5,$D$114:$AO$212))</f>
        <v>#REF!</v>
      </c>
      <c r="AL328" s="304" t="e">
        <f t="array" ref="AL328">_xlfn.XLOOKUP($B328,$B$114:$B$212,_xlfn.XLOOKUP(AL$219,$D$5:$AO$5,$D$114:$AO$212))</f>
        <v>#REF!</v>
      </c>
      <c r="AM328" s="304" t="e">
        <f t="array" ref="AM328">_xlfn.XLOOKUP($B328,$B$114:$B$212,_xlfn.XLOOKUP(AM$219,$D$5:$AO$5,$D$114:$AO$212))</f>
        <v>#REF!</v>
      </c>
      <c r="AN328" s="304" t="e">
        <f t="array" ref="AN328">_xlfn.XLOOKUP($B328,$B$114:$B$212,_xlfn.XLOOKUP(AN$219,$D$5:$AO$5,$D$114:$AO$212))</f>
        <v>#REF!</v>
      </c>
      <c r="AO328" s="304" t="e">
        <f t="array" ref="AO328">_xlfn.XLOOKUP($B328,$B$114:$B$212,_xlfn.XLOOKUP(AO$219,$D$5:$AO$5,$D$114:$AO$212))</f>
        <v>#REF!</v>
      </c>
    </row>
    <row r="329" spans="1:41">
      <c r="B329" s="301" t="s">
        <v>1453</v>
      </c>
      <c r="C329" s="306" t="s">
        <v>1521</v>
      </c>
      <c r="D329" s="307" t="str">
        <f t="array" ref="D329">_xlfn.XLOOKUP($B329,$B$11:$B$109,_xlfn.XLOOKUP(D$219,$D$5:$AO$5,$D$11:$AO$109))</f>
        <v>A$m</v>
      </c>
      <c r="E329" s="307"/>
      <c r="F329" s="307"/>
      <c r="G329" s="308" t="e">
        <f t="array" ref="G329">_xlfn.XLOOKUP($B329,$B$11:$B$109,_xlfn.XLOOKUP(G$219,$D$5:$AO$5,$D$11:$AO$109))</f>
        <v>#REF!</v>
      </c>
      <c r="H329" s="308" t="e">
        <f t="array" ref="H329">_xlfn.XLOOKUP($B329,$B$11:$B$109,_xlfn.XLOOKUP(H$219,$D$5:$AO$5,$D$11:$AO$109))</f>
        <v>#REF!</v>
      </c>
      <c r="I329" s="308" t="e">
        <f t="array" ref="I329">_xlfn.XLOOKUP($B329,$B$11:$B$109,_xlfn.XLOOKUP(I$219,$D$5:$AO$5,$D$11:$AO$109))</f>
        <v>#REF!</v>
      </c>
      <c r="J329" s="308" t="e">
        <f t="array" ref="J329">_xlfn.XLOOKUP($B329,$B$11:$B$109,_xlfn.XLOOKUP(J$219,$D$5:$AO$5,$D$11:$AO$109))</f>
        <v>#REF!</v>
      </c>
      <c r="K329" s="308" t="e">
        <f t="array" ref="K329">_xlfn.XLOOKUP($B329,$B$11:$B$109,_xlfn.XLOOKUP(K$219,$D$5:$AO$5,$D$11:$AO$109))</f>
        <v>#REF!</v>
      </c>
      <c r="L329" s="308" t="e">
        <f t="array" ref="L329">_xlfn.XLOOKUP($B329,$B$11:$B$109,_xlfn.XLOOKUP(L$219,$D$5:$AO$5,$D$11:$AO$109))</f>
        <v>#REF!</v>
      </c>
      <c r="M329" s="308" t="e">
        <f t="array" ref="M329">_xlfn.XLOOKUP($B329,$B$11:$B$109,_xlfn.XLOOKUP(M$219,$D$5:$AO$5,$D$11:$AO$109))</f>
        <v>#REF!</v>
      </c>
      <c r="N329" s="308" t="e">
        <f t="array" ref="N329">_xlfn.XLOOKUP($B329,$B$11:$B$109,_xlfn.XLOOKUP(N$219,$D$5:$AO$5,$D$11:$AO$109))</f>
        <v>#REF!</v>
      </c>
      <c r="O329" s="308" t="e">
        <f t="array" ref="O329">_xlfn.XLOOKUP($B329,$B$11:$B$109,_xlfn.XLOOKUP(O$219,$D$5:$AO$5,$D$11:$AO$109))</f>
        <v>#REF!</v>
      </c>
      <c r="P329" s="308" t="e">
        <f t="array" ref="P329">_xlfn.XLOOKUP($B329,$B$11:$B$109,_xlfn.XLOOKUP(P$219,$D$5:$AO$5,$D$11:$AO$109))</f>
        <v>#REF!</v>
      </c>
      <c r="Q329" s="308" t="e">
        <f t="array" ref="Q329">_xlfn.XLOOKUP($B329,$B$11:$B$109,_xlfn.XLOOKUP(Q$219,$D$5:$AO$5,$D$11:$AO$109))</f>
        <v>#REF!</v>
      </c>
      <c r="R329" s="308" t="e">
        <f t="array" ref="R329">_xlfn.XLOOKUP($B329,$B$11:$B$109,_xlfn.XLOOKUP(R$219,$D$5:$AO$5,$D$11:$AO$109))</f>
        <v>#REF!</v>
      </c>
      <c r="S329" s="308" t="e">
        <f t="array" ref="S329">_xlfn.XLOOKUP($B329,$B$11:$B$109,_xlfn.XLOOKUP(S$219,$D$5:$AO$5,$D$11:$AO$109))</f>
        <v>#REF!</v>
      </c>
      <c r="T329" s="308" t="e">
        <f t="array" ref="T329">_xlfn.XLOOKUP($B329,$B$11:$B$109,_xlfn.XLOOKUP(T$219,$D$5:$AO$5,$D$11:$AO$109))</f>
        <v>#REF!</v>
      </c>
      <c r="U329" s="308" t="e">
        <f t="array" ref="U329">_xlfn.XLOOKUP($B329,$B$11:$B$109,_xlfn.XLOOKUP(U$219,$D$5:$AO$5,$D$11:$AO$109))</f>
        <v>#REF!</v>
      </c>
      <c r="V329" s="308" t="e">
        <f t="array" ref="V329">_xlfn.XLOOKUP($B329,$B$11:$B$109,_xlfn.XLOOKUP(V$219,$D$5:$AO$5,$D$11:$AO$109))</f>
        <v>#REF!</v>
      </c>
      <c r="W329" s="308" t="e">
        <f t="array" ref="W329">_xlfn.XLOOKUP($B329,$B$11:$B$109,_xlfn.XLOOKUP(W$219,$D$5:$AO$5,$D$11:$AO$109))</f>
        <v>#REF!</v>
      </c>
      <c r="X329" s="308" t="e">
        <f t="array" ref="X329">_xlfn.XLOOKUP($B329,$B$11:$B$109,_xlfn.XLOOKUP(X$219,$D$5:$AO$5,$D$11:$AO$109))</f>
        <v>#REF!</v>
      </c>
      <c r="Y329" s="308" t="e">
        <f t="array" ref="Y329">_xlfn.XLOOKUP($B329,$B$11:$B$109,_xlfn.XLOOKUP(Y$219,$D$5:$AO$5,$D$11:$AO$109))</f>
        <v>#REF!</v>
      </c>
      <c r="Z329" s="308" t="e">
        <f t="array" ref="Z329">_xlfn.XLOOKUP($B329,$B$11:$B$109,_xlfn.XLOOKUP(Z$219,$D$5:$AO$5,$D$11:$AO$109))</f>
        <v>#REF!</v>
      </c>
      <c r="AA329" s="308"/>
      <c r="AB329" s="306" t="str">
        <f t="shared" si="114"/>
        <v>EBITDA excl. IB - New</v>
      </c>
      <c r="AC329" s="307" t="str">
        <f t="shared" si="115"/>
        <v>A$m</v>
      </c>
      <c r="AD329" s="307"/>
      <c r="AE329" s="307"/>
      <c r="AF329" s="308" t="e">
        <f t="array" ref="AF329">_xlfn.XLOOKUP($B329,$B$11:$B$109,_xlfn.XLOOKUP(AF$219,$D$5:$AO$5,$D$11:$AO$109))</f>
        <v>#REF!</v>
      </c>
      <c r="AG329" s="308" t="e">
        <f t="array" ref="AG329">_xlfn.XLOOKUP($B329,$B$11:$B$109,_xlfn.XLOOKUP(AG$219,$D$5:$AO$5,$D$11:$AO$109))</f>
        <v>#REF!</v>
      </c>
      <c r="AH329" s="308" t="e">
        <f t="array" ref="AH329">_xlfn.XLOOKUP($B329,$B$11:$B$109,_xlfn.XLOOKUP(AH$219,$D$5:$AO$5,$D$11:$AO$109))</f>
        <v>#REF!</v>
      </c>
      <c r="AI329" s="308" t="e">
        <f t="array" ref="AI329">_xlfn.XLOOKUP($B329,$B$11:$B$109,_xlfn.XLOOKUP(AI$219,$D$5:$AO$5,$D$11:$AO$109))</f>
        <v>#REF!</v>
      </c>
      <c r="AJ329" s="308" t="e">
        <f t="array" ref="AJ329">_xlfn.XLOOKUP($B329,$B$11:$B$109,_xlfn.XLOOKUP(AJ$219,$D$5:$AO$5,$D$11:$AO$109))</f>
        <v>#REF!</v>
      </c>
      <c r="AK329" s="308" t="e">
        <f t="array" ref="AK329">_xlfn.XLOOKUP($B329,$B$11:$B$109,_xlfn.XLOOKUP(AK$219,$D$5:$AO$5,$D$11:$AO$109))</f>
        <v>#REF!</v>
      </c>
      <c r="AL329" s="308" t="e">
        <f t="array" ref="AL329">_xlfn.XLOOKUP($B329,$B$11:$B$109,_xlfn.XLOOKUP(AL$219,$D$5:$AO$5,$D$11:$AO$109))</f>
        <v>#REF!</v>
      </c>
      <c r="AM329" s="308" t="e">
        <f t="array" ref="AM329">_xlfn.XLOOKUP($B329,$B$11:$B$109,_xlfn.XLOOKUP(AM$219,$D$5:$AO$5,$D$11:$AO$109))</f>
        <v>#REF!</v>
      </c>
      <c r="AN329" s="308" t="e">
        <f t="array" ref="AN329">_xlfn.XLOOKUP($B329,$B$11:$B$109,_xlfn.XLOOKUP(AN$219,$D$5:$AO$5,$D$11:$AO$109))</f>
        <v>#REF!</v>
      </c>
      <c r="AO329" s="308" t="e">
        <f t="array" ref="AO329">_xlfn.XLOOKUP($B329,$B$11:$B$109,_xlfn.XLOOKUP(AO$219,$D$5:$AO$5,$D$11:$AO$109))</f>
        <v>#REF!</v>
      </c>
    </row>
    <row r="330" spans="1:41" hidden="1" outlineLevel="1">
      <c r="C330" s="309" t="s">
        <v>1510</v>
      </c>
      <c r="D330" s="303" t="s">
        <v>88</v>
      </c>
      <c r="E330" s="303"/>
      <c r="F330" s="303"/>
      <c r="G330" s="310" t="s">
        <v>967</v>
      </c>
      <c r="H330" s="310" t="s">
        <v>967</v>
      </c>
      <c r="I330" s="310" t="e">
        <f t="shared" ref="I330:Z330" si="136">I329/G329-1</f>
        <v>#REF!</v>
      </c>
      <c r="J330" s="310" t="e">
        <f t="shared" si="136"/>
        <v>#REF!</v>
      </c>
      <c r="K330" s="310" t="e">
        <f t="shared" si="136"/>
        <v>#REF!</v>
      </c>
      <c r="L330" s="310" t="e">
        <f t="shared" si="136"/>
        <v>#REF!</v>
      </c>
      <c r="M330" s="310" t="e">
        <f t="shared" si="136"/>
        <v>#REF!</v>
      </c>
      <c r="N330" s="310" t="e">
        <f t="shared" si="136"/>
        <v>#REF!</v>
      </c>
      <c r="O330" s="310" t="e">
        <f t="shared" si="136"/>
        <v>#REF!</v>
      </c>
      <c r="P330" s="310" t="e">
        <f t="shared" si="136"/>
        <v>#REF!</v>
      </c>
      <c r="Q330" s="310" t="e">
        <f t="shared" si="136"/>
        <v>#REF!</v>
      </c>
      <c r="R330" s="310" t="e">
        <f t="shared" si="136"/>
        <v>#REF!</v>
      </c>
      <c r="S330" s="310" t="e">
        <f t="shared" si="136"/>
        <v>#REF!</v>
      </c>
      <c r="T330" s="310" t="e">
        <f t="shared" si="136"/>
        <v>#REF!</v>
      </c>
      <c r="U330" s="310" t="e">
        <f t="shared" si="136"/>
        <v>#REF!</v>
      </c>
      <c r="V330" s="310" t="e">
        <f t="shared" si="136"/>
        <v>#REF!</v>
      </c>
      <c r="W330" s="310" t="e">
        <f t="shared" si="136"/>
        <v>#REF!</v>
      </c>
      <c r="X330" s="310" t="e">
        <f t="shared" si="136"/>
        <v>#REF!</v>
      </c>
      <c r="Y330" s="310" t="e">
        <f t="shared" si="136"/>
        <v>#REF!</v>
      </c>
      <c r="Z330" s="310" t="e">
        <f t="shared" si="136"/>
        <v>#REF!</v>
      </c>
      <c r="AA330" s="311"/>
      <c r="AB330" s="309" t="str">
        <f t="shared" si="114"/>
        <v>- Growth</v>
      </c>
      <c r="AC330" s="303" t="str">
        <f t="shared" si="115"/>
        <v>%</v>
      </c>
      <c r="AD330" s="303"/>
      <c r="AE330" s="303"/>
      <c r="AF330" s="310" t="s">
        <v>967</v>
      </c>
      <c r="AG330" s="310" t="e">
        <f t="shared" ref="AG330:AO330" si="137">AG329/AF329-1</f>
        <v>#REF!</v>
      </c>
      <c r="AH330" s="310" t="e">
        <f t="shared" si="137"/>
        <v>#REF!</v>
      </c>
      <c r="AI330" s="310" t="e">
        <f t="shared" si="137"/>
        <v>#REF!</v>
      </c>
      <c r="AJ330" s="310" t="e">
        <f t="shared" si="137"/>
        <v>#REF!</v>
      </c>
      <c r="AK330" s="310" t="e">
        <f t="shared" si="137"/>
        <v>#REF!</v>
      </c>
      <c r="AL330" s="310" t="e">
        <f t="shared" si="137"/>
        <v>#REF!</v>
      </c>
      <c r="AM330" s="310" t="e">
        <f t="shared" si="137"/>
        <v>#REF!</v>
      </c>
      <c r="AN330" s="310" t="e">
        <f t="shared" si="137"/>
        <v>#REF!</v>
      </c>
      <c r="AO330" s="310" t="e">
        <f t="shared" si="137"/>
        <v>#REF!</v>
      </c>
    </row>
    <row r="331" spans="1:41" collapsed="1">
      <c r="C331" s="309" t="s">
        <v>1511</v>
      </c>
      <c r="D331" s="303" t="s">
        <v>88</v>
      </c>
      <c r="E331" s="303"/>
      <c r="F331" s="303"/>
      <c r="G331" s="310">
        <f t="shared" ref="G331:Z331" si="138">IFERROR(ROUND( G329 / G328,2) - 1, 0)</f>
        <v>0</v>
      </c>
      <c r="H331" s="310">
        <f t="shared" si="138"/>
        <v>0</v>
      </c>
      <c r="I331" s="310">
        <f t="shared" si="138"/>
        <v>0</v>
      </c>
      <c r="J331" s="310">
        <f t="shared" si="138"/>
        <v>0</v>
      </c>
      <c r="K331" s="310">
        <f t="shared" si="138"/>
        <v>0</v>
      </c>
      <c r="L331" s="310">
        <f t="shared" si="138"/>
        <v>0</v>
      </c>
      <c r="M331" s="310">
        <f t="shared" si="138"/>
        <v>0</v>
      </c>
      <c r="N331" s="310">
        <f t="shared" si="138"/>
        <v>0</v>
      </c>
      <c r="O331" s="310">
        <f t="shared" si="138"/>
        <v>0</v>
      </c>
      <c r="P331" s="310">
        <f t="shared" si="138"/>
        <v>0</v>
      </c>
      <c r="Q331" s="310">
        <f t="shared" si="138"/>
        <v>0</v>
      </c>
      <c r="R331" s="310">
        <f t="shared" si="138"/>
        <v>0</v>
      </c>
      <c r="S331" s="310">
        <f t="shared" si="138"/>
        <v>0</v>
      </c>
      <c r="T331" s="310">
        <f t="shared" si="138"/>
        <v>0</v>
      </c>
      <c r="U331" s="310">
        <f t="shared" si="138"/>
        <v>0</v>
      </c>
      <c r="V331" s="310">
        <f t="shared" si="138"/>
        <v>0</v>
      </c>
      <c r="W331" s="310">
        <f t="shared" si="138"/>
        <v>0</v>
      </c>
      <c r="X331" s="310">
        <f t="shared" si="138"/>
        <v>0</v>
      </c>
      <c r="Y331" s="310">
        <f t="shared" si="138"/>
        <v>0</v>
      </c>
      <c r="Z331" s="310">
        <f t="shared" si="138"/>
        <v>0</v>
      </c>
      <c r="AA331" s="310"/>
      <c r="AB331" s="309" t="str">
        <f t="shared" si="114"/>
        <v>- Revision</v>
      </c>
      <c r="AC331" s="303" t="str">
        <f t="shared" si="115"/>
        <v>%</v>
      </c>
      <c r="AD331" s="303"/>
      <c r="AE331" s="303"/>
      <c r="AF331" s="310">
        <f t="shared" ref="AF331:AO331" si="139">IFERROR(ROUND( AF329 / AF328,2) - 1, 0)</f>
        <v>0</v>
      </c>
      <c r="AG331" s="310">
        <f t="shared" si="139"/>
        <v>0</v>
      </c>
      <c r="AH331" s="310">
        <f t="shared" si="139"/>
        <v>0</v>
      </c>
      <c r="AI331" s="310">
        <f t="shared" si="139"/>
        <v>0</v>
      </c>
      <c r="AJ331" s="310">
        <f t="shared" si="139"/>
        <v>0</v>
      </c>
      <c r="AK331" s="310">
        <f t="shared" si="139"/>
        <v>0</v>
      </c>
      <c r="AL331" s="310">
        <f t="shared" si="139"/>
        <v>0</v>
      </c>
      <c r="AM331" s="310">
        <f t="shared" si="139"/>
        <v>0</v>
      </c>
      <c r="AN331" s="310">
        <f t="shared" si="139"/>
        <v>0</v>
      </c>
      <c r="AO331" s="310">
        <f t="shared" si="139"/>
        <v>0</v>
      </c>
    </row>
    <row r="332" spans="1:41">
      <c r="C332" s="309"/>
      <c r="D332" s="303"/>
      <c r="E332" s="303"/>
      <c r="F332" s="303"/>
      <c r="G332" s="310"/>
      <c r="H332" s="310"/>
      <c r="I332" s="310"/>
      <c r="J332" s="310"/>
      <c r="K332" s="310"/>
      <c r="L332" s="310"/>
      <c r="M332" s="310"/>
      <c r="N332" s="310"/>
      <c r="O332" s="310"/>
      <c r="P332" s="310"/>
      <c r="Q332" s="310"/>
      <c r="R332" s="310"/>
      <c r="S332" s="310"/>
      <c r="T332" s="310"/>
      <c r="U332" s="310"/>
      <c r="V332" s="310"/>
      <c r="W332" s="310"/>
      <c r="X332" s="310"/>
      <c r="Y332" s="310"/>
      <c r="Z332" s="310"/>
      <c r="AA332" s="310"/>
      <c r="AB332" s="309"/>
      <c r="AC332" s="303"/>
      <c r="AD332" s="303"/>
      <c r="AE332" s="303"/>
      <c r="AF332" s="310"/>
      <c r="AG332" s="310"/>
      <c r="AH332" s="310"/>
      <c r="AI332" s="310"/>
      <c r="AJ332" s="310"/>
      <c r="AK332" s="310"/>
      <c r="AL332" s="310"/>
      <c r="AM332" s="310"/>
      <c r="AN332" s="310"/>
      <c r="AO332" s="310"/>
    </row>
    <row r="333" spans="1:41">
      <c r="A333" t="s">
        <v>7</v>
      </c>
      <c r="C333" s="285" t="s">
        <v>1413</v>
      </c>
      <c r="D333" s="286"/>
      <c r="E333" s="286"/>
      <c r="F333" s="286"/>
      <c r="G333" s="286"/>
      <c r="H333" s="286"/>
      <c r="I333" s="286"/>
      <c r="J333" s="286"/>
      <c r="K333" s="286"/>
      <c r="L333" s="286"/>
      <c r="M333" s="286"/>
      <c r="N333" s="286"/>
      <c r="O333" s="286"/>
      <c r="P333" s="286"/>
      <c r="Q333" s="286"/>
      <c r="R333" s="287"/>
      <c r="S333" s="287"/>
      <c r="T333" s="287"/>
      <c r="U333" s="287"/>
      <c r="V333" s="287"/>
      <c r="W333" s="287"/>
      <c r="X333" s="287"/>
      <c r="Y333" s="287"/>
      <c r="Z333" s="287"/>
      <c r="AA333" s="287"/>
      <c r="AB333" s="287"/>
      <c r="AC333" s="287"/>
      <c r="AD333" s="286"/>
      <c r="AE333" s="286"/>
      <c r="AF333" s="287"/>
      <c r="AG333" s="288"/>
      <c r="AH333" s="287"/>
      <c r="AI333" s="289"/>
    </row>
    <row r="334" spans="1:41">
      <c r="C334" s="290"/>
      <c r="D334" s="286"/>
      <c r="E334" s="286"/>
      <c r="F334" s="286"/>
      <c r="G334" s="286"/>
      <c r="H334" s="286"/>
      <c r="I334" s="286"/>
      <c r="J334" s="286"/>
      <c r="K334" s="286"/>
      <c r="L334" s="286"/>
      <c r="M334" s="286"/>
      <c r="N334" s="286"/>
      <c r="O334" s="286"/>
      <c r="P334" s="286"/>
      <c r="Q334" s="286"/>
      <c r="R334" s="287"/>
      <c r="S334" s="287"/>
      <c r="T334" s="287"/>
      <c r="U334" s="287"/>
      <c r="V334" s="287"/>
      <c r="W334" s="287"/>
      <c r="X334" s="287"/>
      <c r="Y334" s="287"/>
      <c r="Z334" s="287"/>
      <c r="AA334" s="287"/>
      <c r="AB334" s="287"/>
      <c r="AC334" s="287"/>
      <c r="AD334" s="286"/>
      <c r="AE334" s="286"/>
      <c r="AF334" s="287"/>
      <c r="AG334" s="288"/>
      <c r="AH334" s="287"/>
      <c r="AI334" s="289"/>
    </row>
    <row r="335" spans="1:41">
      <c r="C335" s="291"/>
      <c r="D335" s="291" t="s">
        <v>1329</v>
      </c>
      <c r="E335" s="291"/>
      <c r="F335" s="291" t="str">
        <f t="shared" ref="F335:Z335" si="140">F$5</f>
        <v>VAL</v>
      </c>
      <c r="G335" s="292" t="str">
        <f t="shared" si="140"/>
        <v>1H21A</v>
      </c>
      <c r="H335" s="293" t="str">
        <f t="shared" si="140"/>
        <v>2H21A</v>
      </c>
      <c r="I335" s="292" t="str">
        <f t="shared" si="140"/>
        <v>1H22A</v>
      </c>
      <c r="J335" s="293" t="str">
        <f t="shared" si="140"/>
        <v>2H22A</v>
      </c>
      <c r="K335" s="292" t="str">
        <f t="shared" si="140"/>
        <v>1H23A</v>
      </c>
      <c r="L335" s="293" t="str">
        <f t="shared" si="140"/>
        <v>2H23A</v>
      </c>
      <c r="M335" s="292" t="str">
        <f t="shared" si="140"/>
        <v>1H24E</v>
      </c>
      <c r="N335" s="293" t="str">
        <f t="shared" si="140"/>
        <v>2H24E</v>
      </c>
      <c r="O335" s="292" t="str">
        <f t="shared" si="140"/>
        <v>1H25E</v>
      </c>
      <c r="P335" s="293" t="str">
        <f t="shared" si="140"/>
        <v>2H25E</v>
      </c>
      <c r="Q335" s="292" t="str">
        <f t="shared" si="140"/>
        <v>1H26E</v>
      </c>
      <c r="R335" s="293" t="str">
        <f t="shared" si="140"/>
        <v>2H26E</v>
      </c>
      <c r="S335" s="292" t="str">
        <f t="shared" si="140"/>
        <v>1H27E</v>
      </c>
      <c r="T335" s="293" t="str">
        <f t="shared" si="140"/>
        <v>2H27E</v>
      </c>
      <c r="U335" s="292" t="str">
        <f t="shared" si="140"/>
        <v>1H28E</v>
      </c>
      <c r="V335" s="293" t="str">
        <f t="shared" si="140"/>
        <v>2H28E</v>
      </c>
      <c r="W335" s="292" t="str">
        <f t="shared" si="140"/>
        <v>1H29E</v>
      </c>
      <c r="X335" s="293" t="str">
        <f t="shared" si="140"/>
        <v>2H29E</v>
      </c>
      <c r="Y335" s="292" t="str">
        <f t="shared" si="140"/>
        <v>1H30E</v>
      </c>
      <c r="Z335" s="293" t="str">
        <f t="shared" si="140"/>
        <v>2H30E</v>
      </c>
      <c r="AA335" s="294"/>
      <c r="AB335" s="291"/>
      <c r="AC335" s="291" t="s">
        <v>1329</v>
      </c>
      <c r="AD335" s="291"/>
      <c r="AE335" s="291" t="str">
        <f t="shared" ref="AE335:AO335" si="141">AE$5</f>
        <v>VAL</v>
      </c>
      <c r="AF335" s="295" t="str">
        <f t="shared" si="141"/>
        <v>FY21A</v>
      </c>
      <c r="AG335" s="295" t="str">
        <f t="shared" si="141"/>
        <v>FY22A</v>
      </c>
      <c r="AH335" s="295" t="str">
        <f t="shared" si="141"/>
        <v>FY23A</v>
      </c>
      <c r="AI335" s="295" t="str">
        <f t="shared" si="141"/>
        <v>FY24A</v>
      </c>
      <c r="AJ335" s="295" t="str">
        <f t="shared" si="141"/>
        <v>FY25A</v>
      </c>
      <c r="AK335" s="295" t="str">
        <f t="shared" si="141"/>
        <v>FY26A</v>
      </c>
      <c r="AL335" s="295" t="str">
        <f t="shared" si="141"/>
        <v>FY27A</v>
      </c>
      <c r="AM335" s="295" t="str">
        <f t="shared" si="141"/>
        <v>FY28A</v>
      </c>
      <c r="AN335" s="295" t="str">
        <f t="shared" si="141"/>
        <v>FY29A</v>
      </c>
      <c r="AO335" s="295" t="str">
        <f t="shared" si="141"/>
        <v>FY30A</v>
      </c>
    </row>
    <row r="336" spans="1:41">
      <c r="C336" s="296"/>
      <c r="D336" s="296"/>
      <c r="E336" s="296"/>
      <c r="F336" s="296"/>
      <c r="G336" s="297">
        <f t="shared" ref="G336:Z336" si="142">G$6</f>
        <v>44196</v>
      </c>
      <c r="H336" s="298">
        <f t="shared" si="142"/>
        <v>44377</v>
      </c>
      <c r="I336" s="297">
        <f t="shared" si="142"/>
        <v>44561</v>
      </c>
      <c r="J336" s="298">
        <f t="shared" si="142"/>
        <v>44742</v>
      </c>
      <c r="K336" s="297">
        <f t="shared" si="142"/>
        <v>44926</v>
      </c>
      <c r="L336" s="298">
        <f t="shared" si="142"/>
        <v>45107</v>
      </c>
      <c r="M336" s="297">
        <f t="shared" si="142"/>
        <v>45291</v>
      </c>
      <c r="N336" s="298">
        <f t="shared" si="142"/>
        <v>45473</v>
      </c>
      <c r="O336" s="297">
        <f t="shared" si="142"/>
        <v>45657</v>
      </c>
      <c r="P336" s="298">
        <f t="shared" si="142"/>
        <v>45838</v>
      </c>
      <c r="Q336" s="297">
        <f t="shared" si="142"/>
        <v>46022</v>
      </c>
      <c r="R336" s="298">
        <f t="shared" si="142"/>
        <v>46203</v>
      </c>
      <c r="S336" s="297">
        <f t="shared" si="142"/>
        <v>46387</v>
      </c>
      <c r="T336" s="298">
        <f t="shared" si="142"/>
        <v>46568</v>
      </c>
      <c r="U336" s="297">
        <f t="shared" si="142"/>
        <v>46752</v>
      </c>
      <c r="V336" s="298">
        <f t="shared" si="142"/>
        <v>46934</v>
      </c>
      <c r="W336" s="297">
        <f t="shared" si="142"/>
        <v>47118</v>
      </c>
      <c r="X336" s="298">
        <f t="shared" si="142"/>
        <v>47299</v>
      </c>
      <c r="Y336" s="297">
        <f t="shared" si="142"/>
        <v>47483</v>
      </c>
      <c r="Z336" s="296">
        <f t="shared" si="142"/>
        <v>47664</v>
      </c>
      <c r="AA336" s="299"/>
      <c r="AB336" s="296"/>
      <c r="AC336" s="296"/>
      <c r="AD336" s="296"/>
      <c r="AE336" s="296"/>
      <c r="AF336" s="300">
        <f t="shared" ref="AF336:AO336" si="143">AF$6</f>
        <v>44377</v>
      </c>
      <c r="AG336" s="300">
        <f t="shared" si="143"/>
        <v>44742</v>
      </c>
      <c r="AH336" s="300">
        <f t="shared" si="143"/>
        <v>45107</v>
      </c>
      <c r="AI336" s="300">
        <f t="shared" si="143"/>
        <v>45473</v>
      </c>
      <c r="AJ336" s="300">
        <f t="shared" si="143"/>
        <v>45838</v>
      </c>
      <c r="AK336" s="300">
        <f t="shared" si="143"/>
        <v>46203</v>
      </c>
      <c r="AL336" s="300">
        <f t="shared" si="143"/>
        <v>46568</v>
      </c>
      <c r="AM336" s="300">
        <f t="shared" si="143"/>
        <v>46934</v>
      </c>
      <c r="AN336" s="300">
        <f t="shared" si="143"/>
        <v>47299</v>
      </c>
      <c r="AO336" s="300">
        <f t="shared" si="143"/>
        <v>47664</v>
      </c>
    </row>
    <row r="337" spans="2:41">
      <c r="B337" s="301" t="s">
        <v>1454</v>
      </c>
      <c r="C337" s="302" t="s">
        <v>1522</v>
      </c>
      <c r="D337" s="303" t="str">
        <f t="array" ref="D337">_xlfn.XLOOKUP($B337,$B$114:$B$212,_xlfn.XLOOKUP(D$219,$D$5:$AO$5,$D$114:$AO$212))</f>
        <v>NZ$m</v>
      </c>
      <c r="E337" s="303"/>
      <c r="F337" s="303"/>
      <c r="G337" s="304" t="e">
        <f t="array" ref="G337">_xlfn.XLOOKUP($B337,$B$114:$B$212,_xlfn.XLOOKUP(G$219,$D$5:$AO$5,$D$114:$AO$212))</f>
        <v>#REF!</v>
      </c>
      <c r="H337" s="304" t="e">
        <f t="array" ref="H337">_xlfn.XLOOKUP($B337,$B$114:$B$212,_xlfn.XLOOKUP(H$219,$D$5:$AO$5,$D$114:$AO$212))</f>
        <v>#REF!</v>
      </c>
      <c r="I337" s="304" t="e">
        <f t="array" ref="I337">_xlfn.XLOOKUP($B337,$B$114:$B$212,_xlfn.XLOOKUP(I$219,$D$5:$AO$5,$D$114:$AO$212))</f>
        <v>#REF!</v>
      </c>
      <c r="J337" s="304" t="e">
        <f t="array" ref="J337">_xlfn.XLOOKUP($B337,$B$114:$B$212,_xlfn.XLOOKUP(J$219,$D$5:$AO$5,$D$114:$AO$212))</f>
        <v>#REF!</v>
      </c>
      <c r="K337" s="304" t="e">
        <f t="array" ref="K337">_xlfn.XLOOKUP($B337,$B$114:$B$212,_xlfn.XLOOKUP(K$219,$D$5:$AO$5,$D$114:$AO$212))</f>
        <v>#REF!</v>
      </c>
      <c r="L337" s="304" t="e">
        <f t="array" ref="L337">_xlfn.XLOOKUP($B337,$B$114:$B$212,_xlfn.XLOOKUP(L$219,$D$5:$AO$5,$D$114:$AO$212))</f>
        <v>#REF!</v>
      </c>
      <c r="M337" s="304" t="e">
        <f t="array" ref="M337">_xlfn.XLOOKUP($B337,$B$114:$B$212,_xlfn.XLOOKUP(M$219,$D$5:$AO$5,$D$114:$AO$212))</f>
        <v>#REF!</v>
      </c>
      <c r="N337" s="304" t="e">
        <f t="array" ref="N337">_xlfn.XLOOKUP($B337,$B$114:$B$212,_xlfn.XLOOKUP(N$219,$D$5:$AO$5,$D$114:$AO$212))</f>
        <v>#REF!</v>
      </c>
      <c r="O337" s="304" t="e">
        <f t="array" ref="O337">_xlfn.XLOOKUP($B337,$B$114:$B$212,_xlfn.XLOOKUP(O$219,$D$5:$AO$5,$D$114:$AO$212))</f>
        <v>#REF!</v>
      </c>
      <c r="P337" s="304" t="e">
        <f t="array" ref="P337">_xlfn.XLOOKUP($B337,$B$114:$B$212,_xlfn.XLOOKUP(P$219,$D$5:$AO$5,$D$114:$AO$212))</f>
        <v>#REF!</v>
      </c>
      <c r="Q337" s="304" t="e">
        <f t="array" ref="Q337">_xlfn.XLOOKUP($B337,$B$114:$B$212,_xlfn.XLOOKUP(Q$219,$D$5:$AO$5,$D$114:$AO$212))</f>
        <v>#REF!</v>
      </c>
      <c r="R337" s="304" t="e">
        <f t="array" ref="R337">_xlfn.XLOOKUP($B337,$B$114:$B$212,_xlfn.XLOOKUP(R$219,$D$5:$AO$5,$D$114:$AO$212))</f>
        <v>#REF!</v>
      </c>
      <c r="S337" s="304" t="e">
        <f t="array" ref="S337">_xlfn.XLOOKUP($B337,$B$114:$B$212,_xlfn.XLOOKUP(S$219,$D$5:$AO$5,$D$114:$AO$212))</f>
        <v>#REF!</v>
      </c>
      <c r="T337" s="304" t="e">
        <f t="array" ref="T337">_xlfn.XLOOKUP($B337,$B$114:$B$212,_xlfn.XLOOKUP(T$219,$D$5:$AO$5,$D$114:$AO$212))</f>
        <v>#REF!</v>
      </c>
      <c r="U337" s="304" t="e">
        <f t="array" ref="U337">_xlfn.XLOOKUP($B337,$B$114:$B$212,_xlfn.XLOOKUP(U$219,$D$5:$AO$5,$D$114:$AO$212))</f>
        <v>#REF!</v>
      </c>
      <c r="V337" s="304" t="e">
        <f t="array" ref="V337">_xlfn.XLOOKUP($B337,$B$114:$B$212,_xlfn.XLOOKUP(V$219,$D$5:$AO$5,$D$114:$AO$212))</f>
        <v>#REF!</v>
      </c>
      <c r="W337" s="304" t="e">
        <f t="array" ref="W337">_xlfn.XLOOKUP($B337,$B$114:$B$212,_xlfn.XLOOKUP(W$219,$D$5:$AO$5,$D$114:$AO$212))</f>
        <v>#REF!</v>
      </c>
      <c r="X337" s="304" t="e">
        <f t="array" ref="X337">_xlfn.XLOOKUP($B337,$B$114:$B$212,_xlfn.XLOOKUP(X$219,$D$5:$AO$5,$D$114:$AO$212))</f>
        <v>#REF!</v>
      </c>
      <c r="Y337" s="304" t="e">
        <f t="array" ref="Y337">_xlfn.XLOOKUP($B337,$B$114:$B$212,_xlfn.XLOOKUP(Y$219,$D$5:$AO$5,$D$114:$AO$212))</f>
        <v>#REF!</v>
      </c>
      <c r="Z337" s="304" t="e">
        <f t="array" ref="Z337">_xlfn.XLOOKUP($B337,$B$114:$B$212,_xlfn.XLOOKUP(Z$219,$D$5:$AO$5,$D$114:$AO$212))</f>
        <v>#REF!</v>
      </c>
      <c r="AA337" s="305"/>
      <c r="AB337" s="302" t="str">
        <f t="shared" ref="AB337:AB356" si="144">C337</f>
        <v>Turnover - old</v>
      </c>
      <c r="AC337" s="303" t="str">
        <f t="shared" ref="AC337:AC356" si="145">D337</f>
        <v>NZ$m</v>
      </c>
      <c r="AD337" s="303"/>
      <c r="AE337" s="303"/>
      <c r="AF337" s="304" t="e">
        <f t="array" ref="AF337">_xlfn.XLOOKUP($B337,$B$114:$B$212,_xlfn.XLOOKUP(AF$219,$D$5:$AO$5,$D$114:$AO$212))</f>
        <v>#REF!</v>
      </c>
      <c r="AG337" s="304" t="e">
        <f t="array" ref="AG337">_xlfn.XLOOKUP($B337,$B$114:$B$212,_xlfn.XLOOKUP(AG$219,$D$5:$AO$5,$D$114:$AO$212))</f>
        <v>#REF!</v>
      </c>
      <c r="AH337" s="304" t="e">
        <f t="array" ref="AH337">_xlfn.XLOOKUP($B337,$B$114:$B$212,_xlfn.XLOOKUP(AH$219,$D$5:$AO$5,$D$114:$AO$212))</f>
        <v>#REF!</v>
      </c>
      <c r="AI337" s="304" t="e">
        <f t="array" ref="AI337">_xlfn.XLOOKUP($B337,$B$114:$B$212,_xlfn.XLOOKUP(AI$219,$D$5:$AO$5,$D$114:$AO$212))</f>
        <v>#REF!</v>
      </c>
      <c r="AJ337" s="304" t="e">
        <f t="array" ref="AJ337">_xlfn.XLOOKUP($B337,$B$114:$B$212,_xlfn.XLOOKUP(AJ$219,$D$5:$AO$5,$D$114:$AO$212))</f>
        <v>#REF!</v>
      </c>
      <c r="AK337" s="304" t="e">
        <f t="array" ref="AK337">_xlfn.XLOOKUP($B337,$B$114:$B$212,_xlfn.XLOOKUP(AK$219,$D$5:$AO$5,$D$114:$AO$212))</f>
        <v>#REF!</v>
      </c>
      <c r="AL337" s="304" t="e">
        <f t="array" ref="AL337">_xlfn.XLOOKUP($B337,$B$114:$B$212,_xlfn.XLOOKUP(AL$219,$D$5:$AO$5,$D$114:$AO$212))</f>
        <v>#REF!</v>
      </c>
      <c r="AM337" s="304" t="e">
        <f t="array" ref="AM337">_xlfn.XLOOKUP($B337,$B$114:$B$212,_xlfn.XLOOKUP(AM$219,$D$5:$AO$5,$D$114:$AO$212))</f>
        <v>#REF!</v>
      </c>
      <c r="AN337" s="304" t="e">
        <f t="array" ref="AN337">_xlfn.XLOOKUP($B337,$B$114:$B$212,_xlfn.XLOOKUP(AN$219,$D$5:$AO$5,$D$114:$AO$212))</f>
        <v>#REF!</v>
      </c>
      <c r="AO337" s="304" t="e">
        <f t="array" ref="AO337">_xlfn.XLOOKUP($B337,$B$114:$B$212,_xlfn.XLOOKUP(AO$219,$D$5:$AO$5,$D$114:$AO$212))</f>
        <v>#REF!</v>
      </c>
    </row>
    <row r="338" spans="2:41">
      <c r="B338" s="301" t="s">
        <v>1454</v>
      </c>
      <c r="C338" s="306" t="s">
        <v>1523</v>
      </c>
      <c r="D338" s="307" t="str">
        <f t="array" ref="D338">_xlfn.XLOOKUP($B338,$B$11:$B$109,_xlfn.XLOOKUP(D$219,$D$5:$AO$5,$D$11:$AO$109))</f>
        <v>NZ$m</v>
      </c>
      <c r="E338" s="307"/>
      <c r="F338" s="307"/>
      <c r="G338" s="308" t="e">
        <f t="array" ref="G338">_xlfn.XLOOKUP($B338,$B$11:$B$109,_xlfn.XLOOKUP(G$219,$D$5:$AO$5,$D$11:$AO$109))</f>
        <v>#REF!</v>
      </c>
      <c r="H338" s="308" t="e">
        <f t="array" ref="H338">_xlfn.XLOOKUP($B338,$B$11:$B$109,_xlfn.XLOOKUP(H$219,$D$5:$AO$5,$D$11:$AO$109))</f>
        <v>#REF!</v>
      </c>
      <c r="I338" s="308" t="e">
        <f t="array" ref="I338">_xlfn.XLOOKUP($B338,$B$11:$B$109,_xlfn.XLOOKUP(I$219,$D$5:$AO$5,$D$11:$AO$109))</f>
        <v>#REF!</v>
      </c>
      <c r="J338" s="308" t="e">
        <f t="array" ref="J338">_xlfn.XLOOKUP($B338,$B$11:$B$109,_xlfn.XLOOKUP(J$219,$D$5:$AO$5,$D$11:$AO$109))</f>
        <v>#REF!</v>
      </c>
      <c r="K338" s="308" t="e">
        <f t="array" ref="K338">_xlfn.XLOOKUP($B338,$B$11:$B$109,_xlfn.XLOOKUP(K$219,$D$5:$AO$5,$D$11:$AO$109))</f>
        <v>#REF!</v>
      </c>
      <c r="L338" s="308" t="e">
        <f t="array" ref="L338">_xlfn.XLOOKUP($B338,$B$11:$B$109,_xlfn.XLOOKUP(L$219,$D$5:$AO$5,$D$11:$AO$109))</f>
        <v>#REF!</v>
      </c>
      <c r="M338" s="308" t="e">
        <f t="array" ref="M338">_xlfn.XLOOKUP($B338,$B$11:$B$109,_xlfn.XLOOKUP(M$219,$D$5:$AO$5,$D$11:$AO$109))</f>
        <v>#REF!</v>
      </c>
      <c r="N338" s="308" t="e">
        <f t="array" ref="N338">_xlfn.XLOOKUP($B338,$B$11:$B$109,_xlfn.XLOOKUP(N$219,$D$5:$AO$5,$D$11:$AO$109))</f>
        <v>#REF!</v>
      </c>
      <c r="O338" s="308" t="e">
        <f t="array" ref="O338">_xlfn.XLOOKUP($B338,$B$11:$B$109,_xlfn.XLOOKUP(O$219,$D$5:$AO$5,$D$11:$AO$109))</f>
        <v>#REF!</v>
      </c>
      <c r="P338" s="308" t="e">
        <f t="array" ref="P338">_xlfn.XLOOKUP($B338,$B$11:$B$109,_xlfn.XLOOKUP(P$219,$D$5:$AO$5,$D$11:$AO$109))</f>
        <v>#REF!</v>
      </c>
      <c r="Q338" s="308" t="e">
        <f t="array" ref="Q338">_xlfn.XLOOKUP($B338,$B$11:$B$109,_xlfn.XLOOKUP(Q$219,$D$5:$AO$5,$D$11:$AO$109))</f>
        <v>#REF!</v>
      </c>
      <c r="R338" s="308" t="e">
        <f t="array" ref="R338">_xlfn.XLOOKUP($B338,$B$11:$B$109,_xlfn.XLOOKUP(R$219,$D$5:$AO$5,$D$11:$AO$109))</f>
        <v>#REF!</v>
      </c>
      <c r="S338" s="308" t="e">
        <f t="array" ref="S338">_xlfn.XLOOKUP($B338,$B$11:$B$109,_xlfn.XLOOKUP(S$219,$D$5:$AO$5,$D$11:$AO$109))</f>
        <v>#REF!</v>
      </c>
      <c r="T338" s="308" t="e">
        <f t="array" ref="T338">_xlfn.XLOOKUP($B338,$B$11:$B$109,_xlfn.XLOOKUP(T$219,$D$5:$AO$5,$D$11:$AO$109))</f>
        <v>#REF!</v>
      </c>
      <c r="U338" s="308" t="e">
        <f t="array" ref="U338">_xlfn.XLOOKUP($B338,$B$11:$B$109,_xlfn.XLOOKUP(U$219,$D$5:$AO$5,$D$11:$AO$109))</f>
        <v>#REF!</v>
      </c>
      <c r="V338" s="308" t="e">
        <f t="array" ref="V338">_xlfn.XLOOKUP($B338,$B$11:$B$109,_xlfn.XLOOKUP(V$219,$D$5:$AO$5,$D$11:$AO$109))</f>
        <v>#REF!</v>
      </c>
      <c r="W338" s="308" t="e">
        <f t="array" ref="W338">_xlfn.XLOOKUP($B338,$B$11:$B$109,_xlfn.XLOOKUP(W$219,$D$5:$AO$5,$D$11:$AO$109))</f>
        <v>#REF!</v>
      </c>
      <c r="X338" s="308" t="e">
        <f t="array" ref="X338">_xlfn.XLOOKUP($B338,$B$11:$B$109,_xlfn.XLOOKUP(X$219,$D$5:$AO$5,$D$11:$AO$109))</f>
        <v>#REF!</v>
      </c>
      <c r="Y338" s="308" t="e">
        <f t="array" ref="Y338">_xlfn.XLOOKUP($B338,$B$11:$B$109,_xlfn.XLOOKUP(Y$219,$D$5:$AO$5,$D$11:$AO$109))</f>
        <v>#REF!</v>
      </c>
      <c r="Z338" s="308" t="e">
        <f t="array" ref="Z338">_xlfn.XLOOKUP($B338,$B$11:$B$109,_xlfn.XLOOKUP(Z$219,$D$5:$AO$5,$D$11:$AO$109))</f>
        <v>#REF!</v>
      </c>
      <c r="AA338" s="308"/>
      <c r="AB338" s="306" t="str">
        <f t="shared" si="144"/>
        <v>Turnover - New</v>
      </c>
      <c r="AC338" s="307" t="str">
        <f t="shared" si="145"/>
        <v>NZ$m</v>
      </c>
      <c r="AD338" s="307"/>
      <c r="AE338" s="307"/>
      <c r="AF338" s="308" t="e">
        <f t="array" ref="AF338">_xlfn.XLOOKUP($B338,$B$11:$B$109,_xlfn.XLOOKUP(AF$219,$D$5:$AO$5,$D$11:$AO$109))</f>
        <v>#REF!</v>
      </c>
      <c r="AG338" s="308" t="e">
        <f t="array" ref="AG338">_xlfn.XLOOKUP($B338,$B$11:$B$109,_xlfn.XLOOKUP(AG$219,$D$5:$AO$5,$D$11:$AO$109))</f>
        <v>#REF!</v>
      </c>
      <c r="AH338" s="308" t="e">
        <f t="array" ref="AH338">_xlfn.XLOOKUP($B338,$B$11:$B$109,_xlfn.XLOOKUP(AH$219,$D$5:$AO$5,$D$11:$AO$109))</f>
        <v>#REF!</v>
      </c>
      <c r="AI338" s="308" t="e">
        <f t="array" ref="AI338">_xlfn.XLOOKUP($B338,$B$11:$B$109,_xlfn.XLOOKUP(AI$219,$D$5:$AO$5,$D$11:$AO$109))</f>
        <v>#REF!</v>
      </c>
      <c r="AJ338" s="308" t="e">
        <f t="array" ref="AJ338">_xlfn.XLOOKUP($B338,$B$11:$B$109,_xlfn.XLOOKUP(AJ$219,$D$5:$AO$5,$D$11:$AO$109))</f>
        <v>#REF!</v>
      </c>
      <c r="AK338" s="308" t="e">
        <f t="array" ref="AK338">_xlfn.XLOOKUP($B338,$B$11:$B$109,_xlfn.XLOOKUP(AK$219,$D$5:$AO$5,$D$11:$AO$109))</f>
        <v>#REF!</v>
      </c>
      <c r="AL338" s="308" t="e">
        <f t="array" ref="AL338">_xlfn.XLOOKUP($B338,$B$11:$B$109,_xlfn.XLOOKUP(AL$219,$D$5:$AO$5,$D$11:$AO$109))</f>
        <v>#REF!</v>
      </c>
      <c r="AM338" s="308" t="e">
        <f t="array" ref="AM338">_xlfn.XLOOKUP($B338,$B$11:$B$109,_xlfn.XLOOKUP(AM$219,$D$5:$AO$5,$D$11:$AO$109))</f>
        <v>#REF!</v>
      </c>
      <c r="AN338" s="308" t="e">
        <f t="array" ref="AN338">_xlfn.XLOOKUP($B338,$B$11:$B$109,_xlfn.XLOOKUP(AN$219,$D$5:$AO$5,$D$11:$AO$109))</f>
        <v>#REF!</v>
      </c>
      <c r="AO338" s="308" t="e">
        <f t="array" ref="AO338">_xlfn.XLOOKUP($B338,$B$11:$B$109,_xlfn.XLOOKUP(AO$219,$D$5:$AO$5,$D$11:$AO$109))</f>
        <v>#REF!</v>
      </c>
    </row>
    <row r="339" spans="2:41" hidden="1" outlineLevel="1">
      <c r="B339" s="301"/>
      <c r="C339" s="309" t="s">
        <v>1510</v>
      </c>
      <c r="D339" s="303" t="s">
        <v>88</v>
      </c>
      <c r="E339" s="303"/>
      <c r="F339" s="303"/>
      <c r="G339" s="310" t="s">
        <v>967</v>
      </c>
      <c r="H339" s="310" t="s">
        <v>967</v>
      </c>
      <c r="I339" s="310" t="e">
        <f t="shared" ref="I339:Z339" si="146">I338/G338-1</f>
        <v>#REF!</v>
      </c>
      <c r="J339" s="310" t="e">
        <f t="shared" si="146"/>
        <v>#REF!</v>
      </c>
      <c r="K339" s="310" t="e">
        <f t="shared" si="146"/>
        <v>#REF!</v>
      </c>
      <c r="L339" s="310" t="e">
        <f t="shared" si="146"/>
        <v>#REF!</v>
      </c>
      <c r="M339" s="310" t="e">
        <f t="shared" si="146"/>
        <v>#REF!</v>
      </c>
      <c r="N339" s="310" t="e">
        <f t="shared" si="146"/>
        <v>#REF!</v>
      </c>
      <c r="O339" s="310" t="e">
        <f t="shared" si="146"/>
        <v>#REF!</v>
      </c>
      <c r="P339" s="310" t="e">
        <f t="shared" si="146"/>
        <v>#REF!</v>
      </c>
      <c r="Q339" s="310" t="e">
        <f t="shared" si="146"/>
        <v>#REF!</v>
      </c>
      <c r="R339" s="310" t="e">
        <f t="shared" si="146"/>
        <v>#REF!</v>
      </c>
      <c r="S339" s="310" t="e">
        <f t="shared" si="146"/>
        <v>#REF!</v>
      </c>
      <c r="T339" s="310" t="e">
        <f t="shared" si="146"/>
        <v>#REF!</v>
      </c>
      <c r="U339" s="310" t="e">
        <f t="shared" si="146"/>
        <v>#REF!</v>
      </c>
      <c r="V339" s="310" t="e">
        <f t="shared" si="146"/>
        <v>#REF!</v>
      </c>
      <c r="W339" s="310" t="e">
        <f t="shared" si="146"/>
        <v>#REF!</v>
      </c>
      <c r="X339" s="310" t="e">
        <f t="shared" si="146"/>
        <v>#REF!</v>
      </c>
      <c r="Y339" s="310" t="e">
        <f t="shared" si="146"/>
        <v>#REF!</v>
      </c>
      <c r="Z339" s="310" t="e">
        <f t="shared" si="146"/>
        <v>#REF!</v>
      </c>
      <c r="AA339" s="311"/>
      <c r="AB339" s="309" t="str">
        <f t="shared" si="144"/>
        <v>- Growth</v>
      </c>
      <c r="AC339" s="303" t="str">
        <f t="shared" si="145"/>
        <v>%</v>
      </c>
      <c r="AD339" s="303"/>
      <c r="AE339" s="303"/>
      <c r="AF339" s="310" t="s">
        <v>967</v>
      </c>
      <c r="AG339" s="310" t="e">
        <f t="shared" ref="AG339:AO339" si="147">AG338/AF338-1</f>
        <v>#REF!</v>
      </c>
      <c r="AH339" s="310" t="e">
        <f t="shared" si="147"/>
        <v>#REF!</v>
      </c>
      <c r="AI339" s="310" t="e">
        <f t="shared" si="147"/>
        <v>#REF!</v>
      </c>
      <c r="AJ339" s="310" t="e">
        <f t="shared" si="147"/>
        <v>#REF!</v>
      </c>
      <c r="AK339" s="310" t="e">
        <f t="shared" si="147"/>
        <v>#REF!</v>
      </c>
      <c r="AL339" s="310" t="e">
        <f t="shared" si="147"/>
        <v>#REF!</v>
      </c>
      <c r="AM339" s="310" t="e">
        <f t="shared" si="147"/>
        <v>#REF!</v>
      </c>
      <c r="AN339" s="310" t="e">
        <f t="shared" si="147"/>
        <v>#REF!</v>
      </c>
      <c r="AO339" s="310" t="e">
        <f t="shared" si="147"/>
        <v>#REF!</v>
      </c>
    </row>
    <row r="340" spans="2:41" collapsed="1">
      <c r="B340" s="301"/>
      <c r="C340" s="309" t="s">
        <v>1511</v>
      </c>
      <c r="D340" s="303" t="s">
        <v>88</v>
      </c>
      <c r="E340" s="303"/>
      <c r="F340" s="303"/>
      <c r="G340" s="310">
        <f t="shared" ref="G340:Z340" si="148">IFERROR(ROUND( G338 / G337,2) - 1, 0)</f>
        <v>0</v>
      </c>
      <c r="H340" s="310">
        <f t="shared" si="148"/>
        <v>0</v>
      </c>
      <c r="I340" s="310">
        <f t="shared" si="148"/>
        <v>0</v>
      </c>
      <c r="J340" s="310">
        <f t="shared" si="148"/>
        <v>0</v>
      </c>
      <c r="K340" s="310">
        <f t="shared" si="148"/>
        <v>0</v>
      </c>
      <c r="L340" s="310">
        <f t="shared" si="148"/>
        <v>0</v>
      </c>
      <c r="M340" s="310">
        <f t="shared" si="148"/>
        <v>0</v>
      </c>
      <c r="N340" s="310">
        <f t="shared" si="148"/>
        <v>0</v>
      </c>
      <c r="O340" s="310">
        <f t="shared" si="148"/>
        <v>0</v>
      </c>
      <c r="P340" s="310">
        <f t="shared" si="148"/>
        <v>0</v>
      </c>
      <c r="Q340" s="310">
        <f t="shared" si="148"/>
        <v>0</v>
      </c>
      <c r="R340" s="310">
        <f t="shared" si="148"/>
        <v>0</v>
      </c>
      <c r="S340" s="310">
        <f t="shared" si="148"/>
        <v>0</v>
      </c>
      <c r="T340" s="310">
        <f t="shared" si="148"/>
        <v>0</v>
      </c>
      <c r="U340" s="310">
        <f t="shared" si="148"/>
        <v>0</v>
      </c>
      <c r="V340" s="310">
        <f t="shared" si="148"/>
        <v>0</v>
      </c>
      <c r="W340" s="310">
        <f t="shared" si="148"/>
        <v>0</v>
      </c>
      <c r="X340" s="310">
        <f t="shared" si="148"/>
        <v>0</v>
      </c>
      <c r="Y340" s="310">
        <f t="shared" si="148"/>
        <v>0</v>
      </c>
      <c r="Z340" s="310">
        <f t="shared" si="148"/>
        <v>0</v>
      </c>
      <c r="AA340" s="310"/>
      <c r="AB340" s="309" t="str">
        <f t="shared" si="144"/>
        <v>- Revision</v>
      </c>
      <c r="AC340" s="303" t="str">
        <f t="shared" si="145"/>
        <v>%</v>
      </c>
      <c r="AD340" s="303"/>
      <c r="AE340" s="303"/>
      <c r="AF340" s="310">
        <f t="shared" ref="AF340:AO340" si="149">IFERROR(ROUND( AF338 / AF337,2) - 1, 0)</f>
        <v>0</v>
      </c>
      <c r="AG340" s="310">
        <f t="shared" si="149"/>
        <v>0</v>
      </c>
      <c r="AH340" s="310">
        <f t="shared" si="149"/>
        <v>0</v>
      </c>
      <c r="AI340" s="310">
        <f t="shared" si="149"/>
        <v>0</v>
      </c>
      <c r="AJ340" s="310">
        <f t="shared" si="149"/>
        <v>0</v>
      </c>
      <c r="AK340" s="310">
        <f t="shared" si="149"/>
        <v>0</v>
      </c>
      <c r="AL340" s="310">
        <f t="shared" si="149"/>
        <v>0</v>
      </c>
      <c r="AM340" s="310">
        <f t="shared" si="149"/>
        <v>0</v>
      </c>
      <c r="AN340" s="310">
        <f t="shared" si="149"/>
        <v>0</v>
      </c>
      <c r="AO340" s="310">
        <f t="shared" si="149"/>
        <v>0</v>
      </c>
    </row>
    <row r="341" spans="2:41">
      <c r="B341" s="301" t="s">
        <v>1455</v>
      </c>
      <c r="C341" s="302" t="s">
        <v>1524</v>
      </c>
      <c r="D341" s="303" t="str">
        <f t="array" ref="D341">_xlfn.XLOOKUP($B341,$B$114:$B$212,_xlfn.XLOOKUP(D$219,$D$5:$AO$5,$D$114:$AO$212))</f>
        <v>NZ$m</v>
      </c>
      <c r="E341" s="303"/>
      <c r="F341" s="303"/>
      <c r="G341" s="304" t="e">
        <f t="array" ref="G341">_xlfn.XLOOKUP($B341,$B$114:$B$212,_xlfn.XLOOKUP(G$219,$D$5:$AO$5,$D$114:$AO$212))</f>
        <v>#REF!</v>
      </c>
      <c r="H341" s="304" t="e">
        <f t="array" ref="H341">_xlfn.XLOOKUP($B341,$B$114:$B$212,_xlfn.XLOOKUP(H$219,$D$5:$AO$5,$D$114:$AO$212))</f>
        <v>#REF!</v>
      </c>
      <c r="I341" s="304" t="e">
        <f t="array" ref="I341">_xlfn.XLOOKUP($B341,$B$114:$B$212,_xlfn.XLOOKUP(I$219,$D$5:$AO$5,$D$114:$AO$212))</f>
        <v>#REF!</v>
      </c>
      <c r="J341" s="304" t="e">
        <f t="array" ref="J341">_xlfn.XLOOKUP($B341,$B$114:$B$212,_xlfn.XLOOKUP(J$219,$D$5:$AO$5,$D$114:$AO$212))</f>
        <v>#REF!</v>
      </c>
      <c r="K341" s="304" t="e">
        <f t="array" ref="K341">_xlfn.XLOOKUP($B341,$B$114:$B$212,_xlfn.XLOOKUP(K$219,$D$5:$AO$5,$D$114:$AO$212))</f>
        <v>#REF!</v>
      </c>
      <c r="L341" s="304" t="e">
        <f t="array" ref="L341">_xlfn.XLOOKUP($B341,$B$114:$B$212,_xlfn.XLOOKUP(L$219,$D$5:$AO$5,$D$114:$AO$212))</f>
        <v>#REF!</v>
      </c>
      <c r="M341" s="304" t="e">
        <f t="array" ref="M341">_xlfn.XLOOKUP($B341,$B$114:$B$212,_xlfn.XLOOKUP(M$219,$D$5:$AO$5,$D$114:$AO$212))</f>
        <v>#REF!</v>
      </c>
      <c r="N341" s="304" t="e">
        <f t="array" ref="N341">_xlfn.XLOOKUP($B341,$B$114:$B$212,_xlfn.XLOOKUP(N$219,$D$5:$AO$5,$D$114:$AO$212))</f>
        <v>#REF!</v>
      </c>
      <c r="O341" s="304" t="e">
        <f t="array" ref="O341">_xlfn.XLOOKUP($B341,$B$114:$B$212,_xlfn.XLOOKUP(O$219,$D$5:$AO$5,$D$114:$AO$212))</f>
        <v>#REF!</v>
      </c>
      <c r="P341" s="304" t="e">
        <f t="array" ref="P341">_xlfn.XLOOKUP($B341,$B$114:$B$212,_xlfn.XLOOKUP(P$219,$D$5:$AO$5,$D$114:$AO$212))</f>
        <v>#REF!</v>
      </c>
      <c r="Q341" s="304" t="e">
        <f t="array" ref="Q341">_xlfn.XLOOKUP($B341,$B$114:$B$212,_xlfn.XLOOKUP(Q$219,$D$5:$AO$5,$D$114:$AO$212))</f>
        <v>#REF!</v>
      </c>
      <c r="R341" s="304" t="e">
        <f t="array" ref="R341">_xlfn.XLOOKUP($B341,$B$114:$B$212,_xlfn.XLOOKUP(R$219,$D$5:$AO$5,$D$114:$AO$212))</f>
        <v>#REF!</v>
      </c>
      <c r="S341" s="304" t="e">
        <f t="array" ref="S341">_xlfn.XLOOKUP($B341,$B$114:$B$212,_xlfn.XLOOKUP(S$219,$D$5:$AO$5,$D$114:$AO$212))</f>
        <v>#REF!</v>
      </c>
      <c r="T341" s="304" t="e">
        <f t="array" ref="T341">_xlfn.XLOOKUP($B341,$B$114:$B$212,_xlfn.XLOOKUP(T$219,$D$5:$AO$5,$D$114:$AO$212))</f>
        <v>#REF!</v>
      </c>
      <c r="U341" s="304" t="e">
        <f t="array" ref="U341">_xlfn.XLOOKUP($B341,$B$114:$B$212,_xlfn.XLOOKUP(U$219,$D$5:$AO$5,$D$114:$AO$212))</f>
        <v>#REF!</v>
      </c>
      <c r="V341" s="304" t="e">
        <f t="array" ref="V341">_xlfn.XLOOKUP($B341,$B$114:$B$212,_xlfn.XLOOKUP(V$219,$D$5:$AO$5,$D$114:$AO$212))</f>
        <v>#REF!</v>
      </c>
      <c r="W341" s="304" t="e">
        <f t="array" ref="W341">_xlfn.XLOOKUP($B341,$B$114:$B$212,_xlfn.XLOOKUP(W$219,$D$5:$AO$5,$D$114:$AO$212))</f>
        <v>#REF!</v>
      </c>
      <c r="X341" s="304" t="e">
        <f t="array" ref="X341">_xlfn.XLOOKUP($B341,$B$114:$B$212,_xlfn.XLOOKUP(X$219,$D$5:$AO$5,$D$114:$AO$212))</f>
        <v>#REF!</v>
      </c>
      <c r="Y341" s="304" t="e">
        <f t="array" ref="Y341">_xlfn.XLOOKUP($B341,$B$114:$B$212,_xlfn.XLOOKUP(Y$219,$D$5:$AO$5,$D$114:$AO$212))</f>
        <v>#REF!</v>
      </c>
      <c r="Z341" s="304" t="e">
        <f t="array" ref="Z341">_xlfn.XLOOKUP($B341,$B$114:$B$212,_xlfn.XLOOKUP(Z$219,$D$5:$AO$5,$D$114:$AO$212))</f>
        <v>#REF!</v>
      </c>
      <c r="AA341" s="305"/>
      <c r="AB341" s="302" t="str">
        <f t="shared" si="144"/>
        <v>Reported Revenue - old</v>
      </c>
      <c r="AC341" s="303" t="str">
        <f t="shared" si="145"/>
        <v>NZ$m</v>
      </c>
      <c r="AD341" s="303"/>
      <c r="AE341" s="303"/>
      <c r="AF341" s="304" t="e">
        <f t="array" ref="AF341">_xlfn.XLOOKUP($B341,$B$114:$B$212,_xlfn.XLOOKUP(AF$219,$D$5:$AO$5,$D$114:$AO$212))</f>
        <v>#REF!</v>
      </c>
      <c r="AG341" s="304" t="e">
        <f t="array" ref="AG341">_xlfn.XLOOKUP($B341,$B$114:$B$212,_xlfn.XLOOKUP(AG$219,$D$5:$AO$5,$D$114:$AO$212))</f>
        <v>#REF!</v>
      </c>
      <c r="AH341" s="304" t="e">
        <f t="array" ref="AH341">_xlfn.XLOOKUP($B341,$B$114:$B$212,_xlfn.XLOOKUP(AH$219,$D$5:$AO$5,$D$114:$AO$212))</f>
        <v>#REF!</v>
      </c>
      <c r="AI341" s="304" t="e">
        <f t="array" ref="AI341">_xlfn.XLOOKUP($B341,$B$114:$B$212,_xlfn.XLOOKUP(AI$219,$D$5:$AO$5,$D$114:$AO$212))</f>
        <v>#REF!</v>
      </c>
      <c r="AJ341" s="304" t="e">
        <f t="array" ref="AJ341">_xlfn.XLOOKUP($B341,$B$114:$B$212,_xlfn.XLOOKUP(AJ$219,$D$5:$AO$5,$D$114:$AO$212))</f>
        <v>#REF!</v>
      </c>
      <c r="AK341" s="304" t="e">
        <f t="array" ref="AK341">_xlfn.XLOOKUP($B341,$B$114:$B$212,_xlfn.XLOOKUP(AK$219,$D$5:$AO$5,$D$114:$AO$212))</f>
        <v>#REF!</v>
      </c>
      <c r="AL341" s="304" t="e">
        <f t="array" ref="AL341">_xlfn.XLOOKUP($B341,$B$114:$B$212,_xlfn.XLOOKUP(AL$219,$D$5:$AO$5,$D$114:$AO$212))</f>
        <v>#REF!</v>
      </c>
      <c r="AM341" s="304" t="e">
        <f t="array" ref="AM341">_xlfn.XLOOKUP($B341,$B$114:$B$212,_xlfn.XLOOKUP(AM$219,$D$5:$AO$5,$D$114:$AO$212))</f>
        <v>#REF!</v>
      </c>
      <c r="AN341" s="304" t="e">
        <f t="array" ref="AN341">_xlfn.XLOOKUP($B341,$B$114:$B$212,_xlfn.XLOOKUP(AN$219,$D$5:$AO$5,$D$114:$AO$212))</f>
        <v>#REF!</v>
      </c>
      <c r="AO341" s="304" t="e">
        <f t="array" ref="AO341">_xlfn.XLOOKUP($B341,$B$114:$B$212,_xlfn.XLOOKUP(AO$219,$D$5:$AO$5,$D$114:$AO$212))</f>
        <v>#REF!</v>
      </c>
    </row>
    <row r="342" spans="2:41">
      <c r="B342" s="301" t="s">
        <v>1455</v>
      </c>
      <c r="C342" s="306" t="s">
        <v>1525</v>
      </c>
      <c r="D342" s="307" t="str">
        <f t="array" ref="D342">_xlfn.XLOOKUP($B342,$B$11:$B$109,_xlfn.XLOOKUP(D$219,$D$5:$AO$5,$D$11:$AO$109))</f>
        <v>NZ$m</v>
      </c>
      <c r="E342" s="307"/>
      <c r="F342" s="307"/>
      <c r="G342" s="308" t="e">
        <f t="array" ref="G342">_xlfn.XLOOKUP($B342,$B$11:$B$109,_xlfn.XLOOKUP(G$219,$D$5:$AO$5,$D$11:$AO$109))</f>
        <v>#REF!</v>
      </c>
      <c r="H342" s="308" t="e">
        <f t="array" ref="H342">_xlfn.XLOOKUP($B342,$B$11:$B$109,_xlfn.XLOOKUP(H$219,$D$5:$AO$5,$D$11:$AO$109))</f>
        <v>#REF!</v>
      </c>
      <c r="I342" s="308" t="e">
        <f t="array" ref="I342">_xlfn.XLOOKUP($B342,$B$11:$B$109,_xlfn.XLOOKUP(I$219,$D$5:$AO$5,$D$11:$AO$109))</f>
        <v>#REF!</v>
      </c>
      <c r="J342" s="308" t="e">
        <f t="array" ref="J342">_xlfn.XLOOKUP($B342,$B$11:$B$109,_xlfn.XLOOKUP(J$219,$D$5:$AO$5,$D$11:$AO$109))</f>
        <v>#REF!</v>
      </c>
      <c r="K342" s="308" t="e">
        <f t="array" ref="K342">_xlfn.XLOOKUP($B342,$B$11:$B$109,_xlfn.XLOOKUP(K$219,$D$5:$AO$5,$D$11:$AO$109))</f>
        <v>#REF!</v>
      </c>
      <c r="L342" s="308" t="e">
        <f t="array" ref="L342">_xlfn.XLOOKUP($B342,$B$11:$B$109,_xlfn.XLOOKUP(L$219,$D$5:$AO$5,$D$11:$AO$109))</f>
        <v>#REF!</v>
      </c>
      <c r="M342" s="308" t="e">
        <f t="array" ref="M342">_xlfn.XLOOKUP($B342,$B$11:$B$109,_xlfn.XLOOKUP(M$219,$D$5:$AO$5,$D$11:$AO$109))</f>
        <v>#REF!</v>
      </c>
      <c r="N342" s="308" t="e">
        <f t="array" ref="N342">_xlfn.XLOOKUP($B342,$B$11:$B$109,_xlfn.XLOOKUP(N$219,$D$5:$AO$5,$D$11:$AO$109))</f>
        <v>#REF!</v>
      </c>
      <c r="O342" s="308" t="e">
        <f t="array" ref="O342">_xlfn.XLOOKUP($B342,$B$11:$B$109,_xlfn.XLOOKUP(O$219,$D$5:$AO$5,$D$11:$AO$109))</f>
        <v>#REF!</v>
      </c>
      <c r="P342" s="308" t="e">
        <f t="array" ref="P342">_xlfn.XLOOKUP($B342,$B$11:$B$109,_xlfn.XLOOKUP(P$219,$D$5:$AO$5,$D$11:$AO$109))</f>
        <v>#REF!</v>
      </c>
      <c r="Q342" s="308" t="e">
        <f t="array" ref="Q342">_xlfn.XLOOKUP($B342,$B$11:$B$109,_xlfn.XLOOKUP(Q$219,$D$5:$AO$5,$D$11:$AO$109))</f>
        <v>#REF!</v>
      </c>
      <c r="R342" s="308" t="e">
        <f t="array" ref="R342">_xlfn.XLOOKUP($B342,$B$11:$B$109,_xlfn.XLOOKUP(R$219,$D$5:$AO$5,$D$11:$AO$109))</f>
        <v>#REF!</v>
      </c>
      <c r="S342" s="308" t="e">
        <f t="array" ref="S342">_xlfn.XLOOKUP($B342,$B$11:$B$109,_xlfn.XLOOKUP(S$219,$D$5:$AO$5,$D$11:$AO$109))</f>
        <v>#REF!</v>
      </c>
      <c r="T342" s="308" t="e">
        <f t="array" ref="T342">_xlfn.XLOOKUP($B342,$B$11:$B$109,_xlfn.XLOOKUP(T$219,$D$5:$AO$5,$D$11:$AO$109))</f>
        <v>#REF!</v>
      </c>
      <c r="U342" s="308" t="e">
        <f t="array" ref="U342">_xlfn.XLOOKUP($B342,$B$11:$B$109,_xlfn.XLOOKUP(U$219,$D$5:$AO$5,$D$11:$AO$109))</f>
        <v>#REF!</v>
      </c>
      <c r="V342" s="308" t="e">
        <f t="array" ref="V342">_xlfn.XLOOKUP($B342,$B$11:$B$109,_xlfn.XLOOKUP(V$219,$D$5:$AO$5,$D$11:$AO$109))</f>
        <v>#REF!</v>
      </c>
      <c r="W342" s="308" t="e">
        <f t="array" ref="W342">_xlfn.XLOOKUP($B342,$B$11:$B$109,_xlfn.XLOOKUP(W$219,$D$5:$AO$5,$D$11:$AO$109))</f>
        <v>#REF!</v>
      </c>
      <c r="X342" s="308" t="e">
        <f t="array" ref="X342">_xlfn.XLOOKUP($B342,$B$11:$B$109,_xlfn.XLOOKUP(X$219,$D$5:$AO$5,$D$11:$AO$109))</f>
        <v>#REF!</v>
      </c>
      <c r="Y342" s="308" t="e">
        <f t="array" ref="Y342">_xlfn.XLOOKUP($B342,$B$11:$B$109,_xlfn.XLOOKUP(Y$219,$D$5:$AO$5,$D$11:$AO$109))</f>
        <v>#REF!</v>
      </c>
      <c r="Z342" s="308" t="e">
        <f t="array" ref="Z342">_xlfn.XLOOKUP($B342,$B$11:$B$109,_xlfn.XLOOKUP(Z$219,$D$5:$AO$5,$D$11:$AO$109))</f>
        <v>#REF!</v>
      </c>
      <c r="AA342" s="308"/>
      <c r="AB342" s="306" t="str">
        <f t="shared" si="144"/>
        <v>Reported Revenue - New</v>
      </c>
      <c r="AC342" s="307" t="str">
        <f t="shared" si="145"/>
        <v>NZ$m</v>
      </c>
      <c r="AD342" s="307"/>
      <c r="AE342" s="307"/>
      <c r="AF342" s="308" t="e">
        <f t="array" ref="AF342">_xlfn.XLOOKUP($B342,$B$11:$B$109,_xlfn.XLOOKUP(AF$219,$D$5:$AO$5,$D$11:$AO$109))</f>
        <v>#REF!</v>
      </c>
      <c r="AG342" s="308" t="e">
        <f t="array" ref="AG342">_xlfn.XLOOKUP($B342,$B$11:$B$109,_xlfn.XLOOKUP(AG$219,$D$5:$AO$5,$D$11:$AO$109))</f>
        <v>#REF!</v>
      </c>
      <c r="AH342" s="308" t="e">
        <f t="array" ref="AH342">_xlfn.XLOOKUP($B342,$B$11:$B$109,_xlfn.XLOOKUP(AH$219,$D$5:$AO$5,$D$11:$AO$109))</f>
        <v>#REF!</v>
      </c>
      <c r="AI342" s="308" t="e">
        <f t="array" ref="AI342">_xlfn.XLOOKUP($B342,$B$11:$B$109,_xlfn.XLOOKUP(AI$219,$D$5:$AO$5,$D$11:$AO$109))</f>
        <v>#REF!</v>
      </c>
      <c r="AJ342" s="308" t="e">
        <f t="array" ref="AJ342">_xlfn.XLOOKUP($B342,$B$11:$B$109,_xlfn.XLOOKUP(AJ$219,$D$5:$AO$5,$D$11:$AO$109))</f>
        <v>#REF!</v>
      </c>
      <c r="AK342" s="308" t="e">
        <f t="array" ref="AK342">_xlfn.XLOOKUP($B342,$B$11:$B$109,_xlfn.XLOOKUP(AK$219,$D$5:$AO$5,$D$11:$AO$109))</f>
        <v>#REF!</v>
      </c>
      <c r="AL342" s="308" t="e">
        <f t="array" ref="AL342">_xlfn.XLOOKUP($B342,$B$11:$B$109,_xlfn.XLOOKUP(AL$219,$D$5:$AO$5,$D$11:$AO$109))</f>
        <v>#REF!</v>
      </c>
      <c r="AM342" s="308" t="e">
        <f t="array" ref="AM342">_xlfn.XLOOKUP($B342,$B$11:$B$109,_xlfn.XLOOKUP(AM$219,$D$5:$AO$5,$D$11:$AO$109))</f>
        <v>#REF!</v>
      </c>
      <c r="AN342" s="308" t="e">
        <f t="array" ref="AN342">_xlfn.XLOOKUP($B342,$B$11:$B$109,_xlfn.XLOOKUP(AN$219,$D$5:$AO$5,$D$11:$AO$109))</f>
        <v>#REF!</v>
      </c>
      <c r="AO342" s="308" t="e">
        <f t="array" ref="AO342">_xlfn.XLOOKUP($B342,$B$11:$B$109,_xlfn.XLOOKUP(AO$219,$D$5:$AO$5,$D$11:$AO$109))</f>
        <v>#REF!</v>
      </c>
    </row>
    <row r="343" spans="2:41" hidden="1" outlineLevel="1">
      <c r="B343" s="301"/>
      <c r="C343" s="309" t="s">
        <v>1510</v>
      </c>
      <c r="D343" s="303" t="s">
        <v>88</v>
      </c>
      <c r="E343" s="303"/>
      <c r="F343" s="303"/>
      <c r="G343" s="310" t="s">
        <v>967</v>
      </c>
      <c r="H343" s="310" t="s">
        <v>967</v>
      </c>
      <c r="I343" s="310" t="e">
        <f t="shared" ref="I343:Z343" si="150">I342/G342-1</f>
        <v>#REF!</v>
      </c>
      <c r="J343" s="310" t="e">
        <f t="shared" si="150"/>
        <v>#REF!</v>
      </c>
      <c r="K343" s="310" t="e">
        <f t="shared" si="150"/>
        <v>#REF!</v>
      </c>
      <c r="L343" s="310" t="e">
        <f t="shared" si="150"/>
        <v>#REF!</v>
      </c>
      <c r="M343" s="310" t="e">
        <f t="shared" si="150"/>
        <v>#REF!</v>
      </c>
      <c r="N343" s="310" t="e">
        <f t="shared" si="150"/>
        <v>#REF!</v>
      </c>
      <c r="O343" s="310" t="e">
        <f t="shared" si="150"/>
        <v>#REF!</v>
      </c>
      <c r="P343" s="310" t="e">
        <f t="shared" si="150"/>
        <v>#REF!</v>
      </c>
      <c r="Q343" s="310" t="e">
        <f t="shared" si="150"/>
        <v>#REF!</v>
      </c>
      <c r="R343" s="310" t="e">
        <f t="shared" si="150"/>
        <v>#REF!</v>
      </c>
      <c r="S343" s="310" t="e">
        <f t="shared" si="150"/>
        <v>#REF!</v>
      </c>
      <c r="T343" s="310" t="e">
        <f t="shared" si="150"/>
        <v>#REF!</v>
      </c>
      <c r="U343" s="310" t="e">
        <f t="shared" si="150"/>
        <v>#REF!</v>
      </c>
      <c r="V343" s="310" t="e">
        <f t="shared" si="150"/>
        <v>#REF!</v>
      </c>
      <c r="W343" s="310" t="e">
        <f t="shared" si="150"/>
        <v>#REF!</v>
      </c>
      <c r="X343" s="310" t="e">
        <f t="shared" si="150"/>
        <v>#REF!</v>
      </c>
      <c r="Y343" s="310" t="e">
        <f t="shared" si="150"/>
        <v>#REF!</v>
      </c>
      <c r="Z343" s="310" t="e">
        <f t="shared" si="150"/>
        <v>#REF!</v>
      </c>
      <c r="AA343" s="311"/>
      <c r="AB343" s="309" t="str">
        <f t="shared" si="144"/>
        <v>- Growth</v>
      </c>
      <c r="AC343" s="303" t="str">
        <f t="shared" si="145"/>
        <v>%</v>
      </c>
      <c r="AD343" s="303"/>
      <c r="AE343" s="303"/>
      <c r="AF343" s="310" t="s">
        <v>967</v>
      </c>
      <c r="AG343" s="310" t="e">
        <f t="shared" ref="AG343:AO343" si="151">AG342/AF342-1</f>
        <v>#REF!</v>
      </c>
      <c r="AH343" s="310" t="e">
        <f t="shared" si="151"/>
        <v>#REF!</v>
      </c>
      <c r="AI343" s="310" t="e">
        <f t="shared" si="151"/>
        <v>#REF!</v>
      </c>
      <c r="AJ343" s="310" t="e">
        <f t="shared" si="151"/>
        <v>#REF!</v>
      </c>
      <c r="AK343" s="310" t="e">
        <f t="shared" si="151"/>
        <v>#REF!</v>
      </c>
      <c r="AL343" s="310" t="e">
        <f t="shared" si="151"/>
        <v>#REF!</v>
      </c>
      <c r="AM343" s="310" t="e">
        <f t="shared" si="151"/>
        <v>#REF!</v>
      </c>
      <c r="AN343" s="310" t="e">
        <f t="shared" si="151"/>
        <v>#REF!</v>
      </c>
      <c r="AO343" s="310" t="e">
        <f t="shared" si="151"/>
        <v>#REF!</v>
      </c>
    </row>
    <row r="344" spans="2:41" collapsed="1">
      <c r="B344" s="301"/>
      <c r="C344" s="309" t="s">
        <v>1511</v>
      </c>
      <c r="D344" s="303" t="s">
        <v>88</v>
      </c>
      <c r="E344" s="303"/>
      <c r="F344" s="303"/>
      <c r="G344" s="310">
        <f t="shared" ref="G344:Z344" si="152">IFERROR(ROUND( G342 / G341,2) - 1, 0)</f>
        <v>0</v>
      </c>
      <c r="H344" s="310">
        <f t="shared" si="152"/>
        <v>0</v>
      </c>
      <c r="I344" s="310">
        <f t="shared" si="152"/>
        <v>0</v>
      </c>
      <c r="J344" s="310">
        <f t="shared" si="152"/>
        <v>0</v>
      </c>
      <c r="K344" s="310">
        <f t="shared" si="152"/>
        <v>0</v>
      </c>
      <c r="L344" s="310">
        <f t="shared" si="152"/>
        <v>0</v>
      </c>
      <c r="M344" s="310">
        <f t="shared" si="152"/>
        <v>0</v>
      </c>
      <c r="N344" s="310">
        <f t="shared" si="152"/>
        <v>0</v>
      </c>
      <c r="O344" s="310">
        <f t="shared" si="152"/>
        <v>0</v>
      </c>
      <c r="P344" s="310">
        <f t="shared" si="152"/>
        <v>0</v>
      </c>
      <c r="Q344" s="310">
        <f t="shared" si="152"/>
        <v>0</v>
      </c>
      <c r="R344" s="310">
        <f t="shared" si="152"/>
        <v>0</v>
      </c>
      <c r="S344" s="310">
        <f t="shared" si="152"/>
        <v>0</v>
      </c>
      <c r="T344" s="310">
        <f t="shared" si="152"/>
        <v>0</v>
      </c>
      <c r="U344" s="310">
        <f t="shared" si="152"/>
        <v>0</v>
      </c>
      <c r="V344" s="310">
        <f t="shared" si="152"/>
        <v>0</v>
      </c>
      <c r="W344" s="310">
        <f t="shared" si="152"/>
        <v>0</v>
      </c>
      <c r="X344" s="310">
        <f t="shared" si="152"/>
        <v>0</v>
      </c>
      <c r="Y344" s="310">
        <f t="shared" si="152"/>
        <v>0</v>
      </c>
      <c r="Z344" s="310">
        <f t="shared" si="152"/>
        <v>0</v>
      </c>
      <c r="AA344" s="310"/>
      <c r="AB344" s="309" t="str">
        <f t="shared" si="144"/>
        <v>- Revision</v>
      </c>
      <c r="AC344" s="303" t="str">
        <f t="shared" si="145"/>
        <v>%</v>
      </c>
      <c r="AD344" s="303"/>
      <c r="AE344" s="303"/>
      <c r="AF344" s="310">
        <f t="shared" ref="AF344:AO344" si="153">IFERROR(ROUND( AF342 / AF341,2) - 1, 0)</f>
        <v>0</v>
      </c>
      <c r="AG344" s="310">
        <f t="shared" si="153"/>
        <v>0</v>
      </c>
      <c r="AH344" s="310">
        <f t="shared" si="153"/>
        <v>0</v>
      </c>
      <c r="AI344" s="310">
        <f t="shared" si="153"/>
        <v>0</v>
      </c>
      <c r="AJ344" s="310">
        <f t="shared" si="153"/>
        <v>0</v>
      </c>
      <c r="AK344" s="310">
        <f t="shared" si="153"/>
        <v>0</v>
      </c>
      <c r="AL344" s="310">
        <f t="shared" si="153"/>
        <v>0</v>
      </c>
      <c r="AM344" s="310">
        <f t="shared" si="153"/>
        <v>0</v>
      </c>
      <c r="AN344" s="310">
        <f t="shared" si="153"/>
        <v>0</v>
      </c>
      <c r="AO344" s="310">
        <f t="shared" si="153"/>
        <v>0</v>
      </c>
    </row>
    <row r="345" spans="2:41">
      <c r="B345" s="301" t="s">
        <v>1456</v>
      </c>
      <c r="C345" s="302" t="s">
        <v>1526</v>
      </c>
      <c r="D345" s="303" t="str">
        <f t="array" ref="D345">_xlfn.XLOOKUP($B345,$B$114:$B$212,_xlfn.XLOOKUP(D$219,$D$5:$AO$5,$D$114:$AO$212))</f>
        <v>NZ$m</v>
      </c>
      <c r="E345" s="303"/>
      <c r="F345" s="303"/>
      <c r="G345" s="304" t="e">
        <f t="array" ref="G345">_xlfn.XLOOKUP($B345,$B$114:$B$212,_xlfn.XLOOKUP(G$219,$D$5:$AO$5,$D$114:$AO$212))</f>
        <v>#REF!</v>
      </c>
      <c r="H345" s="304" t="e">
        <f t="array" ref="H345">_xlfn.XLOOKUP($B345,$B$114:$B$212,_xlfn.XLOOKUP(H$219,$D$5:$AO$5,$D$114:$AO$212))</f>
        <v>#REF!</v>
      </c>
      <c r="I345" s="304" t="e">
        <f t="array" ref="I345">_xlfn.XLOOKUP($B345,$B$114:$B$212,_xlfn.XLOOKUP(I$219,$D$5:$AO$5,$D$114:$AO$212))</f>
        <v>#REF!</v>
      </c>
      <c r="J345" s="304" t="e">
        <f t="array" ref="J345">_xlfn.XLOOKUP($B345,$B$114:$B$212,_xlfn.XLOOKUP(J$219,$D$5:$AO$5,$D$114:$AO$212))</f>
        <v>#REF!</v>
      </c>
      <c r="K345" s="304" t="e">
        <f t="array" ref="K345">_xlfn.XLOOKUP($B345,$B$114:$B$212,_xlfn.XLOOKUP(K$219,$D$5:$AO$5,$D$114:$AO$212))</f>
        <v>#REF!</v>
      </c>
      <c r="L345" s="304" t="e">
        <f t="array" ref="L345">_xlfn.XLOOKUP($B345,$B$114:$B$212,_xlfn.XLOOKUP(L$219,$D$5:$AO$5,$D$114:$AO$212))</f>
        <v>#REF!</v>
      </c>
      <c r="M345" s="304" t="e">
        <f t="array" ref="M345">_xlfn.XLOOKUP($B345,$B$114:$B$212,_xlfn.XLOOKUP(M$219,$D$5:$AO$5,$D$114:$AO$212))</f>
        <v>#REF!</v>
      </c>
      <c r="N345" s="304" t="e">
        <f t="array" ref="N345">_xlfn.XLOOKUP($B345,$B$114:$B$212,_xlfn.XLOOKUP(N$219,$D$5:$AO$5,$D$114:$AO$212))</f>
        <v>#REF!</v>
      </c>
      <c r="O345" s="304" t="e">
        <f t="array" ref="O345">_xlfn.XLOOKUP($B345,$B$114:$B$212,_xlfn.XLOOKUP(O$219,$D$5:$AO$5,$D$114:$AO$212))</f>
        <v>#REF!</v>
      </c>
      <c r="P345" s="304" t="e">
        <f t="array" ref="P345">_xlfn.XLOOKUP($B345,$B$114:$B$212,_xlfn.XLOOKUP(P$219,$D$5:$AO$5,$D$114:$AO$212))</f>
        <v>#REF!</v>
      </c>
      <c r="Q345" s="304" t="e">
        <f t="array" ref="Q345">_xlfn.XLOOKUP($B345,$B$114:$B$212,_xlfn.XLOOKUP(Q$219,$D$5:$AO$5,$D$114:$AO$212))</f>
        <v>#REF!</v>
      </c>
      <c r="R345" s="304" t="e">
        <f t="array" ref="R345">_xlfn.XLOOKUP($B345,$B$114:$B$212,_xlfn.XLOOKUP(R$219,$D$5:$AO$5,$D$114:$AO$212))</f>
        <v>#REF!</v>
      </c>
      <c r="S345" s="304" t="e">
        <f t="array" ref="S345">_xlfn.XLOOKUP($B345,$B$114:$B$212,_xlfn.XLOOKUP(S$219,$D$5:$AO$5,$D$114:$AO$212))</f>
        <v>#REF!</v>
      </c>
      <c r="T345" s="304" t="e">
        <f t="array" ref="T345">_xlfn.XLOOKUP($B345,$B$114:$B$212,_xlfn.XLOOKUP(T$219,$D$5:$AO$5,$D$114:$AO$212))</f>
        <v>#REF!</v>
      </c>
      <c r="U345" s="304" t="e">
        <f t="array" ref="U345">_xlfn.XLOOKUP($B345,$B$114:$B$212,_xlfn.XLOOKUP(U$219,$D$5:$AO$5,$D$114:$AO$212))</f>
        <v>#REF!</v>
      </c>
      <c r="V345" s="304" t="e">
        <f t="array" ref="V345">_xlfn.XLOOKUP($B345,$B$114:$B$212,_xlfn.XLOOKUP(V$219,$D$5:$AO$5,$D$114:$AO$212))</f>
        <v>#REF!</v>
      </c>
      <c r="W345" s="304" t="e">
        <f t="array" ref="W345">_xlfn.XLOOKUP($B345,$B$114:$B$212,_xlfn.XLOOKUP(W$219,$D$5:$AO$5,$D$114:$AO$212))</f>
        <v>#REF!</v>
      </c>
      <c r="X345" s="304" t="e">
        <f t="array" ref="X345">_xlfn.XLOOKUP($B345,$B$114:$B$212,_xlfn.XLOOKUP(X$219,$D$5:$AO$5,$D$114:$AO$212))</f>
        <v>#REF!</v>
      </c>
      <c r="Y345" s="304" t="e">
        <f t="array" ref="Y345">_xlfn.XLOOKUP($B345,$B$114:$B$212,_xlfn.XLOOKUP(Y$219,$D$5:$AO$5,$D$114:$AO$212))</f>
        <v>#REF!</v>
      </c>
      <c r="Z345" s="304" t="e">
        <f t="array" ref="Z345">_xlfn.XLOOKUP($B345,$B$114:$B$212,_xlfn.XLOOKUP(Z$219,$D$5:$AO$5,$D$114:$AO$212))</f>
        <v>#REF!</v>
      </c>
      <c r="AA345" s="305"/>
      <c r="AB345" s="302" t="str">
        <f t="shared" si="144"/>
        <v>Normalised Revenue - old</v>
      </c>
      <c r="AC345" s="303" t="str">
        <f t="shared" si="145"/>
        <v>NZ$m</v>
      </c>
      <c r="AD345" s="303"/>
      <c r="AE345" s="303"/>
      <c r="AF345" s="304" t="e">
        <f t="array" ref="AF345">_xlfn.XLOOKUP($B345,$B$114:$B$212,_xlfn.XLOOKUP(AF$219,$D$5:$AO$5,$D$114:$AO$212))</f>
        <v>#REF!</v>
      </c>
      <c r="AG345" s="304" t="e">
        <f t="array" ref="AG345">_xlfn.XLOOKUP($B345,$B$114:$B$212,_xlfn.XLOOKUP(AG$219,$D$5:$AO$5,$D$114:$AO$212))</f>
        <v>#REF!</v>
      </c>
      <c r="AH345" s="304" t="e">
        <f t="array" ref="AH345">_xlfn.XLOOKUP($B345,$B$114:$B$212,_xlfn.XLOOKUP(AH$219,$D$5:$AO$5,$D$114:$AO$212))</f>
        <v>#REF!</v>
      </c>
      <c r="AI345" s="304" t="e">
        <f t="array" ref="AI345">_xlfn.XLOOKUP($B345,$B$114:$B$212,_xlfn.XLOOKUP(AI$219,$D$5:$AO$5,$D$114:$AO$212))</f>
        <v>#REF!</v>
      </c>
      <c r="AJ345" s="304" t="e">
        <f t="array" ref="AJ345">_xlfn.XLOOKUP($B345,$B$114:$B$212,_xlfn.XLOOKUP(AJ$219,$D$5:$AO$5,$D$114:$AO$212))</f>
        <v>#REF!</v>
      </c>
      <c r="AK345" s="304" t="e">
        <f t="array" ref="AK345">_xlfn.XLOOKUP($B345,$B$114:$B$212,_xlfn.XLOOKUP(AK$219,$D$5:$AO$5,$D$114:$AO$212))</f>
        <v>#REF!</v>
      </c>
      <c r="AL345" s="304" t="e">
        <f t="array" ref="AL345">_xlfn.XLOOKUP($B345,$B$114:$B$212,_xlfn.XLOOKUP(AL$219,$D$5:$AO$5,$D$114:$AO$212))</f>
        <v>#REF!</v>
      </c>
      <c r="AM345" s="304" t="e">
        <f t="array" ref="AM345">_xlfn.XLOOKUP($B345,$B$114:$B$212,_xlfn.XLOOKUP(AM$219,$D$5:$AO$5,$D$114:$AO$212))</f>
        <v>#REF!</v>
      </c>
      <c r="AN345" s="304" t="e">
        <f t="array" ref="AN345">_xlfn.XLOOKUP($B345,$B$114:$B$212,_xlfn.XLOOKUP(AN$219,$D$5:$AO$5,$D$114:$AO$212))</f>
        <v>#REF!</v>
      </c>
      <c r="AO345" s="304" t="e">
        <f t="array" ref="AO345">_xlfn.XLOOKUP($B345,$B$114:$B$212,_xlfn.XLOOKUP(AO$219,$D$5:$AO$5,$D$114:$AO$212))</f>
        <v>#REF!</v>
      </c>
    </row>
    <row r="346" spans="2:41">
      <c r="B346" s="301" t="s">
        <v>1456</v>
      </c>
      <c r="C346" s="318" t="s">
        <v>1527</v>
      </c>
      <c r="D346" s="307" t="str">
        <f t="array" ref="D346">_xlfn.XLOOKUP($B346,$B$11:$B$109,_xlfn.XLOOKUP(D$219,$D$5:$AO$5,$D$11:$AO$109))</f>
        <v>NZ$m</v>
      </c>
      <c r="E346" s="307"/>
      <c r="F346" s="307"/>
      <c r="G346" s="308" t="e">
        <f t="array" ref="G346">_xlfn.XLOOKUP($B346,$B$11:$B$109,_xlfn.XLOOKUP(G$219,$D$5:$AO$5,$D$11:$AO$109))</f>
        <v>#REF!</v>
      </c>
      <c r="H346" s="308" t="e">
        <f t="array" ref="H346">_xlfn.XLOOKUP($B346,$B$11:$B$109,_xlfn.XLOOKUP(H$219,$D$5:$AO$5,$D$11:$AO$109))</f>
        <v>#REF!</v>
      </c>
      <c r="I346" s="308" t="e">
        <f t="array" ref="I346">_xlfn.XLOOKUP($B346,$B$11:$B$109,_xlfn.XLOOKUP(I$219,$D$5:$AO$5,$D$11:$AO$109))</f>
        <v>#REF!</v>
      </c>
      <c r="J346" s="308" t="e">
        <f t="array" ref="J346">_xlfn.XLOOKUP($B346,$B$11:$B$109,_xlfn.XLOOKUP(J$219,$D$5:$AO$5,$D$11:$AO$109))</f>
        <v>#REF!</v>
      </c>
      <c r="K346" s="308" t="e">
        <f t="array" ref="K346">_xlfn.XLOOKUP($B346,$B$11:$B$109,_xlfn.XLOOKUP(K$219,$D$5:$AO$5,$D$11:$AO$109))</f>
        <v>#REF!</v>
      </c>
      <c r="L346" s="308" t="e">
        <f t="array" ref="L346">_xlfn.XLOOKUP($B346,$B$11:$B$109,_xlfn.XLOOKUP(L$219,$D$5:$AO$5,$D$11:$AO$109))</f>
        <v>#REF!</v>
      </c>
      <c r="M346" s="308" t="e">
        <f t="array" ref="M346">_xlfn.XLOOKUP($B346,$B$11:$B$109,_xlfn.XLOOKUP(M$219,$D$5:$AO$5,$D$11:$AO$109))</f>
        <v>#REF!</v>
      </c>
      <c r="N346" s="308" t="e">
        <f t="array" ref="N346">_xlfn.XLOOKUP($B346,$B$11:$B$109,_xlfn.XLOOKUP(N$219,$D$5:$AO$5,$D$11:$AO$109))</f>
        <v>#REF!</v>
      </c>
      <c r="O346" s="308" t="e">
        <f t="array" ref="O346">_xlfn.XLOOKUP($B346,$B$11:$B$109,_xlfn.XLOOKUP(O$219,$D$5:$AO$5,$D$11:$AO$109))</f>
        <v>#REF!</v>
      </c>
      <c r="P346" s="308" t="e">
        <f t="array" ref="P346">_xlfn.XLOOKUP($B346,$B$11:$B$109,_xlfn.XLOOKUP(P$219,$D$5:$AO$5,$D$11:$AO$109))</f>
        <v>#REF!</v>
      </c>
      <c r="Q346" s="308" t="e">
        <f t="array" ref="Q346">_xlfn.XLOOKUP($B346,$B$11:$B$109,_xlfn.XLOOKUP(Q$219,$D$5:$AO$5,$D$11:$AO$109))</f>
        <v>#REF!</v>
      </c>
      <c r="R346" s="308" t="e">
        <f t="array" ref="R346">_xlfn.XLOOKUP($B346,$B$11:$B$109,_xlfn.XLOOKUP(R$219,$D$5:$AO$5,$D$11:$AO$109))</f>
        <v>#REF!</v>
      </c>
      <c r="S346" s="308" t="e">
        <f t="array" ref="S346">_xlfn.XLOOKUP($B346,$B$11:$B$109,_xlfn.XLOOKUP(S$219,$D$5:$AO$5,$D$11:$AO$109))</f>
        <v>#REF!</v>
      </c>
      <c r="T346" s="308" t="e">
        <f t="array" ref="T346">_xlfn.XLOOKUP($B346,$B$11:$B$109,_xlfn.XLOOKUP(T$219,$D$5:$AO$5,$D$11:$AO$109))</f>
        <v>#REF!</v>
      </c>
      <c r="U346" s="308" t="e">
        <f t="array" ref="U346">_xlfn.XLOOKUP($B346,$B$11:$B$109,_xlfn.XLOOKUP(U$219,$D$5:$AO$5,$D$11:$AO$109))</f>
        <v>#REF!</v>
      </c>
      <c r="V346" s="308" t="e">
        <f t="array" ref="V346">_xlfn.XLOOKUP($B346,$B$11:$B$109,_xlfn.XLOOKUP(V$219,$D$5:$AO$5,$D$11:$AO$109))</f>
        <v>#REF!</v>
      </c>
      <c r="W346" s="308" t="e">
        <f t="array" ref="W346">_xlfn.XLOOKUP($B346,$B$11:$B$109,_xlfn.XLOOKUP(W$219,$D$5:$AO$5,$D$11:$AO$109))</f>
        <v>#REF!</v>
      </c>
      <c r="X346" s="308" t="e">
        <f t="array" ref="X346">_xlfn.XLOOKUP($B346,$B$11:$B$109,_xlfn.XLOOKUP(X$219,$D$5:$AO$5,$D$11:$AO$109))</f>
        <v>#REF!</v>
      </c>
      <c r="Y346" s="308" t="e">
        <f t="array" ref="Y346">_xlfn.XLOOKUP($B346,$B$11:$B$109,_xlfn.XLOOKUP(Y$219,$D$5:$AO$5,$D$11:$AO$109))</f>
        <v>#REF!</v>
      </c>
      <c r="Z346" s="308" t="e">
        <f t="array" ref="Z346">_xlfn.XLOOKUP($B346,$B$11:$B$109,_xlfn.XLOOKUP(Z$219,$D$5:$AO$5,$D$11:$AO$109))</f>
        <v>#REF!</v>
      </c>
      <c r="AA346" s="308"/>
      <c r="AB346" s="306" t="str">
        <f t="shared" si="144"/>
        <v>Normalised Revenue - New</v>
      </c>
      <c r="AC346" s="307" t="str">
        <f t="shared" si="145"/>
        <v>NZ$m</v>
      </c>
      <c r="AD346" s="307"/>
      <c r="AE346" s="307"/>
      <c r="AF346" s="308" t="e">
        <f t="array" ref="AF346">_xlfn.XLOOKUP($B346,$B$11:$B$109,_xlfn.XLOOKUP(AF$219,$D$5:$AO$5,$D$11:$AO$109))</f>
        <v>#REF!</v>
      </c>
      <c r="AG346" s="308" t="e">
        <f t="array" ref="AG346">_xlfn.XLOOKUP($B346,$B$11:$B$109,_xlfn.XLOOKUP(AG$219,$D$5:$AO$5,$D$11:$AO$109))</f>
        <v>#REF!</v>
      </c>
      <c r="AH346" s="308" t="e">
        <f t="array" ref="AH346">_xlfn.XLOOKUP($B346,$B$11:$B$109,_xlfn.XLOOKUP(AH$219,$D$5:$AO$5,$D$11:$AO$109))</f>
        <v>#REF!</v>
      </c>
      <c r="AI346" s="308" t="e">
        <f t="array" ref="AI346">_xlfn.XLOOKUP($B346,$B$11:$B$109,_xlfn.XLOOKUP(AI$219,$D$5:$AO$5,$D$11:$AO$109))</f>
        <v>#REF!</v>
      </c>
      <c r="AJ346" s="308" t="e">
        <f t="array" ref="AJ346">_xlfn.XLOOKUP($B346,$B$11:$B$109,_xlfn.XLOOKUP(AJ$219,$D$5:$AO$5,$D$11:$AO$109))</f>
        <v>#REF!</v>
      </c>
      <c r="AK346" s="308" t="e">
        <f t="array" ref="AK346">_xlfn.XLOOKUP($B346,$B$11:$B$109,_xlfn.XLOOKUP(AK$219,$D$5:$AO$5,$D$11:$AO$109))</f>
        <v>#REF!</v>
      </c>
      <c r="AL346" s="308" t="e">
        <f t="array" ref="AL346">_xlfn.XLOOKUP($B346,$B$11:$B$109,_xlfn.XLOOKUP(AL$219,$D$5:$AO$5,$D$11:$AO$109))</f>
        <v>#REF!</v>
      </c>
      <c r="AM346" s="308" t="e">
        <f t="array" ref="AM346">_xlfn.XLOOKUP($B346,$B$11:$B$109,_xlfn.XLOOKUP(AM$219,$D$5:$AO$5,$D$11:$AO$109))</f>
        <v>#REF!</v>
      </c>
      <c r="AN346" s="308" t="e">
        <f t="array" ref="AN346">_xlfn.XLOOKUP($B346,$B$11:$B$109,_xlfn.XLOOKUP(AN$219,$D$5:$AO$5,$D$11:$AO$109))</f>
        <v>#REF!</v>
      </c>
      <c r="AO346" s="308" t="e">
        <f t="array" ref="AO346">_xlfn.XLOOKUP($B346,$B$11:$B$109,_xlfn.XLOOKUP(AO$219,$D$5:$AO$5,$D$11:$AO$109))</f>
        <v>#REF!</v>
      </c>
    </row>
    <row r="347" spans="2:41" hidden="1" outlineLevel="1">
      <c r="B347" s="301"/>
      <c r="C347" s="309" t="s">
        <v>1510</v>
      </c>
      <c r="D347" s="303" t="s">
        <v>88</v>
      </c>
      <c r="E347" s="303"/>
      <c r="F347" s="303"/>
      <c r="G347" s="310" t="s">
        <v>967</v>
      </c>
      <c r="H347" s="310" t="s">
        <v>967</v>
      </c>
      <c r="I347" s="310" t="e">
        <f t="shared" ref="I347:Z347" si="154">I346/G346-1</f>
        <v>#REF!</v>
      </c>
      <c r="J347" s="310" t="e">
        <f t="shared" si="154"/>
        <v>#REF!</v>
      </c>
      <c r="K347" s="310" t="e">
        <f t="shared" si="154"/>
        <v>#REF!</v>
      </c>
      <c r="L347" s="310" t="e">
        <f t="shared" si="154"/>
        <v>#REF!</v>
      </c>
      <c r="M347" s="310" t="e">
        <f t="shared" si="154"/>
        <v>#REF!</v>
      </c>
      <c r="N347" s="310" t="e">
        <f t="shared" si="154"/>
        <v>#REF!</v>
      </c>
      <c r="O347" s="310" t="e">
        <f t="shared" si="154"/>
        <v>#REF!</v>
      </c>
      <c r="P347" s="310" t="e">
        <f t="shared" si="154"/>
        <v>#REF!</v>
      </c>
      <c r="Q347" s="310" t="e">
        <f t="shared" si="154"/>
        <v>#REF!</v>
      </c>
      <c r="R347" s="310" t="e">
        <f t="shared" si="154"/>
        <v>#REF!</v>
      </c>
      <c r="S347" s="310" t="e">
        <f t="shared" si="154"/>
        <v>#REF!</v>
      </c>
      <c r="T347" s="310" t="e">
        <f t="shared" si="154"/>
        <v>#REF!</v>
      </c>
      <c r="U347" s="310" t="e">
        <f t="shared" si="154"/>
        <v>#REF!</v>
      </c>
      <c r="V347" s="310" t="e">
        <f t="shared" si="154"/>
        <v>#REF!</v>
      </c>
      <c r="W347" s="310" t="e">
        <f t="shared" si="154"/>
        <v>#REF!</v>
      </c>
      <c r="X347" s="310" t="e">
        <f t="shared" si="154"/>
        <v>#REF!</v>
      </c>
      <c r="Y347" s="310" t="e">
        <f t="shared" si="154"/>
        <v>#REF!</v>
      </c>
      <c r="Z347" s="310" t="e">
        <f t="shared" si="154"/>
        <v>#REF!</v>
      </c>
      <c r="AA347" s="311"/>
      <c r="AB347" s="309" t="str">
        <f t="shared" si="144"/>
        <v>- Growth</v>
      </c>
      <c r="AC347" s="303" t="str">
        <f t="shared" si="145"/>
        <v>%</v>
      </c>
      <c r="AD347" s="303"/>
      <c r="AE347" s="303"/>
      <c r="AF347" s="310" t="s">
        <v>967</v>
      </c>
      <c r="AG347" s="310" t="e">
        <f t="shared" ref="AG347:AO347" si="155">AG346/AF346-1</f>
        <v>#REF!</v>
      </c>
      <c r="AH347" s="310" t="e">
        <f t="shared" si="155"/>
        <v>#REF!</v>
      </c>
      <c r="AI347" s="310" t="e">
        <f t="shared" si="155"/>
        <v>#REF!</v>
      </c>
      <c r="AJ347" s="310" t="e">
        <f t="shared" si="155"/>
        <v>#REF!</v>
      </c>
      <c r="AK347" s="310" t="e">
        <f t="shared" si="155"/>
        <v>#REF!</v>
      </c>
      <c r="AL347" s="310" t="e">
        <f t="shared" si="155"/>
        <v>#REF!</v>
      </c>
      <c r="AM347" s="310" t="e">
        <f t="shared" si="155"/>
        <v>#REF!</v>
      </c>
      <c r="AN347" s="310" t="e">
        <f t="shared" si="155"/>
        <v>#REF!</v>
      </c>
      <c r="AO347" s="310" t="e">
        <f t="shared" si="155"/>
        <v>#REF!</v>
      </c>
    </row>
    <row r="348" spans="2:41" collapsed="1">
      <c r="B348" s="301"/>
      <c r="C348" s="309" t="s">
        <v>1511</v>
      </c>
      <c r="D348" s="303" t="s">
        <v>88</v>
      </c>
      <c r="E348" s="303"/>
      <c r="F348" s="303"/>
      <c r="G348" s="310">
        <f t="shared" ref="G348:Z348" si="156">IFERROR(ROUND( G346 / G345,2) - 1, 0)</f>
        <v>0</v>
      </c>
      <c r="H348" s="310">
        <f t="shared" si="156"/>
        <v>0</v>
      </c>
      <c r="I348" s="310">
        <f t="shared" si="156"/>
        <v>0</v>
      </c>
      <c r="J348" s="310">
        <f t="shared" si="156"/>
        <v>0</v>
      </c>
      <c r="K348" s="310">
        <f t="shared" si="156"/>
        <v>0</v>
      </c>
      <c r="L348" s="310">
        <f t="shared" si="156"/>
        <v>0</v>
      </c>
      <c r="M348" s="310">
        <f t="shared" si="156"/>
        <v>0</v>
      </c>
      <c r="N348" s="310">
        <f t="shared" si="156"/>
        <v>0</v>
      </c>
      <c r="O348" s="310">
        <f t="shared" si="156"/>
        <v>0</v>
      </c>
      <c r="P348" s="310">
        <f t="shared" si="156"/>
        <v>0</v>
      </c>
      <c r="Q348" s="310">
        <f t="shared" si="156"/>
        <v>0</v>
      </c>
      <c r="R348" s="310">
        <f t="shared" si="156"/>
        <v>0</v>
      </c>
      <c r="S348" s="310">
        <f t="shared" si="156"/>
        <v>0</v>
      </c>
      <c r="T348" s="310">
        <f t="shared" si="156"/>
        <v>0</v>
      </c>
      <c r="U348" s="310">
        <f t="shared" si="156"/>
        <v>0</v>
      </c>
      <c r="V348" s="310">
        <f t="shared" si="156"/>
        <v>0</v>
      </c>
      <c r="W348" s="310">
        <f t="shared" si="156"/>
        <v>0</v>
      </c>
      <c r="X348" s="310">
        <f t="shared" si="156"/>
        <v>0</v>
      </c>
      <c r="Y348" s="310">
        <f t="shared" si="156"/>
        <v>0</v>
      </c>
      <c r="Z348" s="310">
        <f t="shared" si="156"/>
        <v>0</v>
      </c>
      <c r="AA348" s="310"/>
      <c r="AB348" s="309" t="str">
        <f t="shared" si="144"/>
        <v>- Revision</v>
      </c>
      <c r="AC348" s="303" t="str">
        <f t="shared" si="145"/>
        <v>%</v>
      </c>
      <c r="AD348" s="303"/>
      <c r="AE348" s="303"/>
      <c r="AF348" s="310">
        <f t="shared" ref="AF348:AO348" si="157">IFERROR(ROUND( AF346 / AF345,2) - 1, 0)</f>
        <v>0</v>
      </c>
      <c r="AG348" s="310">
        <f t="shared" si="157"/>
        <v>0</v>
      </c>
      <c r="AH348" s="310">
        <f t="shared" si="157"/>
        <v>0</v>
      </c>
      <c r="AI348" s="310">
        <f t="shared" si="157"/>
        <v>0</v>
      </c>
      <c r="AJ348" s="310">
        <f t="shared" si="157"/>
        <v>0</v>
      </c>
      <c r="AK348" s="310">
        <f t="shared" si="157"/>
        <v>0</v>
      </c>
      <c r="AL348" s="310">
        <f t="shared" si="157"/>
        <v>0</v>
      </c>
      <c r="AM348" s="310">
        <f t="shared" si="157"/>
        <v>0</v>
      </c>
      <c r="AN348" s="310">
        <f t="shared" si="157"/>
        <v>0</v>
      </c>
      <c r="AO348" s="310">
        <f t="shared" si="157"/>
        <v>0</v>
      </c>
    </row>
    <row r="349" spans="2:41">
      <c r="B349" s="301" t="s">
        <v>1457</v>
      </c>
      <c r="C349" s="302" t="s">
        <v>1528</v>
      </c>
      <c r="D349" s="303" t="str">
        <f t="array" ref="D349">_xlfn.XLOOKUP($B349,$B$114:$B$212,_xlfn.XLOOKUP(D$219,$D$5:$AO$5,$D$114:$AO$212))</f>
        <v>NZ$m</v>
      </c>
      <c r="E349" s="303"/>
      <c r="F349" s="303"/>
      <c r="G349" s="304" t="e">
        <f t="array" ref="G349">_xlfn.XLOOKUP($B349,$B$114:$B$212,_xlfn.XLOOKUP(G$219,$D$5:$AO$5,$D$114:$AO$212))</f>
        <v>#REF!</v>
      </c>
      <c r="H349" s="304" t="e">
        <f t="array" ref="H349">_xlfn.XLOOKUP($B349,$B$114:$B$212,_xlfn.XLOOKUP(H$219,$D$5:$AO$5,$D$114:$AO$212))</f>
        <v>#REF!</v>
      </c>
      <c r="I349" s="304" t="e">
        <f t="array" ref="I349">_xlfn.XLOOKUP($B349,$B$114:$B$212,_xlfn.XLOOKUP(I$219,$D$5:$AO$5,$D$114:$AO$212))</f>
        <v>#REF!</v>
      </c>
      <c r="J349" s="304" t="e">
        <f t="array" ref="J349">_xlfn.XLOOKUP($B349,$B$114:$B$212,_xlfn.XLOOKUP(J$219,$D$5:$AO$5,$D$114:$AO$212))</f>
        <v>#REF!</v>
      </c>
      <c r="K349" s="304" t="e">
        <f t="array" ref="K349">_xlfn.XLOOKUP($B349,$B$114:$B$212,_xlfn.XLOOKUP(K$219,$D$5:$AO$5,$D$114:$AO$212))</f>
        <v>#REF!</v>
      </c>
      <c r="L349" s="304" t="e">
        <f t="array" ref="L349">_xlfn.XLOOKUP($B349,$B$114:$B$212,_xlfn.XLOOKUP(L$219,$D$5:$AO$5,$D$114:$AO$212))</f>
        <v>#REF!</v>
      </c>
      <c r="M349" s="304" t="e">
        <f t="array" ref="M349">_xlfn.XLOOKUP($B349,$B$114:$B$212,_xlfn.XLOOKUP(M$219,$D$5:$AO$5,$D$114:$AO$212))</f>
        <v>#REF!</v>
      </c>
      <c r="N349" s="304" t="e">
        <f t="array" ref="N349">_xlfn.XLOOKUP($B349,$B$114:$B$212,_xlfn.XLOOKUP(N$219,$D$5:$AO$5,$D$114:$AO$212))</f>
        <v>#REF!</v>
      </c>
      <c r="O349" s="304" t="e">
        <f t="array" ref="O349">_xlfn.XLOOKUP($B349,$B$114:$B$212,_xlfn.XLOOKUP(O$219,$D$5:$AO$5,$D$114:$AO$212))</f>
        <v>#REF!</v>
      </c>
      <c r="P349" s="304" t="e">
        <f t="array" ref="P349">_xlfn.XLOOKUP($B349,$B$114:$B$212,_xlfn.XLOOKUP(P$219,$D$5:$AO$5,$D$114:$AO$212))</f>
        <v>#REF!</v>
      </c>
      <c r="Q349" s="304" t="e">
        <f t="array" ref="Q349">_xlfn.XLOOKUP($B349,$B$114:$B$212,_xlfn.XLOOKUP(Q$219,$D$5:$AO$5,$D$114:$AO$212))</f>
        <v>#REF!</v>
      </c>
      <c r="R349" s="304" t="e">
        <f t="array" ref="R349">_xlfn.XLOOKUP($B349,$B$114:$B$212,_xlfn.XLOOKUP(R$219,$D$5:$AO$5,$D$114:$AO$212))</f>
        <v>#REF!</v>
      </c>
      <c r="S349" s="304" t="e">
        <f t="array" ref="S349">_xlfn.XLOOKUP($B349,$B$114:$B$212,_xlfn.XLOOKUP(S$219,$D$5:$AO$5,$D$114:$AO$212))</f>
        <v>#REF!</v>
      </c>
      <c r="T349" s="304" t="e">
        <f t="array" ref="T349">_xlfn.XLOOKUP($B349,$B$114:$B$212,_xlfn.XLOOKUP(T$219,$D$5:$AO$5,$D$114:$AO$212))</f>
        <v>#REF!</v>
      </c>
      <c r="U349" s="304" t="e">
        <f t="array" ref="U349">_xlfn.XLOOKUP($B349,$B$114:$B$212,_xlfn.XLOOKUP(U$219,$D$5:$AO$5,$D$114:$AO$212))</f>
        <v>#REF!</v>
      </c>
      <c r="V349" s="304" t="e">
        <f t="array" ref="V349">_xlfn.XLOOKUP($B349,$B$114:$B$212,_xlfn.XLOOKUP(V$219,$D$5:$AO$5,$D$114:$AO$212))</f>
        <v>#REF!</v>
      </c>
      <c r="W349" s="304" t="e">
        <f t="array" ref="W349">_xlfn.XLOOKUP($B349,$B$114:$B$212,_xlfn.XLOOKUP(W$219,$D$5:$AO$5,$D$114:$AO$212))</f>
        <v>#REF!</v>
      </c>
      <c r="X349" s="304" t="e">
        <f t="array" ref="X349">_xlfn.XLOOKUP($B349,$B$114:$B$212,_xlfn.XLOOKUP(X$219,$D$5:$AO$5,$D$114:$AO$212))</f>
        <v>#REF!</v>
      </c>
      <c r="Y349" s="304" t="e">
        <f t="array" ref="Y349">_xlfn.XLOOKUP($B349,$B$114:$B$212,_xlfn.XLOOKUP(Y$219,$D$5:$AO$5,$D$114:$AO$212))</f>
        <v>#REF!</v>
      </c>
      <c r="Z349" s="304" t="e">
        <f t="array" ref="Z349">_xlfn.XLOOKUP($B349,$B$114:$B$212,_xlfn.XLOOKUP(Z$219,$D$5:$AO$5,$D$114:$AO$212))</f>
        <v>#REF!</v>
      </c>
      <c r="AA349" s="305"/>
      <c r="AB349" s="302" t="str">
        <f t="shared" si="144"/>
        <v>Reported EBITDA - old</v>
      </c>
      <c r="AC349" s="303" t="str">
        <f t="shared" si="145"/>
        <v>NZ$m</v>
      </c>
      <c r="AD349" s="303"/>
      <c r="AE349" s="303"/>
      <c r="AF349" s="304" t="e">
        <f t="array" ref="AF349">_xlfn.XLOOKUP($B349,$B$114:$B$212,_xlfn.XLOOKUP(AF$219,$D$5:$AO$5,$D$114:$AO$212))</f>
        <v>#REF!</v>
      </c>
      <c r="AG349" s="304" t="e">
        <f t="array" ref="AG349">_xlfn.XLOOKUP($B349,$B$114:$B$212,_xlfn.XLOOKUP(AG$219,$D$5:$AO$5,$D$114:$AO$212))</f>
        <v>#REF!</v>
      </c>
      <c r="AH349" s="304" t="e">
        <f t="array" ref="AH349">_xlfn.XLOOKUP($B349,$B$114:$B$212,_xlfn.XLOOKUP(AH$219,$D$5:$AO$5,$D$114:$AO$212))</f>
        <v>#REF!</v>
      </c>
      <c r="AI349" s="304" t="e">
        <f t="array" ref="AI349">_xlfn.XLOOKUP($B349,$B$114:$B$212,_xlfn.XLOOKUP(AI$219,$D$5:$AO$5,$D$114:$AO$212))</f>
        <v>#REF!</v>
      </c>
      <c r="AJ349" s="304" t="e">
        <f t="array" ref="AJ349">_xlfn.XLOOKUP($B349,$B$114:$B$212,_xlfn.XLOOKUP(AJ$219,$D$5:$AO$5,$D$114:$AO$212))</f>
        <v>#REF!</v>
      </c>
      <c r="AK349" s="304" t="e">
        <f t="array" ref="AK349">_xlfn.XLOOKUP($B349,$B$114:$B$212,_xlfn.XLOOKUP(AK$219,$D$5:$AO$5,$D$114:$AO$212))</f>
        <v>#REF!</v>
      </c>
      <c r="AL349" s="304" t="e">
        <f t="array" ref="AL349">_xlfn.XLOOKUP($B349,$B$114:$B$212,_xlfn.XLOOKUP(AL$219,$D$5:$AO$5,$D$114:$AO$212))</f>
        <v>#REF!</v>
      </c>
      <c r="AM349" s="304" t="e">
        <f t="array" ref="AM349">_xlfn.XLOOKUP($B349,$B$114:$B$212,_xlfn.XLOOKUP(AM$219,$D$5:$AO$5,$D$114:$AO$212))</f>
        <v>#REF!</v>
      </c>
      <c r="AN349" s="304" t="e">
        <f t="array" ref="AN349">_xlfn.XLOOKUP($B349,$B$114:$B$212,_xlfn.XLOOKUP(AN$219,$D$5:$AO$5,$D$114:$AO$212))</f>
        <v>#REF!</v>
      </c>
      <c r="AO349" s="304" t="e">
        <f t="array" ref="AO349">_xlfn.XLOOKUP($B349,$B$114:$B$212,_xlfn.XLOOKUP(AO$219,$D$5:$AO$5,$D$114:$AO$212))</f>
        <v>#REF!</v>
      </c>
    </row>
    <row r="350" spans="2:41">
      <c r="B350" s="301" t="s">
        <v>1457</v>
      </c>
      <c r="C350" s="306" t="s">
        <v>1529</v>
      </c>
      <c r="D350" s="307" t="str">
        <f t="array" ref="D350">_xlfn.XLOOKUP($B350,$B$11:$B$109,_xlfn.XLOOKUP(D$219,$D$5:$AO$5,$D$11:$AO$109))</f>
        <v>NZ$m</v>
      </c>
      <c r="E350" s="307"/>
      <c r="F350" s="307"/>
      <c r="G350" s="308" t="e">
        <f t="array" ref="G350">_xlfn.XLOOKUP($B350,$B$11:$B$109,_xlfn.XLOOKUP(G$219,$D$5:$AO$5,$D$11:$AO$109))</f>
        <v>#REF!</v>
      </c>
      <c r="H350" s="308" t="e">
        <f t="array" ref="H350">_xlfn.XLOOKUP($B350,$B$11:$B$109,_xlfn.XLOOKUP(H$219,$D$5:$AO$5,$D$11:$AO$109))</f>
        <v>#REF!</v>
      </c>
      <c r="I350" s="308" t="e">
        <f t="array" ref="I350">_xlfn.XLOOKUP($B350,$B$11:$B$109,_xlfn.XLOOKUP(I$219,$D$5:$AO$5,$D$11:$AO$109))</f>
        <v>#REF!</v>
      </c>
      <c r="J350" s="308" t="e">
        <f t="array" ref="J350">_xlfn.XLOOKUP($B350,$B$11:$B$109,_xlfn.XLOOKUP(J$219,$D$5:$AO$5,$D$11:$AO$109))</f>
        <v>#REF!</v>
      </c>
      <c r="K350" s="308" t="e">
        <f t="array" ref="K350">_xlfn.XLOOKUP($B350,$B$11:$B$109,_xlfn.XLOOKUP(K$219,$D$5:$AO$5,$D$11:$AO$109))</f>
        <v>#REF!</v>
      </c>
      <c r="L350" s="308" t="e">
        <f t="array" ref="L350">_xlfn.XLOOKUP($B350,$B$11:$B$109,_xlfn.XLOOKUP(L$219,$D$5:$AO$5,$D$11:$AO$109))</f>
        <v>#REF!</v>
      </c>
      <c r="M350" s="308" t="e">
        <f t="array" ref="M350">_xlfn.XLOOKUP($B350,$B$11:$B$109,_xlfn.XLOOKUP(M$219,$D$5:$AO$5,$D$11:$AO$109))</f>
        <v>#REF!</v>
      </c>
      <c r="N350" s="308" t="e">
        <f t="array" ref="N350">_xlfn.XLOOKUP($B350,$B$11:$B$109,_xlfn.XLOOKUP(N$219,$D$5:$AO$5,$D$11:$AO$109))</f>
        <v>#REF!</v>
      </c>
      <c r="O350" s="308" t="e">
        <f t="array" ref="O350">_xlfn.XLOOKUP($B350,$B$11:$B$109,_xlfn.XLOOKUP(O$219,$D$5:$AO$5,$D$11:$AO$109))</f>
        <v>#REF!</v>
      </c>
      <c r="P350" s="308" t="e">
        <f t="array" ref="P350">_xlfn.XLOOKUP($B350,$B$11:$B$109,_xlfn.XLOOKUP(P$219,$D$5:$AO$5,$D$11:$AO$109))</f>
        <v>#REF!</v>
      </c>
      <c r="Q350" s="308" t="e">
        <f t="array" ref="Q350">_xlfn.XLOOKUP($B350,$B$11:$B$109,_xlfn.XLOOKUP(Q$219,$D$5:$AO$5,$D$11:$AO$109))</f>
        <v>#REF!</v>
      </c>
      <c r="R350" s="308" t="e">
        <f t="array" ref="R350">_xlfn.XLOOKUP($B350,$B$11:$B$109,_xlfn.XLOOKUP(R$219,$D$5:$AO$5,$D$11:$AO$109))</f>
        <v>#REF!</v>
      </c>
      <c r="S350" s="308" t="e">
        <f t="array" ref="S350">_xlfn.XLOOKUP($B350,$B$11:$B$109,_xlfn.XLOOKUP(S$219,$D$5:$AO$5,$D$11:$AO$109))</f>
        <v>#REF!</v>
      </c>
      <c r="T350" s="308" t="e">
        <f t="array" ref="T350">_xlfn.XLOOKUP($B350,$B$11:$B$109,_xlfn.XLOOKUP(T$219,$D$5:$AO$5,$D$11:$AO$109))</f>
        <v>#REF!</v>
      </c>
      <c r="U350" s="308" t="e">
        <f t="array" ref="U350">_xlfn.XLOOKUP($B350,$B$11:$B$109,_xlfn.XLOOKUP(U$219,$D$5:$AO$5,$D$11:$AO$109))</f>
        <v>#REF!</v>
      </c>
      <c r="V350" s="308" t="e">
        <f t="array" ref="V350">_xlfn.XLOOKUP($B350,$B$11:$B$109,_xlfn.XLOOKUP(V$219,$D$5:$AO$5,$D$11:$AO$109))</f>
        <v>#REF!</v>
      </c>
      <c r="W350" s="308" t="e">
        <f t="array" ref="W350">_xlfn.XLOOKUP($B350,$B$11:$B$109,_xlfn.XLOOKUP(W$219,$D$5:$AO$5,$D$11:$AO$109))</f>
        <v>#REF!</v>
      </c>
      <c r="X350" s="308" t="e">
        <f t="array" ref="X350">_xlfn.XLOOKUP($B350,$B$11:$B$109,_xlfn.XLOOKUP(X$219,$D$5:$AO$5,$D$11:$AO$109))</f>
        <v>#REF!</v>
      </c>
      <c r="Y350" s="308" t="e">
        <f t="array" ref="Y350">_xlfn.XLOOKUP($B350,$B$11:$B$109,_xlfn.XLOOKUP(Y$219,$D$5:$AO$5,$D$11:$AO$109))</f>
        <v>#REF!</v>
      </c>
      <c r="Z350" s="308" t="e">
        <f t="array" ref="Z350">_xlfn.XLOOKUP($B350,$B$11:$B$109,_xlfn.XLOOKUP(Z$219,$D$5:$AO$5,$D$11:$AO$109))</f>
        <v>#REF!</v>
      </c>
      <c r="AA350" s="308"/>
      <c r="AB350" s="306" t="str">
        <f t="shared" si="144"/>
        <v>Reported EBITDA - New</v>
      </c>
      <c r="AC350" s="307" t="str">
        <f t="shared" si="145"/>
        <v>NZ$m</v>
      </c>
      <c r="AD350" s="307"/>
      <c r="AE350" s="307"/>
      <c r="AF350" s="308" t="e">
        <f t="array" ref="AF350">_xlfn.XLOOKUP($B350,$B$11:$B$109,_xlfn.XLOOKUP(AF$219,$D$5:$AO$5,$D$11:$AO$109))</f>
        <v>#REF!</v>
      </c>
      <c r="AG350" s="308" t="e">
        <f t="array" ref="AG350">_xlfn.XLOOKUP($B350,$B$11:$B$109,_xlfn.XLOOKUP(AG$219,$D$5:$AO$5,$D$11:$AO$109))</f>
        <v>#REF!</v>
      </c>
      <c r="AH350" s="308" t="e">
        <f t="array" ref="AH350">_xlfn.XLOOKUP($B350,$B$11:$B$109,_xlfn.XLOOKUP(AH$219,$D$5:$AO$5,$D$11:$AO$109))</f>
        <v>#REF!</v>
      </c>
      <c r="AI350" s="308" t="e">
        <f t="array" ref="AI350">_xlfn.XLOOKUP($B350,$B$11:$B$109,_xlfn.XLOOKUP(AI$219,$D$5:$AO$5,$D$11:$AO$109))</f>
        <v>#REF!</v>
      </c>
      <c r="AJ350" s="308" t="e">
        <f t="array" ref="AJ350">_xlfn.XLOOKUP($B350,$B$11:$B$109,_xlfn.XLOOKUP(AJ$219,$D$5:$AO$5,$D$11:$AO$109))</f>
        <v>#REF!</v>
      </c>
      <c r="AK350" s="308" t="e">
        <f t="array" ref="AK350">_xlfn.XLOOKUP($B350,$B$11:$B$109,_xlfn.XLOOKUP(AK$219,$D$5:$AO$5,$D$11:$AO$109))</f>
        <v>#REF!</v>
      </c>
      <c r="AL350" s="308" t="e">
        <f t="array" ref="AL350">_xlfn.XLOOKUP($B350,$B$11:$B$109,_xlfn.XLOOKUP(AL$219,$D$5:$AO$5,$D$11:$AO$109))</f>
        <v>#REF!</v>
      </c>
      <c r="AM350" s="308" t="e">
        <f t="array" ref="AM350">_xlfn.XLOOKUP($B350,$B$11:$B$109,_xlfn.XLOOKUP(AM$219,$D$5:$AO$5,$D$11:$AO$109))</f>
        <v>#REF!</v>
      </c>
      <c r="AN350" s="308" t="e">
        <f t="array" ref="AN350">_xlfn.XLOOKUP($B350,$B$11:$B$109,_xlfn.XLOOKUP(AN$219,$D$5:$AO$5,$D$11:$AO$109))</f>
        <v>#REF!</v>
      </c>
      <c r="AO350" s="308" t="e">
        <f t="array" ref="AO350">_xlfn.XLOOKUP($B350,$B$11:$B$109,_xlfn.XLOOKUP(AO$219,$D$5:$AO$5,$D$11:$AO$109))</f>
        <v>#REF!</v>
      </c>
    </row>
    <row r="351" spans="2:41" hidden="1" outlineLevel="1">
      <c r="B351" s="301"/>
      <c r="C351" s="309" t="s">
        <v>1510</v>
      </c>
      <c r="D351" s="303" t="s">
        <v>88</v>
      </c>
      <c r="E351" s="303"/>
      <c r="F351" s="303"/>
      <c r="G351" s="310" t="s">
        <v>967</v>
      </c>
      <c r="H351" s="310" t="s">
        <v>967</v>
      </c>
      <c r="I351" s="310" t="e">
        <f t="shared" ref="I351:Z351" si="158">I350/G350-1</f>
        <v>#REF!</v>
      </c>
      <c r="J351" s="310" t="e">
        <f t="shared" si="158"/>
        <v>#REF!</v>
      </c>
      <c r="K351" s="310" t="e">
        <f t="shared" si="158"/>
        <v>#REF!</v>
      </c>
      <c r="L351" s="310" t="e">
        <f t="shared" si="158"/>
        <v>#REF!</v>
      </c>
      <c r="M351" s="310" t="e">
        <f t="shared" si="158"/>
        <v>#REF!</v>
      </c>
      <c r="N351" s="310" t="e">
        <f t="shared" si="158"/>
        <v>#REF!</v>
      </c>
      <c r="O351" s="310" t="e">
        <f t="shared" si="158"/>
        <v>#REF!</v>
      </c>
      <c r="P351" s="310" t="e">
        <f t="shared" si="158"/>
        <v>#REF!</v>
      </c>
      <c r="Q351" s="310" t="e">
        <f t="shared" si="158"/>
        <v>#REF!</v>
      </c>
      <c r="R351" s="310" t="e">
        <f t="shared" si="158"/>
        <v>#REF!</v>
      </c>
      <c r="S351" s="310" t="e">
        <f t="shared" si="158"/>
        <v>#REF!</v>
      </c>
      <c r="T351" s="310" t="e">
        <f t="shared" si="158"/>
        <v>#REF!</v>
      </c>
      <c r="U351" s="310" t="e">
        <f t="shared" si="158"/>
        <v>#REF!</v>
      </c>
      <c r="V351" s="310" t="e">
        <f t="shared" si="158"/>
        <v>#REF!</v>
      </c>
      <c r="W351" s="310" t="e">
        <f t="shared" si="158"/>
        <v>#REF!</v>
      </c>
      <c r="X351" s="310" t="e">
        <f t="shared" si="158"/>
        <v>#REF!</v>
      </c>
      <c r="Y351" s="310" t="e">
        <f t="shared" si="158"/>
        <v>#REF!</v>
      </c>
      <c r="Z351" s="310" t="e">
        <f t="shared" si="158"/>
        <v>#REF!</v>
      </c>
      <c r="AA351" s="311"/>
      <c r="AB351" s="309" t="str">
        <f t="shared" si="144"/>
        <v>- Growth</v>
      </c>
      <c r="AC351" s="303" t="str">
        <f t="shared" si="145"/>
        <v>%</v>
      </c>
      <c r="AD351" s="303"/>
      <c r="AE351" s="303"/>
      <c r="AF351" s="310" t="s">
        <v>967</v>
      </c>
      <c r="AG351" s="310" t="e">
        <f t="shared" ref="AG351:AO351" si="159">AG350/AF350-1</f>
        <v>#REF!</v>
      </c>
      <c r="AH351" s="310" t="e">
        <f t="shared" si="159"/>
        <v>#REF!</v>
      </c>
      <c r="AI351" s="310" t="e">
        <f t="shared" si="159"/>
        <v>#REF!</v>
      </c>
      <c r="AJ351" s="310" t="e">
        <f t="shared" si="159"/>
        <v>#REF!</v>
      </c>
      <c r="AK351" s="310" t="e">
        <f t="shared" si="159"/>
        <v>#REF!</v>
      </c>
      <c r="AL351" s="310" t="e">
        <f t="shared" si="159"/>
        <v>#REF!</v>
      </c>
      <c r="AM351" s="310" t="e">
        <f t="shared" si="159"/>
        <v>#REF!</v>
      </c>
      <c r="AN351" s="310" t="e">
        <f t="shared" si="159"/>
        <v>#REF!</v>
      </c>
      <c r="AO351" s="310" t="e">
        <f t="shared" si="159"/>
        <v>#REF!</v>
      </c>
    </row>
    <row r="352" spans="2:41" collapsed="1">
      <c r="B352" s="301"/>
      <c r="C352" s="309" t="s">
        <v>1511</v>
      </c>
      <c r="D352" s="303" t="s">
        <v>88</v>
      </c>
      <c r="E352" s="303"/>
      <c r="F352" s="303"/>
      <c r="G352" s="310">
        <f t="shared" ref="G352:Z352" si="160">IFERROR(ROUND( G350 / G349,2) - 1, 0)</f>
        <v>0</v>
      </c>
      <c r="H352" s="310">
        <f t="shared" si="160"/>
        <v>0</v>
      </c>
      <c r="I352" s="310">
        <f t="shared" si="160"/>
        <v>0</v>
      </c>
      <c r="J352" s="310">
        <f t="shared" si="160"/>
        <v>0</v>
      </c>
      <c r="K352" s="310">
        <f t="shared" si="160"/>
        <v>0</v>
      </c>
      <c r="L352" s="310">
        <f t="shared" si="160"/>
        <v>0</v>
      </c>
      <c r="M352" s="310">
        <f t="shared" si="160"/>
        <v>0</v>
      </c>
      <c r="N352" s="310">
        <f t="shared" si="160"/>
        <v>0</v>
      </c>
      <c r="O352" s="310">
        <f t="shared" si="160"/>
        <v>0</v>
      </c>
      <c r="P352" s="310">
        <f t="shared" si="160"/>
        <v>0</v>
      </c>
      <c r="Q352" s="310">
        <f t="shared" si="160"/>
        <v>0</v>
      </c>
      <c r="R352" s="310">
        <f t="shared" si="160"/>
        <v>0</v>
      </c>
      <c r="S352" s="310">
        <f t="shared" si="160"/>
        <v>0</v>
      </c>
      <c r="T352" s="310">
        <f t="shared" si="160"/>
        <v>0</v>
      </c>
      <c r="U352" s="310">
        <f t="shared" si="160"/>
        <v>0</v>
      </c>
      <c r="V352" s="310">
        <f t="shared" si="160"/>
        <v>0</v>
      </c>
      <c r="W352" s="310">
        <f t="shared" si="160"/>
        <v>0</v>
      </c>
      <c r="X352" s="310">
        <f t="shared" si="160"/>
        <v>0</v>
      </c>
      <c r="Y352" s="310">
        <f t="shared" si="160"/>
        <v>0</v>
      </c>
      <c r="Z352" s="310">
        <f t="shared" si="160"/>
        <v>0</v>
      </c>
      <c r="AA352" s="310"/>
      <c r="AB352" s="309" t="str">
        <f t="shared" si="144"/>
        <v>- Revision</v>
      </c>
      <c r="AC352" s="303" t="str">
        <f t="shared" si="145"/>
        <v>%</v>
      </c>
      <c r="AD352" s="303"/>
      <c r="AE352" s="303"/>
      <c r="AF352" s="310">
        <f t="shared" ref="AF352:AO352" si="161">IFERROR(ROUND( AF350 / AF349,2) - 1, 0)</f>
        <v>0</v>
      </c>
      <c r="AG352" s="310">
        <f t="shared" si="161"/>
        <v>0</v>
      </c>
      <c r="AH352" s="310">
        <f t="shared" si="161"/>
        <v>0</v>
      </c>
      <c r="AI352" s="310">
        <f t="shared" si="161"/>
        <v>0</v>
      </c>
      <c r="AJ352" s="310">
        <f t="shared" si="161"/>
        <v>0</v>
      </c>
      <c r="AK352" s="310">
        <f t="shared" si="161"/>
        <v>0</v>
      </c>
      <c r="AL352" s="310">
        <f t="shared" si="161"/>
        <v>0</v>
      </c>
      <c r="AM352" s="310">
        <f t="shared" si="161"/>
        <v>0</v>
      </c>
      <c r="AN352" s="310">
        <f t="shared" si="161"/>
        <v>0</v>
      </c>
      <c r="AO352" s="310">
        <f t="shared" si="161"/>
        <v>0</v>
      </c>
    </row>
    <row r="353" spans="1:41">
      <c r="B353" s="301" t="s">
        <v>1458</v>
      </c>
      <c r="C353" s="302" t="s">
        <v>1530</v>
      </c>
      <c r="D353" s="303" t="str">
        <f t="array" ref="D353">_xlfn.XLOOKUP($B353,$B$114:$B$212,_xlfn.XLOOKUP(D$219,$D$5:$AO$5,$D$114:$AO$212))</f>
        <v>NZ$m</v>
      </c>
      <c r="E353" s="303"/>
      <c r="F353" s="303"/>
      <c r="G353" s="304" t="e">
        <f t="array" ref="G353">_xlfn.XLOOKUP($B353,$B$114:$B$212,_xlfn.XLOOKUP(G$219,$D$5:$AO$5,$D$114:$AO$212))</f>
        <v>#REF!</v>
      </c>
      <c r="H353" s="304" t="e">
        <f t="array" ref="H353">_xlfn.XLOOKUP($B353,$B$114:$B$212,_xlfn.XLOOKUP(H$219,$D$5:$AO$5,$D$114:$AO$212))</f>
        <v>#REF!</v>
      </c>
      <c r="I353" s="304" t="e">
        <f t="array" ref="I353">_xlfn.XLOOKUP($B353,$B$114:$B$212,_xlfn.XLOOKUP(I$219,$D$5:$AO$5,$D$114:$AO$212))</f>
        <v>#REF!</v>
      </c>
      <c r="J353" s="304" t="e">
        <f t="array" ref="J353">_xlfn.XLOOKUP($B353,$B$114:$B$212,_xlfn.XLOOKUP(J$219,$D$5:$AO$5,$D$114:$AO$212))</f>
        <v>#REF!</v>
      </c>
      <c r="K353" s="304" t="e">
        <f t="array" ref="K353">_xlfn.XLOOKUP($B353,$B$114:$B$212,_xlfn.XLOOKUP(K$219,$D$5:$AO$5,$D$114:$AO$212))</f>
        <v>#REF!</v>
      </c>
      <c r="L353" s="304" t="e">
        <f t="array" ref="L353">_xlfn.XLOOKUP($B353,$B$114:$B$212,_xlfn.XLOOKUP(L$219,$D$5:$AO$5,$D$114:$AO$212))</f>
        <v>#REF!</v>
      </c>
      <c r="M353" s="304" t="e">
        <f t="array" ref="M353">_xlfn.XLOOKUP($B353,$B$114:$B$212,_xlfn.XLOOKUP(M$219,$D$5:$AO$5,$D$114:$AO$212))</f>
        <v>#REF!</v>
      </c>
      <c r="N353" s="304" t="e">
        <f t="array" ref="N353">_xlfn.XLOOKUP($B353,$B$114:$B$212,_xlfn.XLOOKUP(N$219,$D$5:$AO$5,$D$114:$AO$212))</f>
        <v>#REF!</v>
      </c>
      <c r="O353" s="304" t="e">
        <f t="array" ref="O353">_xlfn.XLOOKUP($B353,$B$114:$B$212,_xlfn.XLOOKUP(O$219,$D$5:$AO$5,$D$114:$AO$212))</f>
        <v>#REF!</v>
      </c>
      <c r="P353" s="304" t="e">
        <f t="array" ref="P353">_xlfn.XLOOKUP($B353,$B$114:$B$212,_xlfn.XLOOKUP(P$219,$D$5:$AO$5,$D$114:$AO$212))</f>
        <v>#REF!</v>
      </c>
      <c r="Q353" s="304" t="e">
        <f t="array" ref="Q353">_xlfn.XLOOKUP($B353,$B$114:$B$212,_xlfn.XLOOKUP(Q$219,$D$5:$AO$5,$D$114:$AO$212))</f>
        <v>#REF!</v>
      </c>
      <c r="R353" s="304" t="e">
        <f t="array" ref="R353">_xlfn.XLOOKUP($B353,$B$114:$B$212,_xlfn.XLOOKUP(R$219,$D$5:$AO$5,$D$114:$AO$212))</f>
        <v>#REF!</v>
      </c>
      <c r="S353" s="304" t="e">
        <f t="array" ref="S353">_xlfn.XLOOKUP($B353,$B$114:$B$212,_xlfn.XLOOKUP(S$219,$D$5:$AO$5,$D$114:$AO$212))</f>
        <v>#REF!</v>
      </c>
      <c r="T353" s="304" t="e">
        <f t="array" ref="T353">_xlfn.XLOOKUP($B353,$B$114:$B$212,_xlfn.XLOOKUP(T$219,$D$5:$AO$5,$D$114:$AO$212))</f>
        <v>#REF!</v>
      </c>
      <c r="U353" s="304" t="e">
        <f t="array" ref="U353">_xlfn.XLOOKUP($B353,$B$114:$B$212,_xlfn.XLOOKUP(U$219,$D$5:$AO$5,$D$114:$AO$212))</f>
        <v>#REF!</v>
      </c>
      <c r="V353" s="304" t="e">
        <f t="array" ref="V353">_xlfn.XLOOKUP($B353,$B$114:$B$212,_xlfn.XLOOKUP(V$219,$D$5:$AO$5,$D$114:$AO$212))</f>
        <v>#REF!</v>
      </c>
      <c r="W353" s="304" t="e">
        <f t="array" ref="W353">_xlfn.XLOOKUP($B353,$B$114:$B$212,_xlfn.XLOOKUP(W$219,$D$5:$AO$5,$D$114:$AO$212))</f>
        <v>#REF!</v>
      </c>
      <c r="X353" s="304" t="e">
        <f t="array" ref="X353">_xlfn.XLOOKUP($B353,$B$114:$B$212,_xlfn.XLOOKUP(X$219,$D$5:$AO$5,$D$114:$AO$212))</f>
        <v>#REF!</v>
      </c>
      <c r="Y353" s="304" t="e">
        <f t="array" ref="Y353">_xlfn.XLOOKUP($B353,$B$114:$B$212,_xlfn.XLOOKUP(Y$219,$D$5:$AO$5,$D$114:$AO$212))</f>
        <v>#REF!</v>
      </c>
      <c r="Z353" s="304" t="e">
        <f t="array" ref="Z353">_xlfn.XLOOKUP($B353,$B$114:$B$212,_xlfn.XLOOKUP(Z$219,$D$5:$AO$5,$D$114:$AO$212))</f>
        <v>#REF!</v>
      </c>
      <c r="AA353" s="305"/>
      <c r="AB353" s="302" t="str">
        <f t="shared" si="144"/>
        <v>Normalised EBITDA - old</v>
      </c>
      <c r="AC353" s="303" t="str">
        <f t="shared" si="145"/>
        <v>NZ$m</v>
      </c>
      <c r="AD353" s="303"/>
      <c r="AE353" s="303"/>
      <c r="AF353" s="304" t="e">
        <f t="array" ref="AF353">_xlfn.XLOOKUP($B353,$B$114:$B$212,_xlfn.XLOOKUP(AF$219,$D$5:$AO$5,$D$114:$AO$212))</f>
        <v>#REF!</v>
      </c>
      <c r="AG353" s="304" t="e">
        <f t="array" ref="AG353">_xlfn.XLOOKUP($B353,$B$114:$B$212,_xlfn.XLOOKUP(AG$219,$D$5:$AO$5,$D$114:$AO$212))</f>
        <v>#REF!</v>
      </c>
      <c r="AH353" s="304" t="e">
        <f t="array" ref="AH353">_xlfn.XLOOKUP($B353,$B$114:$B$212,_xlfn.XLOOKUP(AH$219,$D$5:$AO$5,$D$114:$AO$212))</f>
        <v>#REF!</v>
      </c>
      <c r="AI353" s="304" t="e">
        <f t="array" ref="AI353">_xlfn.XLOOKUP($B353,$B$114:$B$212,_xlfn.XLOOKUP(AI$219,$D$5:$AO$5,$D$114:$AO$212))</f>
        <v>#REF!</v>
      </c>
      <c r="AJ353" s="304" t="e">
        <f t="array" ref="AJ353">_xlfn.XLOOKUP($B353,$B$114:$B$212,_xlfn.XLOOKUP(AJ$219,$D$5:$AO$5,$D$114:$AO$212))</f>
        <v>#REF!</v>
      </c>
      <c r="AK353" s="304" t="e">
        <f t="array" ref="AK353">_xlfn.XLOOKUP($B353,$B$114:$B$212,_xlfn.XLOOKUP(AK$219,$D$5:$AO$5,$D$114:$AO$212))</f>
        <v>#REF!</v>
      </c>
      <c r="AL353" s="304" t="e">
        <f t="array" ref="AL353">_xlfn.XLOOKUP($B353,$B$114:$B$212,_xlfn.XLOOKUP(AL$219,$D$5:$AO$5,$D$114:$AO$212))</f>
        <v>#REF!</v>
      </c>
      <c r="AM353" s="304" t="e">
        <f t="array" ref="AM353">_xlfn.XLOOKUP($B353,$B$114:$B$212,_xlfn.XLOOKUP(AM$219,$D$5:$AO$5,$D$114:$AO$212))</f>
        <v>#REF!</v>
      </c>
      <c r="AN353" s="304" t="e">
        <f t="array" ref="AN353">_xlfn.XLOOKUP($B353,$B$114:$B$212,_xlfn.XLOOKUP(AN$219,$D$5:$AO$5,$D$114:$AO$212))</f>
        <v>#REF!</v>
      </c>
      <c r="AO353" s="304" t="e">
        <f t="array" ref="AO353">_xlfn.XLOOKUP($B353,$B$114:$B$212,_xlfn.XLOOKUP(AO$219,$D$5:$AO$5,$D$114:$AO$212))</f>
        <v>#REF!</v>
      </c>
    </row>
    <row r="354" spans="1:41">
      <c r="B354" s="301" t="s">
        <v>1458</v>
      </c>
      <c r="C354" s="306" t="s">
        <v>1531</v>
      </c>
      <c r="D354" s="307" t="str">
        <f t="array" ref="D354">_xlfn.XLOOKUP($B354,$B$11:$B$109,_xlfn.XLOOKUP(D$219,$D$5:$AO$5,$D$11:$AO$109))</f>
        <v>NZ$m</v>
      </c>
      <c r="E354" s="307"/>
      <c r="F354" s="307"/>
      <c r="G354" s="308" t="e">
        <f t="array" ref="G354">_xlfn.XLOOKUP($B354,$B$11:$B$109,_xlfn.XLOOKUP(G$219,$D$5:$AO$5,$D$11:$AO$109))</f>
        <v>#REF!</v>
      </c>
      <c r="H354" s="308" t="e">
        <f t="array" ref="H354">_xlfn.XLOOKUP($B354,$B$11:$B$109,_xlfn.XLOOKUP(H$219,$D$5:$AO$5,$D$11:$AO$109))</f>
        <v>#REF!</v>
      </c>
      <c r="I354" s="308" t="e">
        <f t="array" ref="I354">_xlfn.XLOOKUP($B354,$B$11:$B$109,_xlfn.XLOOKUP(I$219,$D$5:$AO$5,$D$11:$AO$109))</f>
        <v>#REF!</v>
      </c>
      <c r="J354" s="308" t="e">
        <f t="array" ref="J354">_xlfn.XLOOKUP($B354,$B$11:$B$109,_xlfn.XLOOKUP(J$219,$D$5:$AO$5,$D$11:$AO$109))</f>
        <v>#REF!</v>
      </c>
      <c r="K354" s="308" t="e">
        <f t="array" ref="K354">_xlfn.XLOOKUP($B354,$B$11:$B$109,_xlfn.XLOOKUP(K$219,$D$5:$AO$5,$D$11:$AO$109))</f>
        <v>#REF!</v>
      </c>
      <c r="L354" s="308" t="e">
        <f t="array" ref="L354">_xlfn.XLOOKUP($B354,$B$11:$B$109,_xlfn.XLOOKUP(L$219,$D$5:$AO$5,$D$11:$AO$109))</f>
        <v>#REF!</v>
      </c>
      <c r="M354" s="308" t="e">
        <f t="array" ref="M354">_xlfn.XLOOKUP($B354,$B$11:$B$109,_xlfn.XLOOKUP(M$219,$D$5:$AO$5,$D$11:$AO$109))</f>
        <v>#REF!</v>
      </c>
      <c r="N354" s="308" t="e">
        <f t="array" ref="N354">_xlfn.XLOOKUP($B354,$B$11:$B$109,_xlfn.XLOOKUP(N$219,$D$5:$AO$5,$D$11:$AO$109))</f>
        <v>#REF!</v>
      </c>
      <c r="O354" s="308" t="e">
        <f t="array" ref="O354">_xlfn.XLOOKUP($B354,$B$11:$B$109,_xlfn.XLOOKUP(O$219,$D$5:$AO$5,$D$11:$AO$109))</f>
        <v>#REF!</v>
      </c>
      <c r="P354" s="308" t="e">
        <f t="array" ref="P354">_xlfn.XLOOKUP($B354,$B$11:$B$109,_xlfn.XLOOKUP(P$219,$D$5:$AO$5,$D$11:$AO$109))</f>
        <v>#REF!</v>
      </c>
      <c r="Q354" s="308" t="e">
        <f t="array" ref="Q354">_xlfn.XLOOKUP($B354,$B$11:$B$109,_xlfn.XLOOKUP(Q$219,$D$5:$AO$5,$D$11:$AO$109))</f>
        <v>#REF!</v>
      </c>
      <c r="R354" s="308" t="e">
        <f t="array" ref="R354">_xlfn.XLOOKUP($B354,$B$11:$B$109,_xlfn.XLOOKUP(R$219,$D$5:$AO$5,$D$11:$AO$109))</f>
        <v>#REF!</v>
      </c>
      <c r="S354" s="308" t="e">
        <f t="array" ref="S354">_xlfn.XLOOKUP($B354,$B$11:$B$109,_xlfn.XLOOKUP(S$219,$D$5:$AO$5,$D$11:$AO$109))</f>
        <v>#REF!</v>
      </c>
      <c r="T354" s="308" t="e">
        <f t="array" ref="T354">_xlfn.XLOOKUP($B354,$B$11:$B$109,_xlfn.XLOOKUP(T$219,$D$5:$AO$5,$D$11:$AO$109))</f>
        <v>#REF!</v>
      </c>
      <c r="U354" s="308" t="e">
        <f t="array" ref="U354">_xlfn.XLOOKUP($B354,$B$11:$B$109,_xlfn.XLOOKUP(U$219,$D$5:$AO$5,$D$11:$AO$109))</f>
        <v>#REF!</v>
      </c>
      <c r="V354" s="308" t="e">
        <f t="array" ref="V354">_xlfn.XLOOKUP($B354,$B$11:$B$109,_xlfn.XLOOKUP(V$219,$D$5:$AO$5,$D$11:$AO$109))</f>
        <v>#REF!</v>
      </c>
      <c r="W354" s="308" t="e">
        <f t="array" ref="W354">_xlfn.XLOOKUP($B354,$B$11:$B$109,_xlfn.XLOOKUP(W$219,$D$5:$AO$5,$D$11:$AO$109))</f>
        <v>#REF!</v>
      </c>
      <c r="X354" s="308" t="e">
        <f t="array" ref="X354">_xlfn.XLOOKUP($B354,$B$11:$B$109,_xlfn.XLOOKUP(X$219,$D$5:$AO$5,$D$11:$AO$109))</f>
        <v>#REF!</v>
      </c>
      <c r="Y354" s="308" t="e">
        <f t="array" ref="Y354">_xlfn.XLOOKUP($B354,$B$11:$B$109,_xlfn.XLOOKUP(Y$219,$D$5:$AO$5,$D$11:$AO$109))</f>
        <v>#REF!</v>
      </c>
      <c r="Z354" s="308" t="e">
        <f t="array" ref="Z354">_xlfn.XLOOKUP($B354,$B$11:$B$109,_xlfn.XLOOKUP(Z$219,$D$5:$AO$5,$D$11:$AO$109))</f>
        <v>#REF!</v>
      </c>
      <c r="AA354" s="308"/>
      <c r="AB354" s="306" t="str">
        <f t="shared" si="144"/>
        <v>Normalised EBITDA - New</v>
      </c>
      <c r="AC354" s="307" t="str">
        <f t="shared" si="145"/>
        <v>NZ$m</v>
      </c>
      <c r="AD354" s="307"/>
      <c r="AE354" s="307"/>
      <c r="AF354" s="308" t="e">
        <f t="array" ref="AF354">_xlfn.XLOOKUP($B354,$B$11:$B$109,_xlfn.XLOOKUP(AF$219,$D$5:$AO$5,$D$11:$AO$109))</f>
        <v>#REF!</v>
      </c>
      <c r="AG354" s="308" t="e">
        <f t="array" ref="AG354">_xlfn.XLOOKUP($B354,$B$11:$B$109,_xlfn.XLOOKUP(AG$219,$D$5:$AO$5,$D$11:$AO$109))</f>
        <v>#REF!</v>
      </c>
      <c r="AH354" s="308" t="e">
        <f t="array" ref="AH354">_xlfn.XLOOKUP($B354,$B$11:$B$109,_xlfn.XLOOKUP(AH$219,$D$5:$AO$5,$D$11:$AO$109))</f>
        <v>#REF!</v>
      </c>
      <c r="AI354" s="308" t="e">
        <f t="array" ref="AI354">_xlfn.XLOOKUP($B354,$B$11:$B$109,_xlfn.XLOOKUP(AI$219,$D$5:$AO$5,$D$11:$AO$109))</f>
        <v>#REF!</v>
      </c>
      <c r="AJ354" s="308" t="e">
        <f t="array" ref="AJ354">_xlfn.XLOOKUP($B354,$B$11:$B$109,_xlfn.XLOOKUP(AJ$219,$D$5:$AO$5,$D$11:$AO$109))</f>
        <v>#REF!</v>
      </c>
      <c r="AK354" s="308" t="e">
        <f t="array" ref="AK354">_xlfn.XLOOKUP($B354,$B$11:$B$109,_xlfn.XLOOKUP(AK$219,$D$5:$AO$5,$D$11:$AO$109))</f>
        <v>#REF!</v>
      </c>
      <c r="AL354" s="308" t="e">
        <f t="array" ref="AL354">_xlfn.XLOOKUP($B354,$B$11:$B$109,_xlfn.XLOOKUP(AL$219,$D$5:$AO$5,$D$11:$AO$109))</f>
        <v>#REF!</v>
      </c>
      <c r="AM354" s="308" t="e">
        <f t="array" ref="AM354">_xlfn.XLOOKUP($B354,$B$11:$B$109,_xlfn.XLOOKUP(AM$219,$D$5:$AO$5,$D$11:$AO$109))</f>
        <v>#REF!</v>
      </c>
      <c r="AN354" s="308" t="e">
        <f t="array" ref="AN354">_xlfn.XLOOKUP($B354,$B$11:$B$109,_xlfn.XLOOKUP(AN$219,$D$5:$AO$5,$D$11:$AO$109))</f>
        <v>#REF!</v>
      </c>
      <c r="AO354" s="308" t="e">
        <f t="array" ref="AO354">_xlfn.XLOOKUP($B354,$B$11:$B$109,_xlfn.XLOOKUP(AO$219,$D$5:$AO$5,$D$11:$AO$109))</f>
        <v>#REF!</v>
      </c>
    </row>
    <row r="355" spans="1:41" hidden="1" outlineLevel="1">
      <c r="B355" s="301"/>
      <c r="C355" s="309" t="s">
        <v>1510</v>
      </c>
      <c r="D355" s="303" t="s">
        <v>88</v>
      </c>
      <c r="E355" s="303"/>
      <c r="F355" s="303"/>
      <c r="G355" s="310" t="s">
        <v>967</v>
      </c>
      <c r="H355" s="310" t="s">
        <v>967</v>
      </c>
      <c r="I355" s="310" t="e">
        <f t="shared" ref="I355:Z355" si="162">I354/G354-1</f>
        <v>#REF!</v>
      </c>
      <c r="J355" s="310" t="e">
        <f t="shared" si="162"/>
        <v>#REF!</v>
      </c>
      <c r="K355" s="310" t="e">
        <f t="shared" si="162"/>
        <v>#REF!</v>
      </c>
      <c r="L355" s="310" t="e">
        <f t="shared" si="162"/>
        <v>#REF!</v>
      </c>
      <c r="M355" s="310" t="e">
        <f t="shared" si="162"/>
        <v>#REF!</v>
      </c>
      <c r="N355" s="310" t="e">
        <f t="shared" si="162"/>
        <v>#REF!</v>
      </c>
      <c r="O355" s="310" t="e">
        <f t="shared" si="162"/>
        <v>#REF!</v>
      </c>
      <c r="P355" s="310" t="e">
        <f t="shared" si="162"/>
        <v>#REF!</v>
      </c>
      <c r="Q355" s="310" t="e">
        <f t="shared" si="162"/>
        <v>#REF!</v>
      </c>
      <c r="R355" s="310" t="e">
        <f t="shared" si="162"/>
        <v>#REF!</v>
      </c>
      <c r="S355" s="310" t="e">
        <f t="shared" si="162"/>
        <v>#REF!</v>
      </c>
      <c r="T355" s="310" t="e">
        <f t="shared" si="162"/>
        <v>#REF!</v>
      </c>
      <c r="U355" s="310" t="e">
        <f t="shared" si="162"/>
        <v>#REF!</v>
      </c>
      <c r="V355" s="310" t="e">
        <f t="shared" si="162"/>
        <v>#REF!</v>
      </c>
      <c r="W355" s="310" t="e">
        <f t="shared" si="162"/>
        <v>#REF!</v>
      </c>
      <c r="X355" s="310" t="e">
        <f t="shared" si="162"/>
        <v>#REF!</v>
      </c>
      <c r="Y355" s="310" t="e">
        <f t="shared" si="162"/>
        <v>#REF!</v>
      </c>
      <c r="Z355" s="310" t="e">
        <f t="shared" si="162"/>
        <v>#REF!</v>
      </c>
      <c r="AA355" s="311"/>
      <c r="AB355" s="309" t="str">
        <f t="shared" si="144"/>
        <v>- Growth</v>
      </c>
      <c r="AC355" s="303" t="str">
        <f t="shared" si="145"/>
        <v>%</v>
      </c>
      <c r="AD355" s="303"/>
      <c r="AE355" s="303"/>
      <c r="AF355" s="310" t="s">
        <v>967</v>
      </c>
      <c r="AG355" s="310" t="e">
        <f t="shared" ref="AG355:AO355" si="163">AG354/AF354-1</f>
        <v>#REF!</v>
      </c>
      <c r="AH355" s="310" t="e">
        <f t="shared" si="163"/>
        <v>#REF!</v>
      </c>
      <c r="AI355" s="310" t="e">
        <f t="shared" si="163"/>
        <v>#REF!</v>
      </c>
      <c r="AJ355" s="310" t="e">
        <f t="shared" si="163"/>
        <v>#REF!</v>
      </c>
      <c r="AK355" s="310" t="e">
        <f t="shared" si="163"/>
        <v>#REF!</v>
      </c>
      <c r="AL355" s="310" t="e">
        <f t="shared" si="163"/>
        <v>#REF!</v>
      </c>
      <c r="AM355" s="310" t="e">
        <f t="shared" si="163"/>
        <v>#REF!</v>
      </c>
      <c r="AN355" s="310" t="e">
        <f t="shared" si="163"/>
        <v>#REF!</v>
      </c>
      <c r="AO355" s="310" t="e">
        <f t="shared" si="163"/>
        <v>#REF!</v>
      </c>
    </row>
    <row r="356" spans="1:41" collapsed="1">
      <c r="B356" s="301"/>
      <c r="C356" s="309" t="s">
        <v>1511</v>
      </c>
      <c r="D356" s="303" t="s">
        <v>88</v>
      </c>
      <c r="E356" s="303"/>
      <c r="F356" s="303"/>
      <c r="G356" s="310">
        <f t="shared" ref="G356:Z356" si="164">IFERROR(ROUND( G354 / G353,2) - 1, 0)</f>
        <v>0</v>
      </c>
      <c r="H356" s="310">
        <f t="shared" si="164"/>
        <v>0</v>
      </c>
      <c r="I356" s="310">
        <f t="shared" si="164"/>
        <v>0</v>
      </c>
      <c r="J356" s="310">
        <f t="shared" si="164"/>
        <v>0</v>
      </c>
      <c r="K356" s="310">
        <f t="shared" si="164"/>
        <v>0</v>
      </c>
      <c r="L356" s="310">
        <f t="shared" si="164"/>
        <v>0</v>
      </c>
      <c r="M356" s="310">
        <f t="shared" si="164"/>
        <v>0</v>
      </c>
      <c r="N356" s="310">
        <f t="shared" si="164"/>
        <v>0</v>
      </c>
      <c r="O356" s="310">
        <f t="shared" si="164"/>
        <v>0</v>
      </c>
      <c r="P356" s="310">
        <f t="shared" si="164"/>
        <v>0</v>
      </c>
      <c r="Q356" s="310">
        <f t="shared" si="164"/>
        <v>0</v>
      </c>
      <c r="R356" s="310">
        <f t="shared" si="164"/>
        <v>0</v>
      </c>
      <c r="S356" s="310">
        <f t="shared" si="164"/>
        <v>0</v>
      </c>
      <c r="T356" s="310">
        <f t="shared" si="164"/>
        <v>0</v>
      </c>
      <c r="U356" s="310">
        <f t="shared" si="164"/>
        <v>0</v>
      </c>
      <c r="V356" s="310">
        <f t="shared" si="164"/>
        <v>0</v>
      </c>
      <c r="W356" s="310">
        <f t="shared" si="164"/>
        <v>0</v>
      </c>
      <c r="X356" s="310">
        <f t="shared" si="164"/>
        <v>0</v>
      </c>
      <c r="Y356" s="310">
        <f t="shared" si="164"/>
        <v>0</v>
      </c>
      <c r="Z356" s="310">
        <f t="shared" si="164"/>
        <v>0</v>
      </c>
      <c r="AA356" s="310"/>
      <c r="AB356" s="309" t="str">
        <f t="shared" si="144"/>
        <v>- Revision</v>
      </c>
      <c r="AC356" s="303" t="str">
        <f t="shared" si="145"/>
        <v>%</v>
      </c>
      <c r="AD356" s="303"/>
      <c r="AE356" s="303"/>
      <c r="AF356" s="310">
        <f t="shared" ref="AF356:AO356" si="165">IFERROR(ROUND( AF354 / AF353,2) - 1, 0)</f>
        <v>0</v>
      </c>
      <c r="AG356" s="310">
        <f t="shared" si="165"/>
        <v>0</v>
      </c>
      <c r="AH356" s="310">
        <f t="shared" si="165"/>
        <v>0</v>
      </c>
      <c r="AI356" s="310">
        <f t="shared" si="165"/>
        <v>0</v>
      </c>
      <c r="AJ356" s="310">
        <f t="shared" si="165"/>
        <v>0</v>
      </c>
      <c r="AK356" s="310">
        <f t="shared" si="165"/>
        <v>0</v>
      </c>
      <c r="AL356" s="310">
        <f t="shared" si="165"/>
        <v>0</v>
      </c>
      <c r="AM356" s="310">
        <f t="shared" si="165"/>
        <v>0</v>
      </c>
      <c r="AN356" s="310">
        <f t="shared" si="165"/>
        <v>0</v>
      </c>
      <c r="AO356" s="310">
        <f t="shared" si="165"/>
        <v>0</v>
      </c>
    </row>
    <row r="357" spans="1:41">
      <c r="B357" s="301"/>
      <c r="C357" s="309"/>
      <c r="D357" s="303"/>
      <c r="E357" s="303"/>
      <c r="F357" s="303"/>
      <c r="G357" s="310"/>
      <c r="H357" s="310"/>
      <c r="I357" s="310"/>
      <c r="J357" s="310"/>
      <c r="K357" s="310"/>
      <c r="L357" s="310"/>
      <c r="M357" s="310"/>
      <c r="N357" s="310"/>
      <c r="O357" s="310"/>
      <c r="P357" s="310"/>
      <c r="Q357" s="310"/>
      <c r="R357" s="310"/>
      <c r="S357" s="310"/>
      <c r="T357" s="310"/>
      <c r="U357" s="310"/>
      <c r="V357" s="310"/>
      <c r="W357" s="310"/>
      <c r="X357" s="310"/>
      <c r="Y357" s="310"/>
      <c r="Z357" s="310"/>
      <c r="AA357" s="310"/>
      <c r="AB357" s="309"/>
      <c r="AC357" s="303"/>
      <c r="AD357" s="303"/>
      <c r="AE357" s="303"/>
      <c r="AF357" s="310"/>
      <c r="AG357" s="310"/>
      <c r="AH357" s="310"/>
      <c r="AI357" s="310"/>
      <c r="AJ357" s="310"/>
      <c r="AK357" s="310"/>
      <c r="AL357" s="310"/>
      <c r="AM357" s="310"/>
      <c r="AN357" s="310"/>
      <c r="AO357" s="310"/>
    </row>
    <row r="358" spans="1:41">
      <c r="A358" t="s">
        <v>7</v>
      </c>
      <c r="C358" s="285" t="s">
        <v>129</v>
      </c>
      <c r="D358" s="286"/>
      <c r="E358" s="286"/>
      <c r="F358" s="286"/>
      <c r="G358" s="286"/>
      <c r="H358" s="286"/>
      <c r="I358" s="286"/>
      <c r="J358" s="286"/>
      <c r="K358" s="286"/>
      <c r="L358" s="286"/>
      <c r="M358" s="286"/>
      <c r="N358" s="286"/>
      <c r="O358" s="286"/>
      <c r="P358" s="286"/>
      <c r="Q358" s="286"/>
      <c r="R358" s="287"/>
      <c r="S358" s="287"/>
      <c r="T358" s="287"/>
      <c r="U358" s="287"/>
      <c r="V358" s="287"/>
      <c r="W358" s="287"/>
      <c r="X358" s="287"/>
      <c r="Y358" s="287"/>
      <c r="Z358" s="287"/>
      <c r="AA358" s="287"/>
      <c r="AB358" s="287"/>
      <c r="AC358" s="287"/>
      <c r="AD358" s="286"/>
      <c r="AE358" s="286"/>
      <c r="AF358" s="287"/>
      <c r="AG358" s="288"/>
      <c r="AH358" s="287"/>
      <c r="AI358" s="289"/>
    </row>
    <row r="359" spans="1:41">
      <c r="C359" s="290"/>
      <c r="D359" s="286"/>
      <c r="E359" s="286"/>
      <c r="F359" s="286"/>
      <c r="G359" s="286"/>
      <c r="H359" s="286"/>
      <c r="I359" s="286"/>
      <c r="J359" s="286"/>
      <c r="K359" s="286"/>
      <c r="L359" s="286"/>
      <c r="M359" s="286"/>
      <c r="N359" s="286"/>
      <c r="O359" s="286"/>
      <c r="P359" s="286"/>
      <c r="Q359" s="286"/>
      <c r="R359" s="287"/>
      <c r="S359" s="287"/>
      <c r="T359" s="287"/>
      <c r="U359" s="287"/>
      <c r="V359" s="287"/>
      <c r="W359" s="287"/>
      <c r="X359" s="287"/>
      <c r="Y359" s="287"/>
      <c r="Z359" s="287"/>
      <c r="AA359" s="287"/>
      <c r="AB359" s="287"/>
      <c r="AC359" s="287"/>
      <c r="AD359" s="286"/>
      <c r="AE359" s="286"/>
      <c r="AF359" s="287"/>
      <c r="AG359" s="288"/>
      <c r="AH359" s="287"/>
      <c r="AI359" s="289"/>
    </row>
    <row r="360" spans="1:41">
      <c r="C360" s="291"/>
      <c r="D360" s="291" t="s">
        <v>1329</v>
      </c>
      <c r="E360" s="291"/>
      <c r="F360" s="291" t="str">
        <f t="shared" ref="F360:Z360" si="166">F$5</f>
        <v>VAL</v>
      </c>
      <c r="G360" s="292" t="str">
        <f t="shared" si="166"/>
        <v>1H21A</v>
      </c>
      <c r="H360" s="293" t="str">
        <f t="shared" si="166"/>
        <v>2H21A</v>
      </c>
      <c r="I360" s="292" t="str">
        <f t="shared" si="166"/>
        <v>1H22A</v>
      </c>
      <c r="J360" s="293" t="str">
        <f t="shared" si="166"/>
        <v>2H22A</v>
      </c>
      <c r="K360" s="292" t="str">
        <f t="shared" si="166"/>
        <v>1H23A</v>
      </c>
      <c r="L360" s="293" t="str">
        <f t="shared" si="166"/>
        <v>2H23A</v>
      </c>
      <c r="M360" s="292" t="str">
        <f t="shared" si="166"/>
        <v>1H24E</v>
      </c>
      <c r="N360" s="293" t="str">
        <f t="shared" si="166"/>
        <v>2H24E</v>
      </c>
      <c r="O360" s="292" t="str">
        <f t="shared" si="166"/>
        <v>1H25E</v>
      </c>
      <c r="P360" s="293" t="str">
        <f t="shared" si="166"/>
        <v>2H25E</v>
      </c>
      <c r="Q360" s="292" t="str">
        <f t="shared" si="166"/>
        <v>1H26E</v>
      </c>
      <c r="R360" s="293" t="str">
        <f t="shared" si="166"/>
        <v>2H26E</v>
      </c>
      <c r="S360" s="292" t="str">
        <f t="shared" si="166"/>
        <v>1H27E</v>
      </c>
      <c r="T360" s="293" t="str">
        <f t="shared" si="166"/>
        <v>2H27E</v>
      </c>
      <c r="U360" s="292" t="str">
        <f t="shared" si="166"/>
        <v>1H28E</v>
      </c>
      <c r="V360" s="293" t="str">
        <f t="shared" si="166"/>
        <v>2H28E</v>
      </c>
      <c r="W360" s="292" t="str">
        <f t="shared" si="166"/>
        <v>1H29E</v>
      </c>
      <c r="X360" s="293" t="str">
        <f t="shared" si="166"/>
        <v>2H29E</v>
      </c>
      <c r="Y360" s="292" t="str">
        <f t="shared" si="166"/>
        <v>1H30E</v>
      </c>
      <c r="Z360" s="293" t="str">
        <f t="shared" si="166"/>
        <v>2H30E</v>
      </c>
      <c r="AA360" s="294"/>
      <c r="AB360" s="291"/>
      <c r="AC360" s="291" t="s">
        <v>1329</v>
      </c>
      <c r="AD360" s="291"/>
      <c r="AE360" s="291" t="str">
        <f t="shared" ref="AE360:AO360" si="167">AE$5</f>
        <v>VAL</v>
      </c>
      <c r="AF360" s="295" t="str">
        <f t="shared" si="167"/>
        <v>FY21A</v>
      </c>
      <c r="AG360" s="295" t="str">
        <f t="shared" si="167"/>
        <v>FY22A</v>
      </c>
      <c r="AH360" s="295" t="str">
        <f t="shared" si="167"/>
        <v>FY23A</v>
      </c>
      <c r="AI360" s="295" t="str">
        <f t="shared" si="167"/>
        <v>FY24A</v>
      </c>
      <c r="AJ360" s="295" t="str">
        <f t="shared" si="167"/>
        <v>FY25A</v>
      </c>
      <c r="AK360" s="295" t="str">
        <f t="shared" si="167"/>
        <v>FY26A</v>
      </c>
      <c r="AL360" s="295" t="str">
        <f t="shared" si="167"/>
        <v>FY27A</v>
      </c>
      <c r="AM360" s="295" t="str">
        <f t="shared" si="167"/>
        <v>FY28A</v>
      </c>
      <c r="AN360" s="295" t="str">
        <f t="shared" si="167"/>
        <v>FY29A</v>
      </c>
      <c r="AO360" s="295" t="str">
        <f t="shared" si="167"/>
        <v>FY30A</v>
      </c>
    </row>
    <row r="361" spans="1:41">
      <c r="C361" s="296"/>
      <c r="D361" s="296"/>
      <c r="E361" s="296"/>
      <c r="F361" s="296"/>
      <c r="G361" s="297">
        <f t="shared" ref="G361:Z361" si="168">G$6</f>
        <v>44196</v>
      </c>
      <c r="H361" s="298">
        <f t="shared" si="168"/>
        <v>44377</v>
      </c>
      <c r="I361" s="297">
        <f t="shared" si="168"/>
        <v>44561</v>
      </c>
      <c r="J361" s="298">
        <f t="shared" si="168"/>
        <v>44742</v>
      </c>
      <c r="K361" s="297">
        <f t="shared" si="168"/>
        <v>44926</v>
      </c>
      <c r="L361" s="298">
        <f t="shared" si="168"/>
        <v>45107</v>
      </c>
      <c r="M361" s="297">
        <f t="shared" si="168"/>
        <v>45291</v>
      </c>
      <c r="N361" s="298">
        <f t="shared" si="168"/>
        <v>45473</v>
      </c>
      <c r="O361" s="297">
        <f t="shared" si="168"/>
        <v>45657</v>
      </c>
      <c r="P361" s="298">
        <f t="shared" si="168"/>
        <v>45838</v>
      </c>
      <c r="Q361" s="297">
        <f t="shared" si="168"/>
        <v>46022</v>
      </c>
      <c r="R361" s="298">
        <f t="shared" si="168"/>
        <v>46203</v>
      </c>
      <c r="S361" s="297">
        <f t="shared" si="168"/>
        <v>46387</v>
      </c>
      <c r="T361" s="298">
        <f t="shared" si="168"/>
        <v>46568</v>
      </c>
      <c r="U361" s="297">
        <f t="shared" si="168"/>
        <v>46752</v>
      </c>
      <c r="V361" s="298">
        <f t="shared" si="168"/>
        <v>46934</v>
      </c>
      <c r="W361" s="297">
        <f t="shared" si="168"/>
        <v>47118</v>
      </c>
      <c r="X361" s="298">
        <f t="shared" si="168"/>
        <v>47299</v>
      </c>
      <c r="Y361" s="297">
        <f t="shared" si="168"/>
        <v>47483</v>
      </c>
      <c r="Z361" s="296">
        <f t="shared" si="168"/>
        <v>47664</v>
      </c>
      <c r="AA361" s="299"/>
      <c r="AB361" s="296"/>
      <c r="AC361" s="296"/>
      <c r="AD361" s="296"/>
      <c r="AE361" s="296"/>
      <c r="AF361" s="300">
        <f t="shared" ref="AF361:AO361" si="169">AF$6</f>
        <v>44377</v>
      </c>
      <c r="AG361" s="300">
        <f t="shared" si="169"/>
        <v>44742</v>
      </c>
      <c r="AH361" s="300">
        <f t="shared" si="169"/>
        <v>45107</v>
      </c>
      <c r="AI361" s="300">
        <f t="shared" si="169"/>
        <v>45473</v>
      </c>
      <c r="AJ361" s="300">
        <f t="shared" si="169"/>
        <v>45838</v>
      </c>
      <c r="AK361" s="300">
        <f t="shared" si="169"/>
        <v>46203</v>
      </c>
      <c r="AL361" s="300">
        <f t="shared" si="169"/>
        <v>46568</v>
      </c>
      <c r="AM361" s="300">
        <f t="shared" si="169"/>
        <v>46934</v>
      </c>
      <c r="AN361" s="300">
        <f t="shared" si="169"/>
        <v>47299</v>
      </c>
      <c r="AO361" s="300">
        <f t="shared" si="169"/>
        <v>47664</v>
      </c>
    </row>
    <row r="362" spans="1:41">
      <c r="B362" s="301" t="s">
        <v>1459</v>
      </c>
      <c r="C362" s="302" t="s">
        <v>1532</v>
      </c>
      <c r="D362" s="303" t="str">
        <f t="array" ref="D362">_xlfn.XLOOKUP($B362,$B$114:$B$212,_xlfn.XLOOKUP(D$219,$D$5:$AO$5,$D$114:$AO$212))</f>
        <v>NZ$m</v>
      </c>
      <c r="E362" s="303"/>
      <c r="F362" s="303"/>
      <c r="G362" s="304">
        <f t="array" ref="G362">_xlfn.XLOOKUP($B362,$B$114:$B$212,_xlfn.XLOOKUP(G$219,$D$5:$AO$5,$D$114:$AO$212))</f>
        <v>0</v>
      </c>
      <c r="H362" s="304">
        <f t="array" ref="H362">_xlfn.XLOOKUP($B362,$B$114:$B$212,_xlfn.XLOOKUP(H$219,$D$5:$AO$5,$D$114:$AO$212))</f>
        <v>0</v>
      </c>
      <c r="I362" s="304">
        <f t="array" ref="I362">_xlfn.XLOOKUP($B362,$B$114:$B$212,_xlfn.XLOOKUP(I$219,$D$5:$AO$5,$D$114:$AO$212))</f>
        <v>17.3</v>
      </c>
      <c r="J362" s="304">
        <f t="array" ref="J362">_xlfn.XLOOKUP($B362,$B$114:$B$212,_xlfn.XLOOKUP(J$219,$D$5:$AO$5,$D$114:$AO$212))</f>
        <v>14.7</v>
      </c>
      <c r="K362" s="304">
        <f t="array" ref="K362">_xlfn.XLOOKUP($B362,$B$114:$B$212,_xlfn.XLOOKUP(K$219,$D$5:$AO$5,$D$114:$AO$212))</f>
        <v>15.4</v>
      </c>
      <c r="L362" s="304">
        <f t="array" ref="L362">_xlfn.XLOOKUP($B362,$B$114:$B$212,_xlfn.XLOOKUP(L$219,$D$5:$AO$5,$D$114:$AO$212))</f>
        <v>14.9</v>
      </c>
      <c r="M362" s="304">
        <f t="array" ref="M362">_xlfn.XLOOKUP($B362,$B$114:$B$212,_xlfn.XLOOKUP(M$219,$D$5:$AO$5,$D$114:$AO$212))</f>
        <v>11.8</v>
      </c>
      <c r="N362" s="304">
        <f t="array" ref="N362">_xlfn.XLOOKUP($B362,$B$114:$B$212,_xlfn.XLOOKUP(N$219,$D$5:$AO$5,$D$114:$AO$212))</f>
        <v>8.5</v>
      </c>
      <c r="O362" s="304">
        <f t="array" ref="O362">_xlfn.XLOOKUP($B362,$B$114:$B$212,_xlfn.XLOOKUP(O$219,$D$5:$AO$5,$D$114:$AO$212))</f>
        <v>0</v>
      </c>
      <c r="P362" s="304">
        <f t="array" ref="P362">_xlfn.XLOOKUP($B362,$B$114:$B$212,_xlfn.XLOOKUP(P$219,$D$5:$AO$5,$D$114:$AO$212))</f>
        <v>0</v>
      </c>
      <c r="Q362" s="304">
        <f t="array" ref="Q362">_xlfn.XLOOKUP($B362,$B$114:$B$212,_xlfn.XLOOKUP(Q$219,$D$5:$AO$5,$D$114:$AO$212))</f>
        <v>0</v>
      </c>
      <c r="R362" s="304">
        <f t="array" ref="R362">_xlfn.XLOOKUP($B362,$B$114:$B$212,_xlfn.XLOOKUP(R$219,$D$5:$AO$5,$D$114:$AO$212))</f>
        <v>0</v>
      </c>
      <c r="S362" s="304">
        <f t="array" ref="S362">_xlfn.XLOOKUP($B362,$B$114:$B$212,_xlfn.XLOOKUP(S$219,$D$5:$AO$5,$D$114:$AO$212))</f>
        <v>0</v>
      </c>
      <c r="T362" s="304">
        <f t="array" ref="T362">_xlfn.XLOOKUP($B362,$B$114:$B$212,_xlfn.XLOOKUP(T$219,$D$5:$AO$5,$D$114:$AO$212))</f>
        <v>0</v>
      </c>
      <c r="U362" s="304">
        <f t="array" ref="U362">_xlfn.XLOOKUP($B362,$B$114:$B$212,_xlfn.XLOOKUP(U$219,$D$5:$AO$5,$D$114:$AO$212))</f>
        <v>0</v>
      </c>
      <c r="V362" s="304">
        <f t="array" ref="V362">_xlfn.XLOOKUP($B362,$B$114:$B$212,_xlfn.XLOOKUP(V$219,$D$5:$AO$5,$D$114:$AO$212))</f>
        <v>0</v>
      </c>
      <c r="W362" s="304">
        <f t="array" ref="W362">_xlfn.XLOOKUP($B362,$B$114:$B$212,_xlfn.XLOOKUP(W$219,$D$5:$AO$5,$D$114:$AO$212))</f>
        <v>0</v>
      </c>
      <c r="X362" s="304">
        <f t="array" ref="X362">_xlfn.XLOOKUP($B362,$B$114:$B$212,_xlfn.XLOOKUP(X$219,$D$5:$AO$5,$D$114:$AO$212))</f>
        <v>0</v>
      </c>
      <c r="Y362" s="304">
        <f t="array" ref="Y362">_xlfn.XLOOKUP($B362,$B$114:$B$212,_xlfn.XLOOKUP(Y$219,$D$5:$AO$5,$D$114:$AO$212))</f>
        <v>0</v>
      </c>
      <c r="Z362" s="304">
        <f t="array" ref="Z362">_xlfn.XLOOKUP($B362,$B$114:$B$212,_xlfn.XLOOKUP(Z$219,$D$5:$AO$5,$D$114:$AO$212))</f>
        <v>0</v>
      </c>
      <c r="AA362" s="305"/>
      <c r="AB362" s="302" t="str">
        <f t="shared" ref="AB362:AB381" si="170">C362</f>
        <v>Gaming Revenue - net of Jackpot &amp; Bonusing - old</v>
      </c>
      <c r="AC362" s="303" t="str">
        <f t="shared" ref="AC362:AC381" si="171">D362</f>
        <v>NZ$m</v>
      </c>
      <c r="AD362" s="303"/>
      <c r="AE362" s="303"/>
      <c r="AF362" s="304">
        <f t="array" ref="AF362">_xlfn.XLOOKUP($B362,$B$114:$B$212,_xlfn.XLOOKUP(AF$219,$D$5:$AO$5,$D$114:$AO$212))</f>
        <v>0</v>
      </c>
      <c r="AG362" s="304">
        <f t="array" ref="AG362">_xlfn.XLOOKUP($B362,$B$114:$B$212,_xlfn.XLOOKUP(AG$219,$D$5:$AO$5,$D$114:$AO$212))</f>
        <v>32</v>
      </c>
      <c r="AH362" s="304">
        <f t="array" ref="AH362">_xlfn.XLOOKUP($B362,$B$114:$B$212,_xlfn.XLOOKUP(AH$219,$D$5:$AO$5,$D$114:$AO$212))</f>
        <v>30.3</v>
      </c>
      <c r="AI362" s="304">
        <f t="array" ref="AI362">_xlfn.XLOOKUP($B362,$B$114:$B$212,_xlfn.XLOOKUP(AI$219,$D$5:$AO$5,$D$114:$AO$212))</f>
        <v>20.3</v>
      </c>
      <c r="AJ362" s="304">
        <f t="array" ref="AJ362">_xlfn.XLOOKUP($B362,$B$114:$B$212,_xlfn.XLOOKUP(AJ$219,$D$5:$AO$5,$D$114:$AO$212))</f>
        <v>0</v>
      </c>
      <c r="AK362" s="304">
        <f t="array" ref="AK362">_xlfn.XLOOKUP($B362,$B$114:$B$212,_xlfn.XLOOKUP(AK$219,$D$5:$AO$5,$D$114:$AO$212))</f>
        <v>0</v>
      </c>
      <c r="AL362" s="304">
        <f t="array" ref="AL362">_xlfn.XLOOKUP($B362,$B$114:$B$212,_xlfn.XLOOKUP(AL$219,$D$5:$AO$5,$D$114:$AO$212))</f>
        <v>0</v>
      </c>
      <c r="AM362" s="304">
        <f t="array" ref="AM362">_xlfn.XLOOKUP($B362,$B$114:$B$212,_xlfn.XLOOKUP(AM$219,$D$5:$AO$5,$D$114:$AO$212))</f>
        <v>0</v>
      </c>
      <c r="AN362" s="304">
        <f t="array" ref="AN362">_xlfn.XLOOKUP($B362,$B$114:$B$212,_xlfn.XLOOKUP(AN$219,$D$5:$AO$5,$D$114:$AO$212))</f>
        <v>0</v>
      </c>
      <c r="AO362" s="304">
        <f t="array" ref="AO362">_xlfn.XLOOKUP($B362,$B$114:$B$212,_xlfn.XLOOKUP(AO$219,$D$5:$AO$5,$D$114:$AO$212))</f>
        <v>0</v>
      </c>
    </row>
    <row r="363" spans="1:41">
      <c r="B363" s="301" t="s">
        <v>1459</v>
      </c>
      <c r="C363" s="306" t="s">
        <v>1533</v>
      </c>
      <c r="D363" s="307" t="str">
        <f t="array" ref="D363">_xlfn.XLOOKUP($B363,$B$11:$B$109,_xlfn.XLOOKUP(D$219,$D$5:$AO$5,$D$11:$AO$109))</f>
        <v>NZ$m</v>
      </c>
      <c r="E363" s="307"/>
      <c r="F363" s="307"/>
      <c r="G363" s="308">
        <f t="array" ref="G363">_xlfn.XLOOKUP($B363,$B$11:$B$109,_xlfn.XLOOKUP(G$219,$D$5:$AO$5,$D$11:$AO$109))</f>
        <v>0</v>
      </c>
      <c r="H363" s="308">
        <f t="array" ref="H363">_xlfn.XLOOKUP($B363,$B$11:$B$109,_xlfn.XLOOKUP(H$219,$D$5:$AO$5,$D$11:$AO$109))</f>
        <v>0</v>
      </c>
      <c r="I363" s="308">
        <f t="array" ref="I363">_xlfn.XLOOKUP($B363,$B$11:$B$109,_xlfn.XLOOKUP(I$219,$D$5:$AO$5,$D$11:$AO$109))</f>
        <v>17.3</v>
      </c>
      <c r="J363" s="308">
        <f t="array" ref="J363">_xlfn.XLOOKUP($B363,$B$11:$B$109,_xlfn.XLOOKUP(J$219,$D$5:$AO$5,$D$11:$AO$109))</f>
        <v>14.7</v>
      </c>
      <c r="K363" s="308">
        <f t="array" ref="K363">_xlfn.XLOOKUP($B363,$B$11:$B$109,_xlfn.XLOOKUP(K$219,$D$5:$AO$5,$D$11:$AO$109))</f>
        <v>15.4</v>
      </c>
      <c r="L363" s="308">
        <f t="array" ref="L363">_xlfn.XLOOKUP($B363,$B$11:$B$109,_xlfn.XLOOKUP(L$219,$D$5:$AO$5,$D$11:$AO$109))</f>
        <v>14.9</v>
      </c>
      <c r="M363" s="308">
        <f t="array" ref="M363">_xlfn.XLOOKUP($B363,$B$11:$B$109,_xlfn.XLOOKUP(M$219,$D$5:$AO$5,$D$11:$AO$109))</f>
        <v>11.8</v>
      </c>
      <c r="N363" s="308">
        <f t="array" ref="N363">_xlfn.XLOOKUP($B363,$B$11:$B$109,_xlfn.XLOOKUP(N$219,$D$5:$AO$5,$D$11:$AO$109))</f>
        <v>8.5</v>
      </c>
      <c r="O363" s="308">
        <f t="array" ref="O363">_xlfn.XLOOKUP($B363,$B$11:$B$109,_xlfn.XLOOKUP(O$219,$D$5:$AO$5,$D$11:$AO$109))</f>
        <v>0</v>
      </c>
      <c r="P363" s="308">
        <f t="array" ref="P363">_xlfn.XLOOKUP($B363,$B$11:$B$109,_xlfn.XLOOKUP(P$219,$D$5:$AO$5,$D$11:$AO$109))</f>
        <v>0</v>
      </c>
      <c r="Q363" s="308">
        <f t="array" ref="Q363">_xlfn.XLOOKUP($B363,$B$11:$B$109,_xlfn.XLOOKUP(Q$219,$D$5:$AO$5,$D$11:$AO$109))</f>
        <v>0</v>
      </c>
      <c r="R363" s="308">
        <f t="array" ref="R363">_xlfn.XLOOKUP($B363,$B$11:$B$109,_xlfn.XLOOKUP(R$219,$D$5:$AO$5,$D$11:$AO$109))</f>
        <v>0</v>
      </c>
      <c r="S363" s="308">
        <f t="array" ref="S363">_xlfn.XLOOKUP($B363,$B$11:$B$109,_xlfn.XLOOKUP(S$219,$D$5:$AO$5,$D$11:$AO$109))</f>
        <v>0</v>
      </c>
      <c r="T363" s="308">
        <f t="array" ref="T363">_xlfn.XLOOKUP($B363,$B$11:$B$109,_xlfn.XLOOKUP(T$219,$D$5:$AO$5,$D$11:$AO$109))</f>
        <v>0</v>
      </c>
      <c r="U363" s="308">
        <f t="array" ref="U363">_xlfn.XLOOKUP($B363,$B$11:$B$109,_xlfn.XLOOKUP(U$219,$D$5:$AO$5,$D$11:$AO$109))</f>
        <v>0</v>
      </c>
      <c r="V363" s="308">
        <f t="array" ref="V363">_xlfn.XLOOKUP($B363,$B$11:$B$109,_xlfn.XLOOKUP(V$219,$D$5:$AO$5,$D$11:$AO$109))</f>
        <v>0</v>
      </c>
      <c r="W363" s="308">
        <f t="array" ref="W363">_xlfn.XLOOKUP($B363,$B$11:$B$109,_xlfn.XLOOKUP(W$219,$D$5:$AO$5,$D$11:$AO$109))</f>
        <v>0</v>
      </c>
      <c r="X363" s="308">
        <f t="array" ref="X363">_xlfn.XLOOKUP($B363,$B$11:$B$109,_xlfn.XLOOKUP(X$219,$D$5:$AO$5,$D$11:$AO$109))</f>
        <v>0</v>
      </c>
      <c r="Y363" s="308">
        <f t="array" ref="Y363">_xlfn.XLOOKUP($B363,$B$11:$B$109,_xlfn.XLOOKUP(Y$219,$D$5:$AO$5,$D$11:$AO$109))</f>
        <v>0</v>
      </c>
      <c r="Z363" s="308">
        <f t="array" ref="Z363">_xlfn.XLOOKUP($B363,$B$11:$B$109,_xlfn.XLOOKUP(Z$219,$D$5:$AO$5,$D$11:$AO$109))</f>
        <v>0</v>
      </c>
      <c r="AA363" s="308"/>
      <c r="AB363" s="306" t="str">
        <f t="shared" si="170"/>
        <v>Gaming Revenue - net of Jackpot &amp; Bonusing - New</v>
      </c>
      <c r="AC363" s="307" t="str">
        <f t="shared" si="171"/>
        <v>NZ$m</v>
      </c>
      <c r="AD363" s="307"/>
      <c r="AE363" s="307"/>
      <c r="AF363" s="308">
        <f t="array" ref="AF363">_xlfn.XLOOKUP($B363,$B$11:$B$109,_xlfn.XLOOKUP(AF$219,$D$5:$AO$5,$D$11:$AO$109))</f>
        <v>0</v>
      </c>
      <c r="AG363" s="308">
        <f t="array" ref="AG363">_xlfn.XLOOKUP($B363,$B$11:$B$109,_xlfn.XLOOKUP(AG$219,$D$5:$AO$5,$D$11:$AO$109))</f>
        <v>32</v>
      </c>
      <c r="AH363" s="308">
        <f t="array" ref="AH363">_xlfn.XLOOKUP($B363,$B$11:$B$109,_xlfn.XLOOKUP(AH$219,$D$5:$AO$5,$D$11:$AO$109))</f>
        <v>30.3</v>
      </c>
      <c r="AI363" s="308">
        <f t="array" ref="AI363">_xlfn.XLOOKUP($B363,$B$11:$B$109,_xlfn.XLOOKUP(AI$219,$D$5:$AO$5,$D$11:$AO$109))</f>
        <v>20.3</v>
      </c>
      <c r="AJ363" s="308">
        <f t="array" ref="AJ363">_xlfn.XLOOKUP($B363,$B$11:$B$109,_xlfn.XLOOKUP(AJ$219,$D$5:$AO$5,$D$11:$AO$109))</f>
        <v>0</v>
      </c>
      <c r="AK363" s="308">
        <f t="array" ref="AK363">_xlfn.XLOOKUP($B363,$B$11:$B$109,_xlfn.XLOOKUP(AK$219,$D$5:$AO$5,$D$11:$AO$109))</f>
        <v>0</v>
      </c>
      <c r="AL363" s="308">
        <f t="array" ref="AL363">_xlfn.XLOOKUP($B363,$B$11:$B$109,_xlfn.XLOOKUP(AL$219,$D$5:$AO$5,$D$11:$AO$109))</f>
        <v>0</v>
      </c>
      <c r="AM363" s="308">
        <f t="array" ref="AM363">_xlfn.XLOOKUP($B363,$B$11:$B$109,_xlfn.XLOOKUP(AM$219,$D$5:$AO$5,$D$11:$AO$109))</f>
        <v>0</v>
      </c>
      <c r="AN363" s="308">
        <f t="array" ref="AN363">_xlfn.XLOOKUP($B363,$B$11:$B$109,_xlfn.XLOOKUP(AN$219,$D$5:$AO$5,$D$11:$AO$109))</f>
        <v>0</v>
      </c>
      <c r="AO363" s="308">
        <f t="array" ref="AO363">_xlfn.XLOOKUP($B363,$B$11:$B$109,_xlfn.XLOOKUP(AO$219,$D$5:$AO$5,$D$11:$AO$109))</f>
        <v>0</v>
      </c>
    </row>
    <row r="364" spans="1:41" hidden="1" outlineLevel="1">
      <c r="B364" s="301"/>
      <c r="C364" s="309" t="s">
        <v>1510</v>
      </c>
      <c r="D364" s="303" t="s">
        <v>88</v>
      </c>
      <c r="E364" s="303"/>
      <c r="F364" s="303"/>
      <c r="G364" s="310" t="s">
        <v>967</v>
      </c>
      <c r="H364" s="310" t="s">
        <v>967</v>
      </c>
      <c r="I364" s="310" t="e">
        <f t="shared" ref="I364:Z364" si="172">I363/G363-1</f>
        <v>#DIV/0!</v>
      </c>
      <c r="J364" s="310" t="e">
        <f t="shared" si="172"/>
        <v>#DIV/0!</v>
      </c>
      <c r="K364" s="310">
        <f t="shared" si="172"/>
        <v>-0.10982658959537572</v>
      </c>
      <c r="L364" s="310">
        <f t="shared" si="172"/>
        <v>1.3605442176870763E-2</v>
      </c>
      <c r="M364" s="310">
        <f t="shared" si="172"/>
        <v>-0.23376623376623373</v>
      </c>
      <c r="N364" s="310">
        <f t="shared" si="172"/>
        <v>-0.42953020134228193</v>
      </c>
      <c r="O364" s="310">
        <f t="shared" si="172"/>
        <v>-1</v>
      </c>
      <c r="P364" s="310">
        <f t="shared" si="172"/>
        <v>-1</v>
      </c>
      <c r="Q364" s="310" t="e">
        <f t="shared" si="172"/>
        <v>#DIV/0!</v>
      </c>
      <c r="R364" s="310" t="e">
        <f t="shared" si="172"/>
        <v>#DIV/0!</v>
      </c>
      <c r="S364" s="310" t="e">
        <f t="shared" si="172"/>
        <v>#DIV/0!</v>
      </c>
      <c r="T364" s="310" t="e">
        <f t="shared" si="172"/>
        <v>#DIV/0!</v>
      </c>
      <c r="U364" s="310" t="e">
        <f t="shared" si="172"/>
        <v>#DIV/0!</v>
      </c>
      <c r="V364" s="310" t="e">
        <f t="shared" si="172"/>
        <v>#DIV/0!</v>
      </c>
      <c r="W364" s="310" t="e">
        <f t="shared" si="172"/>
        <v>#DIV/0!</v>
      </c>
      <c r="X364" s="310" t="e">
        <f t="shared" si="172"/>
        <v>#DIV/0!</v>
      </c>
      <c r="Y364" s="310" t="e">
        <f t="shared" si="172"/>
        <v>#DIV/0!</v>
      </c>
      <c r="Z364" s="310" t="e">
        <f t="shared" si="172"/>
        <v>#DIV/0!</v>
      </c>
      <c r="AA364" s="311"/>
      <c r="AB364" s="309" t="str">
        <f t="shared" si="170"/>
        <v>- Growth</v>
      </c>
      <c r="AC364" s="303" t="str">
        <f t="shared" si="171"/>
        <v>%</v>
      </c>
      <c r="AD364" s="303"/>
      <c r="AE364" s="303"/>
      <c r="AF364" s="310" t="s">
        <v>967</v>
      </c>
      <c r="AG364" s="310" t="e">
        <f t="shared" ref="AG364:AO364" si="173">AG363/AF363-1</f>
        <v>#DIV/0!</v>
      </c>
      <c r="AH364" s="310">
        <f t="shared" si="173"/>
        <v>-5.3124999999999978E-2</v>
      </c>
      <c r="AI364" s="310">
        <f t="shared" si="173"/>
        <v>-0.33003300330033003</v>
      </c>
      <c r="AJ364" s="310">
        <f t="shared" si="173"/>
        <v>-1</v>
      </c>
      <c r="AK364" s="310" t="e">
        <f t="shared" si="173"/>
        <v>#DIV/0!</v>
      </c>
      <c r="AL364" s="310" t="e">
        <f t="shared" si="173"/>
        <v>#DIV/0!</v>
      </c>
      <c r="AM364" s="310" t="e">
        <f t="shared" si="173"/>
        <v>#DIV/0!</v>
      </c>
      <c r="AN364" s="310" t="e">
        <f t="shared" si="173"/>
        <v>#DIV/0!</v>
      </c>
      <c r="AO364" s="310" t="e">
        <f t="shared" si="173"/>
        <v>#DIV/0!</v>
      </c>
    </row>
    <row r="365" spans="1:41" collapsed="1">
      <c r="B365" s="301"/>
      <c r="C365" s="309" t="s">
        <v>1511</v>
      </c>
      <c r="D365" s="303" t="s">
        <v>88</v>
      </c>
      <c r="E365" s="303"/>
      <c r="F365" s="303"/>
      <c r="G365" s="310">
        <f t="shared" ref="G365:Z365" si="174">IFERROR(ROUND( G363 / G362,2) - 1, 0)</f>
        <v>0</v>
      </c>
      <c r="H365" s="310">
        <f t="shared" si="174"/>
        <v>0</v>
      </c>
      <c r="I365" s="310">
        <f t="shared" si="174"/>
        <v>0</v>
      </c>
      <c r="J365" s="310">
        <f t="shared" si="174"/>
        <v>0</v>
      </c>
      <c r="K365" s="310">
        <f t="shared" si="174"/>
        <v>0</v>
      </c>
      <c r="L365" s="310">
        <f t="shared" si="174"/>
        <v>0</v>
      </c>
      <c r="M365" s="310">
        <f t="shared" si="174"/>
        <v>0</v>
      </c>
      <c r="N365" s="310">
        <f t="shared" si="174"/>
        <v>0</v>
      </c>
      <c r="O365" s="310">
        <f t="shared" si="174"/>
        <v>0</v>
      </c>
      <c r="P365" s="310">
        <f t="shared" si="174"/>
        <v>0</v>
      </c>
      <c r="Q365" s="310">
        <f t="shared" si="174"/>
        <v>0</v>
      </c>
      <c r="R365" s="310">
        <f t="shared" si="174"/>
        <v>0</v>
      </c>
      <c r="S365" s="310">
        <f t="shared" si="174"/>
        <v>0</v>
      </c>
      <c r="T365" s="310">
        <f t="shared" si="174"/>
        <v>0</v>
      </c>
      <c r="U365" s="310">
        <f t="shared" si="174"/>
        <v>0</v>
      </c>
      <c r="V365" s="310">
        <f t="shared" si="174"/>
        <v>0</v>
      </c>
      <c r="W365" s="310">
        <f t="shared" si="174"/>
        <v>0</v>
      </c>
      <c r="X365" s="310">
        <f t="shared" si="174"/>
        <v>0</v>
      </c>
      <c r="Y365" s="310">
        <f t="shared" si="174"/>
        <v>0</v>
      </c>
      <c r="Z365" s="310">
        <f t="shared" si="174"/>
        <v>0</v>
      </c>
      <c r="AA365" s="310"/>
      <c r="AB365" s="309" t="str">
        <f t="shared" si="170"/>
        <v>- Revision</v>
      </c>
      <c r="AC365" s="303" t="str">
        <f t="shared" si="171"/>
        <v>%</v>
      </c>
      <c r="AD365" s="303"/>
      <c r="AE365" s="303"/>
      <c r="AF365" s="310">
        <f t="shared" ref="AF365:AO365" si="175">IFERROR(ROUND( AF363 / AF362,2) - 1, 0)</f>
        <v>0</v>
      </c>
      <c r="AG365" s="310">
        <f t="shared" si="175"/>
        <v>0</v>
      </c>
      <c r="AH365" s="310">
        <f t="shared" si="175"/>
        <v>0</v>
      </c>
      <c r="AI365" s="310">
        <f t="shared" si="175"/>
        <v>0</v>
      </c>
      <c r="AJ365" s="310">
        <f t="shared" si="175"/>
        <v>0</v>
      </c>
      <c r="AK365" s="310">
        <f t="shared" si="175"/>
        <v>0</v>
      </c>
      <c r="AL365" s="310">
        <f t="shared" si="175"/>
        <v>0</v>
      </c>
      <c r="AM365" s="310">
        <f t="shared" si="175"/>
        <v>0</v>
      </c>
      <c r="AN365" s="310">
        <f t="shared" si="175"/>
        <v>0</v>
      </c>
      <c r="AO365" s="310">
        <f t="shared" si="175"/>
        <v>0</v>
      </c>
    </row>
    <row r="366" spans="1:41">
      <c r="B366" s="301" t="s">
        <v>1460</v>
      </c>
      <c r="C366" s="302" t="s">
        <v>1534</v>
      </c>
      <c r="D366" s="303" t="str">
        <f t="array" ref="D366">_xlfn.XLOOKUP($B366,$B$114:$B$212,_xlfn.XLOOKUP(D$219,$D$5:$AO$5,$D$114:$AO$212))</f>
        <v>NZ$m</v>
      </c>
      <c r="E366" s="303"/>
      <c r="F366" s="303"/>
      <c r="G366" s="304">
        <f t="array" ref="G366">_xlfn.XLOOKUP($B366,$B$114:$B$212,_xlfn.XLOOKUP(G$219,$D$5:$AO$5,$D$114:$AO$212))</f>
        <v>7.5</v>
      </c>
      <c r="H366" s="304">
        <f t="array" ref="H366">_xlfn.XLOOKUP($B366,$B$114:$B$212,_xlfn.XLOOKUP(H$219,$D$5:$AO$5,$D$114:$AO$212))</f>
        <v>5.6</v>
      </c>
      <c r="I366" s="304">
        <f t="array" ref="I366">_xlfn.XLOOKUP($B366,$B$114:$B$212,_xlfn.XLOOKUP(I$219,$D$5:$AO$5,$D$114:$AO$212))</f>
        <v>9.3000000000000007</v>
      </c>
      <c r="J366" s="304">
        <f t="array" ref="J366">_xlfn.XLOOKUP($B366,$B$114:$B$212,_xlfn.XLOOKUP(J$219,$D$5:$AO$5,$D$114:$AO$212))</f>
        <v>7.5999999999999979</v>
      </c>
      <c r="K366" s="304">
        <f t="array" ref="K366">_xlfn.XLOOKUP($B366,$B$114:$B$212,_xlfn.XLOOKUP(K$219,$D$5:$AO$5,$D$114:$AO$212))</f>
        <v>7.9</v>
      </c>
      <c r="L366" s="304">
        <f t="array" ref="L366">_xlfn.XLOOKUP($B366,$B$114:$B$212,_xlfn.XLOOKUP(L$219,$D$5:$AO$5,$D$114:$AO$212))</f>
        <v>7.5</v>
      </c>
      <c r="M366" s="304">
        <f t="array" ref="M366">_xlfn.XLOOKUP($B366,$B$114:$B$212,_xlfn.XLOOKUP(M$219,$D$5:$AO$5,$D$114:$AO$212))</f>
        <v>5.6</v>
      </c>
      <c r="N366" s="304">
        <f t="array" ref="N366">_xlfn.XLOOKUP($B366,$B$114:$B$212,_xlfn.XLOOKUP(N$219,$D$5:$AO$5,$D$114:$AO$212))</f>
        <v>3.7000000000000011</v>
      </c>
      <c r="O366" s="304">
        <f t="array" ref="O366">_xlfn.XLOOKUP($B366,$B$114:$B$212,_xlfn.XLOOKUP(O$219,$D$5:$AO$5,$D$114:$AO$212))</f>
        <v>2.1</v>
      </c>
      <c r="P366" s="304">
        <f t="array" ref="P366">_xlfn.XLOOKUP($B366,$B$114:$B$212,_xlfn.XLOOKUP(P$219,$D$5:$AO$5,$D$114:$AO$212))</f>
        <v>2.1</v>
      </c>
      <c r="Q366" s="304">
        <f t="array" ref="Q366">_xlfn.XLOOKUP($B366,$B$114:$B$212,_xlfn.XLOOKUP(Q$219,$D$5:$AO$5,$D$114:$AO$212))</f>
        <v>2.1</v>
      </c>
      <c r="R366" s="304">
        <f t="array" ref="R366">_xlfn.XLOOKUP($B366,$B$114:$B$212,_xlfn.XLOOKUP(R$219,$D$5:$AO$5,$D$114:$AO$212))</f>
        <v>2.1</v>
      </c>
      <c r="S366" s="304">
        <f t="array" ref="S366">_xlfn.XLOOKUP($B366,$B$114:$B$212,_xlfn.XLOOKUP(S$219,$D$5:$AO$5,$D$114:$AO$212))</f>
        <v>5</v>
      </c>
      <c r="T366" s="304">
        <f t="array" ref="T366">_xlfn.XLOOKUP($B366,$B$114:$B$212,_xlfn.XLOOKUP(T$219,$D$5:$AO$5,$D$114:$AO$212))</f>
        <v>10</v>
      </c>
      <c r="U366" s="304">
        <f t="array" ref="U366">_xlfn.XLOOKUP($B366,$B$114:$B$212,_xlfn.XLOOKUP(U$219,$D$5:$AO$5,$D$114:$AO$212))</f>
        <v>11</v>
      </c>
      <c r="V366" s="304">
        <f t="array" ref="V366">_xlfn.XLOOKUP($B366,$B$114:$B$212,_xlfn.XLOOKUP(V$219,$D$5:$AO$5,$D$114:$AO$212))</f>
        <v>12</v>
      </c>
      <c r="W366" s="304">
        <f t="array" ref="W366">_xlfn.XLOOKUP($B366,$B$114:$B$212,_xlfn.XLOOKUP(W$219,$D$5:$AO$5,$D$114:$AO$212))</f>
        <v>13.2</v>
      </c>
      <c r="X366" s="304">
        <f t="array" ref="X366">_xlfn.XLOOKUP($B366,$B$114:$B$212,_xlfn.XLOOKUP(X$219,$D$5:$AO$5,$D$114:$AO$212))</f>
        <v>14.4</v>
      </c>
      <c r="Y366" s="304">
        <f t="array" ref="Y366">_xlfn.XLOOKUP($B366,$B$114:$B$212,_xlfn.XLOOKUP(Y$219,$D$5:$AO$5,$D$114:$AO$212))</f>
        <v>15.84</v>
      </c>
      <c r="Z366" s="304">
        <f t="array" ref="Z366">_xlfn.XLOOKUP($B366,$B$114:$B$212,_xlfn.XLOOKUP(Z$219,$D$5:$AO$5,$D$114:$AO$212))</f>
        <v>17.28</v>
      </c>
      <c r="AA366" s="305"/>
      <c r="AB366" s="302" t="str">
        <f t="shared" si="170"/>
        <v>Gaming Revenue - Attributable to SkyCity- old</v>
      </c>
      <c r="AC366" s="303" t="str">
        <f t="shared" si="171"/>
        <v>NZ$m</v>
      </c>
      <c r="AD366" s="303"/>
      <c r="AE366" s="303"/>
      <c r="AF366" s="304">
        <f t="array" ref="AF366">_xlfn.XLOOKUP($B366,$B$114:$B$212,_xlfn.XLOOKUP(AF$219,$D$5:$AO$5,$D$114:$AO$212))</f>
        <v>13.1</v>
      </c>
      <c r="AG366" s="304">
        <f t="array" ref="AG366">_xlfn.XLOOKUP($B366,$B$114:$B$212,_xlfn.XLOOKUP(AG$219,$D$5:$AO$5,$D$114:$AO$212))</f>
        <v>16.899999999999999</v>
      </c>
      <c r="AH366" s="304">
        <f t="array" ref="AH366">_xlfn.XLOOKUP($B366,$B$114:$B$212,_xlfn.XLOOKUP(AH$219,$D$5:$AO$5,$D$114:$AO$212))</f>
        <v>15.4</v>
      </c>
      <c r="AI366" s="304">
        <f t="array" ref="AI366">_xlfn.XLOOKUP($B366,$B$114:$B$212,_xlfn.XLOOKUP(AI$219,$D$5:$AO$5,$D$114:$AO$212))</f>
        <v>9.3000000000000007</v>
      </c>
      <c r="AJ366" s="304">
        <f t="array" ref="AJ366">_xlfn.XLOOKUP($B366,$B$114:$B$212,_xlfn.XLOOKUP(AJ$219,$D$5:$AO$5,$D$114:$AO$212))</f>
        <v>4.2</v>
      </c>
      <c r="AK366" s="304">
        <f t="array" ref="AK366">_xlfn.XLOOKUP($B366,$B$114:$B$212,_xlfn.XLOOKUP(AK$219,$D$5:$AO$5,$D$114:$AO$212))</f>
        <v>4.2</v>
      </c>
      <c r="AL366" s="304">
        <f t="array" ref="AL366">_xlfn.XLOOKUP($B366,$B$114:$B$212,_xlfn.XLOOKUP(AL$219,$D$5:$AO$5,$D$114:$AO$212))</f>
        <v>15</v>
      </c>
      <c r="AM366" s="304">
        <f t="array" ref="AM366">_xlfn.XLOOKUP($B366,$B$114:$B$212,_xlfn.XLOOKUP(AM$219,$D$5:$AO$5,$D$114:$AO$212))</f>
        <v>23</v>
      </c>
      <c r="AN366" s="304">
        <f t="array" ref="AN366">_xlfn.XLOOKUP($B366,$B$114:$B$212,_xlfn.XLOOKUP(AN$219,$D$5:$AO$5,$D$114:$AO$212))</f>
        <v>27.6</v>
      </c>
      <c r="AO366" s="304">
        <f t="array" ref="AO366">_xlfn.XLOOKUP($B366,$B$114:$B$212,_xlfn.XLOOKUP(AO$219,$D$5:$AO$5,$D$114:$AO$212))</f>
        <v>33.119999999999997</v>
      </c>
    </row>
    <row r="367" spans="1:41">
      <c r="B367" s="301" t="s">
        <v>1460</v>
      </c>
      <c r="C367" s="306" t="s">
        <v>1535</v>
      </c>
      <c r="D367" s="307" t="str">
        <f t="array" ref="D367">_xlfn.XLOOKUP($B367,$B$11:$B$109,_xlfn.XLOOKUP(D$219,$D$5:$AO$5,$D$11:$AO$109))</f>
        <v>NZ$m</v>
      </c>
      <c r="E367" s="307"/>
      <c r="F367" s="307"/>
      <c r="G367" s="308">
        <f t="array" ref="G367">_xlfn.XLOOKUP($B367,$B$11:$B$109,_xlfn.XLOOKUP(G$219,$D$5:$AO$5,$D$11:$AO$109))</f>
        <v>7.5</v>
      </c>
      <c r="H367" s="308">
        <f t="array" ref="H367">_xlfn.XLOOKUP($B367,$B$11:$B$109,_xlfn.XLOOKUP(H$219,$D$5:$AO$5,$D$11:$AO$109))</f>
        <v>5.6</v>
      </c>
      <c r="I367" s="308">
        <f t="array" ref="I367">_xlfn.XLOOKUP($B367,$B$11:$B$109,_xlfn.XLOOKUP(I$219,$D$5:$AO$5,$D$11:$AO$109))</f>
        <v>9.3000000000000007</v>
      </c>
      <c r="J367" s="308">
        <f t="array" ref="J367">_xlfn.XLOOKUP($B367,$B$11:$B$109,_xlfn.XLOOKUP(J$219,$D$5:$AO$5,$D$11:$AO$109))</f>
        <v>7.5999999999999979</v>
      </c>
      <c r="K367" s="308">
        <f t="array" ref="K367">_xlfn.XLOOKUP($B367,$B$11:$B$109,_xlfn.XLOOKUP(K$219,$D$5:$AO$5,$D$11:$AO$109))</f>
        <v>7.9</v>
      </c>
      <c r="L367" s="308">
        <f t="array" ref="L367">_xlfn.XLOOKUP($B367,$B$11:$B$109,_xlfn.XLOOKUP(L$219,$D$5:$AO$5,$D$11:$AO$109))</f>
        <v>7.5</v>
      </c>
      <c r="M367" s="308">
        <f t="array" ref="M367">_xlfn.XLOOKUP($B367,$B$11:$B$109,_xlfn.XLOOKUP(M$219,$D$5:$AO$5,$D$11:$AO$109))</f>
        <v>5.6</v>
      </c>
      <c r="N367" s="308">
        <f t="array" ref="N367">_xlfn.XLOOKUP($B367,$B$11:$B$109,_xlfn.XLOOKUP(N$219,$D$5:$AO$5,$D$11:$AO$109))</f>
        <v>3.7000000000000011</v>
      </c>
      <c r="O367" s="308">
        <f t="array" ref="O367">_xlfn.XLOOKUP($B367,$B$11:$B$109,_xlfn.XLOOKUP(O$219,$D$5:$AO$5,$D$11:$AO$109))</f>
        <v>2.1</v>
      </c>
      <c r="P367" s="308">
        <f t="array" ref="P367">_xlfn.XLOOKUP($B367,$B$11:$B$109,_xlfn.XLOOKUP(P$219,$D$5:$AO$5,$D$11:$AO$109))</f>
        <v>1.9999999999999996</v>
      </c>
      <c r="Q367" s="308">
        <f t="array" ref="Q367">_xlfn.XLOOKUP($B367,$B$11:$B$109,_xlfn.XLOOKUP(Q$219,$D$5:$AO$5,$D$11:$AO$109))</f>
        <v>1.6</v>
      </c>
      <c r="R367" s="308">
        <f t="array" ref="R367">_xlfn.XLOOKUP($B367,$B$11:$B$109,_xlfn.XLOOKUP(R$219,$D$5:$AO$5,$D$11:$AO$109))</f>
        <v>1.1999999999999997</v>
      </c>
      <c r="S367" s="308">
        <f t="array" ref="S367">_xlfn.XLOOKUP($B367,$B$11:$B$109,_xlfn.XLOOKUP(S$219,$D$5:$AO$5,$D$11:$AO$109))</f>
        <v>1</v>
      </c>
      <c r="T367" s="308">
        <f t="array" ref="T367">_xlfn.XLOOKUP($B367,$B$11:$B$109,_xlfn.XLOOKUP(T$219,$D$5:$AO$5,$D$11:$AO$109))</f>
        <v>2</v>
      </c>
      <c r="U367" s="308">
        <f t="array" ref="U367">_xlfn.XLOOKUP($B367,$B$11:$B$109,_xlfn.XLOOKUP(U$219,$D$5:$AO$5,$D$11:$AO$109))</f>
        <v>5</v>
      </c>
      <c r="V367" s="308">
        <f t="array" ref="V367">_xlfn.XLOOKUP($B367,$B$11:$B$109,_xlfn.XLOOKUP(V$219,$D$5:$AO$5,$D$11:$AO$109))</f>
        <v>10</v>
      </c>
      <c r="W367" s="308">
        <f t="array" ref="W367">_xlfn.XLOOKUP($B367,$B$11:$B$109,_xlfn.XLOOKUP(W$219,$D$5:$AO$5,$D$11:$AO$109))</f>
        <v>12</v>
      </c>
      <c r="X367" s="308">
        <f t="array" ref="X367">_xlfn.XLOOKUP($B367,$B$11:$B$109,_xlfn.XLOOKUP(X$219,$D$5:$AO$5,$D$11:$AO$109))</f>
        <v>12</v>
      </c>
      <c r="Y367" s="308">
        <f t="array" ref="Y367">_xlfn.XLOOKUP($B367,$B$11:$B$109,_xlfn.XLOOKUP(Y$219,$D$5:$AO$5,$D$11:$AO$109))</f>
        <v>14.399999999999999</v>
      </c>
      <c r="Z367" s="308">
        <f t="array" ref="Z367">_xlfn.XLOOKUP($B367,$B$11:$B$109,_xlfn.XLOOKUP(Z$219,$D$5:$AO$5,$D$11:$AO$109))</f>
        <v>14.399999999999999</v>
      </c>
      <c r="AA367" s="308"/>
      <c r="AB367" s="306" t="str">
        <f t="shared" si="170"/>
        <v>Gaming Revenue - Attributable to SkyCity - New</v>
      </c>
      <c r="AC367" s="307" t="str">
        <f t="shared" si="171"/>
        <v>NZ$m</v>
      </c>
      <c r="AD367" s="307"/>
      <c r="AE367" s="307"/>
      <c r="AF367" s="308">
        <f t="array" ref="AF367">_xlfn.XLOOKUP($B367,$B$11:$B$109,_xlfn.XLOOKUP(AF$219,$D$5:$AO$5,$D$11:$AO$109))</f>
        <v>13.1</v>
      </c>
      <c r="AG367" s="308">
        <f t="array" ref="AG367">_xlfn.XLOOKUP($B367,$B$11:$B$109,_xlfn.XLOOKUP(AG$219,$D$5:$AO$5,$D$11:$AO$109))</f>
        <v>16.899999999999999</v>
      </c>
      <c r="AH367" s="308">
        <f t="array" ref="AH367">_xlfn.XLOOKUP($B367,$B$11:$B$109,_xlfn.XLOOKUP(AH$219,$D$5:$AO$5,$D$11:$AO$109))</f>
        <v>15.4</v>
      </c>
      <c r="AI367" s="308">
        <f t="array" ref="AI367">_xlfn.XLOOKUP($B367,$B$11:$B$109,_xlfn.XLOOKUP(AI$219,$D$5:$AO$5,$D$11:$AO$109))</f>
        <v>9.3000000000000007</v>
      </c>
      <c r="AJ367" s="308">
        <f t="array" ref="AJ367">_xlfn.XLOOKUP($B367,$B$11:$B$109,_xlfn.XLOOKUP(AJ$219,$D$5:$AO$5,$D$11:$AO$109))</f>
        <v>4.0999999999999996</v>
      </c>
      <c r="AK367" s="308">
        <f t="array" ref="AK367">_xlfn.XLOOKUP($B367,$B$11:$B$109,_xlfn.XLOOKUP(AK$219,$D$5:$AO$5,$D$11:$AO$109))</f>
        <v>2.8</v>
      </c>
      <c r="AL367" s="308">
        <f t="array" ref="AL367">_xlfn.XLOOKUP($B367,$B$11:$B$109,_xlfn.XLOOKUP(AL$219,$D$5:$AO$5,$D$11:$AO$109))</f>
        <v>3</v>
      </c>
      <c r="AM367" s="308">
        <f t="array" ref="AM367">_xlfn.XLOOKUP($B367,$B$11:$B$109,_xlfn.XLOOKUP(AM$219,$D$5:$AO$5,$D$11:$AO$109))</f>
        <v>15</v>
      </c>
      <c r="AN367" s="308">
        <f t="array" ref="AN367">_xlfn.XLOOKUP($B367,$B$11:$B$109,_xlfn.XLOOKUP(AN$219,$D$5:$AO$5,$D$11:$AO$109))</f>
        <v>24</v>
      </c>
      <c r="AO367" s="308">
        <f t="array" ref="AO367">_xlfn.XLOOKUP($B367,$B$11:$B$109,_xlfn.XLOOKUP(AO$219,$D$5:$AO$5,$D$11:$AO$109))</f>
        <v>28.799999999999997</v>
      </c>
    </row>
    <row r="368" spans="1:41" hidden="1" outlineLevel="1">
      <c r="B368" s="301"/>
      <c r="C368" s="309" t="s">
        <v>1510</v>
      </c>
      <c r="D368" s="303" t="s">
        <v>88</v>
      </c>
      <c r="E368" s="303"/>
      <c r="F368" s="303"/>
      <c r="G368" s="310" t="s">
        <v>967</v>
      </c>
      <c r="H368" s="310" t="s">
        <v>967</v>
      </c>
      <c r="I368" s="310">
        <f t="shared" ref="I368:Z368" si="176">I367/G367-1</f>
        <v>0.24</v>
      </c>
      <c r="J368" s="310">
        <f t="shared" si="176"/>
        <v>0.35714285714285676</v>
      </c>
      <c r="K368" s="310">
        <f t="shared" si="176"/>
        <v>-0.15053763440860213</v>
      </c>
      <c r="L368" s="310">
        <f t="shared" si="176"/>
        <v>-1.3157894736841813E-2</v>
      </c>
      <c r="M368" s="310">
        <f t="shared" si="176"/>
        <v>-0.29113924050632922</v>
      </c>
      <c r="N368" s="310">
        <f t="shared" si="176"/>
        <v>-0.5066666666666666</v>
      </c>
      <c r="O368" s="310">
        <f t="shared" si="176"/>
        <v>-0.625</v>
      </c>
      <c r="P368" s="310">
        <f t="shared" si="176"/>
        <v>-0.45945945945945976</v>
      </c>
      <c r="Q368" s="310">
        <f t="shared" si="176"/>
        <v>-0.23809523809523814</v>
      </c>
      <c r="R368" s="310">
        <f t="shared" si="176"/>
        <v>-0.4</v>
      </c>
      <c r="S368" s="310">
        <f t="shared" si="176"/>
        <v>-0.375</v>
      </c>
      <c r="T368" s="310">
        <f t="shared" si="176"/>
        <v>0.66666666666666696</v>
      </c>
      <c r="U368" s="310">
        <f t="shared" si="176"/>
        <v>4</v>
      </c>
      <c r="V368" s="310">
        <f t="shared" si="176"/>
        <v>4</v>
      </c>
      <c r="W368" s="310">
        <f t="shared" si="176"/>
        <v>1.4</v>
      </c>
      <c r="X368" s="310">
        <f t="shared" si="176"/>
        <v>0.19999999999999996</v>
      </c>
      <c r="Y368" s="310">
        <f t="shared" si="176"/>
        <v>0.19999999999999996</v>
      </c>
      <c r="Z368" s="310">
        <f t="shared" si="176"/>
        <v>0.19999999999999996</v>
      </c>
      <c r="AA368" s="311"/>
      <c r="AB368" s="309" t="str">
        <f t="shared" si="170"/>
        <v>- Growth</v>
      </c>
      <c r="AC368" s="303" t="str">
        <f t="shared" si="171"/>
        <v>%</v>
      </c>
      <c r="AD368" s="303"/>
      <c r="AE368" s="303"/>
      <c r="AF368" s="310" t="s">
        <v>967</v>
      </c>
      <c r="AG368" s="310">
        <f t="shared" ref="AG368:AO368" si="177">AG367/AF367-1</f>
        <v>0.29007633587786241</v>
      </c>
      <c r="AH368" s="310">
        <f t="shared" si="177"/>
        <v>-8.875739644970404E-2</v>
      </c>
      <c r="AI368" s="310">
        <f t="shared" si="177"/>
        <v>-0.39610389610389607</v>
      </c>
      <c r="AJ368" s="310">
        <f t="shared" si="177"/>
        <v>-0.55913978494623662</v>
      </c>
      <c r="AK368" s="310">
        <f t="shared" si="177"/>
        <v>-0.31707317073170727</v>
      </c>
      <c r="AL368" s="310">
        <f t="shared" si="177"/>
        <v>7.1428571428571397E-2</v>
      </c>
      <c r="AM368" s="310">
        <f t="shared" si="177"/>
        <v>4</v>
      </c>
      <c r="AN368" s="310">
        <f t="shared" si="177"/>
        <v>0.60000000000000009</v>
      </c>
      <c r="AO368" s="310">
        <f t="shared" si="177"/>
        <v>0.19999999999999996</v>
      </c>
    </row>
    <row r="369" spans="1:41" collapsed="1">
      <c r="B369" s="301"/>
      <c r="C369" s="309" t="s">
        <v>1511</v>
      </c>
      <c r="D369" s="303" t="s">
        <v>88</v>
      </c>
      <c r="E369" s="303"/>
      <c r="F369" s="303"/>
      <c r="G369" s="310">
        <f t="shared" ref="G369:Z369" si="178">IFERROR(ROUND( G367 / G366,2) - 1, 0)</f>
        <v>0</v>
      </c>
      <c r="H369" s="310">
        <f t="shared" si="178"/>
        <v>0</v>
      </c>
      <c r="I369" s="310">
        <f t="shared" si="178"/>
        <v>0</v>
      </c>
      <c r="J369" s="310">
        <f t="shared" si="178"/>
        <v>0</v>
      </c>
      <c r="K369" s="310">
        <f t="shared" si="178"/>
        <v>0</v>
      </c>
      <c r="L369" s="310">
        <f t="shared" si="178"/>
        <v>0</v>
      </c>
      <c r="M369" s="310">
        <f t="shared" si="178"/>
        <v>0</v>
      </c>
      <c r="N369" s="310">
        <f t="shared" si="178"/>
        <v>0</v>
      </c>
      <c r="O369" s="310">
        <f t="shared" si="178"/>
        <v>0</v>
      </c>
      <c r="P369" s="310">
        <f t="shared" si="178"/>
        <v>-5.0000000000000044E-2</v>
      </c>
      <c r="Q369" s="310">
        <f t="shared" si="178"/>
        <v>-0.24</v>
      </c>
      <c r="R369" s="310">
        <f t="shared" si="178"/>
        <v>-0.43000000000000005</v>
      </c>
      <c r="S369" s="310">
        <f t="shared" si="178"/>
        <v>-0.8</v>
      </c>
      <c r="T369" s="310">
        <f t="shared" si="178"/>
        <v>-0.8</v>
      </c>
      <c r="U369" s="310">
        <f t="shared" si="178"/>
        <v>-0.55000000000000004</v>
      </c>
      <c r="V369" s="310">
        <f t="shared" si="178"/>
        <v>-0.17000000000000004</v>
      </c>
      <c r="W369" s="310">
        <f t="shared" si="178"/>
        <v>-8.9999999999999969E-2</v>
      </c>
      <c r="X369" s="310">
        <f t="shared" si="178"/>
        <v>-0.17000000000000004</v>
      </c>
      <c r="Y369" s="310">
        <f t="shared" si="178"/>
        <v>-8.9999999999999969E-2</v>
      </c>
      <c r="Z369" s="310">
        <f t="shared" si="178"/>
        <v>-0.17000000000000004</v>
      </c>
      <c r="AA369" s="310"/>
      <c r="AB369" s="309" t="str">
        <f t="shared" si="170"/>
        <v>- Revision</v>
      </c>
      <c r="AC369" s="303" t="str">
        <f t="shared" si="171"/>
        <v>%</v>
      </c>
      <c r="AD369" s="303"/>
      <c r="AE369" s="303"/>
      <c r="AF369" s="310">
        <f t="shared" ref="AF369:AO369" si="179">IFERROR(ROUND( AF367 / AF366,2) - 1, 0)</f>
        <v>0</v>
      </c>
      <c r="AG369" s="310">
        <f t="shared" si="179"/>
        <v>0</v>
      </c>
      <c r="AH369" s="310">
        <f t="shared" si="179"/>
        <v>0</v>
      </c>
      <c r="AI369" s="310">
        <f t="shared" si="179"/>
        <v>0</v>
      </c>
      <c r="AJ369" s="310">
        <f t="shared" si="179"/>
        <v>-2.0000000000000018E-2</v>
      </c>
      <c r="AK369" s="310">
        <f t="shared" si="179"/>
        <v>-0.32999999999999996</v>
      </c>
      <c r="AL369" s="310">
        <f t="shared" si="179"/>
        <v>-0.8</v>
      </c>
      <c r="AM369" s="310">
        <f t="shared" si="179"/>
        <v>-0.35</v>
      </c>
      <c r="AN369" s="310">
        <f t="shared" si="179"/>
        <v>-0.13</v>
      </c>
      <c r="AO369" s="310">
        <f t="shared" si="179"/>
        <v>-0.13</v>
      </c>
    </row>
    <row r="370" spans="1:41">
      <c r="B370" s="301" t="s">
        <v>1461</v>
      </c>
      <c r="C370" s="302" t="s">
        <v>1536</v>
      </c>
      <c r="D370" s="303" t="str">
        <f t="array" ref="D370">_xlfn.XLOOKUP($B370,$B$114:$B$212,_xlfn.XLOOKUP(D$219,$D$5:$AO$5,$D$114:$AO$212))</f>
        <v>NZ$m</v>
      </c>
      <c r="E370" s="303"/>
      <c r="F370" s="303"/>
      <c r="G370" s="304">
        <f t="array" ref="G370">_xlfn.XLOOKUP($B370,$B$114:$B$212,_xlfn.XLOOKUP(G$219,$D$5:$AO$5,$D$114:$AO$212))</f>
        <v>-2.1</v>
      </c>
      <c r="H370" s="304">
        <f t="array" ref="H370">_xlfn.XLOOKUP($B370,$B$114:$B$212,_xlfn.XLOOKUP(H$219,$D$5:$AO$5,$D$114:$AO$212))</f>
        <v>-2</v>
      </c>
      <c r="I370" s="304">
        <f t="array" ref="I370">_xlfn.XLOOKUP($B370,$B$114:$B$212,_xlfn.XLOOKUP(I$219,$D$5:$AO$5,$D$114:$AO$212))</f>
        <v>-2.2999999999999998</v>
      </c>
      <c r="J370" s="304">
        <f t="array" ref="J370">_xlfn.XLOOKUP($B370,$B$114:$B$212,_xlfn.XLOOKUP(J$219,$D$5:$AO$5,$D$114:$AO$212))</f>
        <v>-1.8</v>
      </c>
      <c r="K370" s="304">
        <f t="array" ref="K370">_xlfn.XLOOKUP($B370,$B$114:$B$212,_xlfn.XLOOKUP(K$219,$D$5:$AO$5,$D$114:$AO$212))</f>
        <v>-2.2000000000000002</v>
      </c>
      <c r="L370" s="304">
        <f t="array" ref="L370">_xlfn.XLOOKUP($B370,$B$114:$B$212,_xlfn.XLOOKUP(L$219,$D$5:$AO$5,$D$114:$AO$212))</f>
        <v>-2.399999999999999</v>
      </c>
      <c r="M370" s="304">
        <f t="array" ref="M370">_xlfn.XLOOKUP($B370,$B$114:$B$212,_xlfn.XLOOKUP(M$219,$D$5:$AO$5,$D$114:$AO$212))</f>
        <v>-2.6</v>
      </c>
      <c r="N370" s="304">
        <f t="array" ref="N370">_xlfn.XLOOKUP($B370,$B$114:$B$212,_xlfn.XLOOKUP(N$219,$D$5:$AO$5,$D$114:$AO$212))</f>
        <v>-3.2</v>
      </c>
      <c r="O370" s="304">
        <f t="array" ref="O370">_xlfn.XLOOKUP($B370,$B$114:$B$212,_xlfn.XLOOKUP(O$219,$D$5:$AO$5,$D$114:$AO$212))</f>
        <v>-3.2</v>
      </c>
      <c r="P370" s="304">
        <f t="array" ref="P370">_xlfn.XLOOKUP($B370,$B$114:$B$212,_xlfn.XLOOKUP(P$219,$D$5:$AO$5,$D$114:$AO$212))</f>
        <v>-3.2</v>
      </c>
      <c r="Q370" s="304">
        <f t="array" ref="Q370">_xlfn.XLOOKUP($B370,$B$114:$B$212,_xlfn.XLOOKUP(Q$219,$D$5:$AO$5,$D$114:$AO$212))</f>
        <v>-4</v>
      </c>
      <c r="R370" s="304">
        <f t="array" ref="R370">_xlfn.XLOOKUP($B370,$B$114:$B$212,_xlfn.XLOOKUP(R$219,$D$5:$AO$5,$D$114:$AO$212))</f>
        <v>-5</v>
      </c>
      <c r="S370" s="304">
        <f t="array" ref="S370">_xlfn.XLOOKUP($B370,$B$114:$B$212,_xlfn.XLOOKUP(S$219,$D$5:$AO$5,$D$114:$AO$212))</f>
        <v>-5</v>
      </c>
      <c r="T370" s="304">
        <f t="array" ref="T370">_xlfn.XLOOKUP($B370,$B$114:$B$212,_xlfn.XLOOKUP(T$219,$D$5:$AO$5,$D$114:$AO$212))</f>
        <v>-5</v>
      </c>
      <c r="U370" s="304">
        <f t="array" ref="U370">_xlfn.XLOOKUP($B370,$B$114:$B$212,_xlfn.XLOOKUP(U$219,$D$5:$AO$5,$D$114:$AO$212))</f>
        <v>-5</v>
      </c>
      <c r="V370" s="304">
        <f t="array" ref="V370">_xlfn.XLOOKUP($B370,$B$114:$B$212,_xlfn.XLOOKUP(V$219,$D$5:$AO$5,$D$114:$AO$212))</f>
        <v>-5</v>
      </c>
      <c r="W370" s="304">
        <f t="array" ref="W370">_xlfn.XLOOKUP($B370,$B$114:$B$212,_xlfn.XLOOKUP(W$219,$D$5:$AO$5,$D$114:$AO$212))</f>
        <v>-6.6</v>
      </c>
      <c r="X370" s="304">
        <f t="array" ref="X370">_xlfn.XLOOKUP($B370,$B$114:$B$212,_xlfn.XLOOKUP(X$219,$D$5:$AO$5,$D$114:$AO$212))</f>
        <v>-7.1999999999999993</v>
      </c>
      <c r="Y370" s="304">
        <f t="array" ref="Y370">_xlfn.XLOOKUP($B370,$B$114:$B$212,_xlfn.XLOOKUP(Y$219,$D$5:$AO$5,$D$114:$AO$212))</f>
        <v>-7.919999999999999</v>
      </c>
      <c r="Z370" s="304">
        <f t="array" ref="Z370">_xlfn.XLOOKUP($B370,$B$114:$B$212,_xlfn.XLOOKUP(Z$219,$D$5:$AO$5,$D$114:$AO$212))</f>
        <v>-8.6399999999999988</v>
      </c>
      <c r="AA370" s="305"/>
      <c r="AB370" s="302" t="str">
        <f t="shared" si="170"/>
        <v>Expenses - old</v>
      </c>
      <c r="AC370" s="303" t="str">
        <f t="shared" si="171"/>
        <v>NZ$m</v>
      </c>
      <c r="AD370" s="303"/>
      <c r="AE370" s="303"/>
      <c r="AF370" s="304">
        <f t="array" ref="AF370">_xlfn.XLOOKUP($B370,$B$114:$B$212,_xlfn.XLOOKUP(AF$219,$D$5:$AO$5,$D$114:$AO$212))</f>
        <v>-4.0999999999999996</v>
      </c>
      <c r="AG370" s="304">
        <f t="array" ref="AG370">_xlfn.XLOOKUP($B370,$B$114:$B$212,_xlfn.XLOOKUP(AG$219,$D$5:$AO$5,$D$114:$AO$212))</f>
        <v>-4.0999999999999996</v>
      </c>
      <c r="AH370" s="304">
        <f t="array" ref="AH370">_xlfn.XLOOKUP($B370,$B$114:$B$212,_xlfn.XLOOKUP(AH$219,$D$5:$AO$5,$D$114:$AO$212))</f>
        <v>-4.5999999999999996</v>
      </c>
      <c r="AI370" s="304">
        <f t="array" ref="AI370">_xlfn.XLOOKUP($B370,$B$114:$B$212,_xlfn.XLOOKUP(AI$219,$D$5:$AO$5,$D$114:$AO$212))</f>
        <v>-5.8</v>
      </c>
      <c r="AJ370" s="304">
        <f t="array" ref="AJ370">_xlfn.XLOOKUP($B370,$B$114:$B$212,_xlfn.XLOOKUP(AJ$219,$D$5:$AO$5,$D$114:$AO$212))</f>
        <v>-6.4</v>
      </c>
      <c r="AK370" s="304">
        <f t="array" ref="AK370">_xlfn.XLOOKUP($B370,$B$114:$B$212,_xlfn.XLOOKUP(AK$219,$D$5:$AO$5,$D$114:$AO$212))</f>
        <v>-9</v>
      </c>
      <c r="AL370" s="304">
        <f t="array" ref="AL370">_xlfn.XLOOKUP($B370,$B$114:$B$212,_xlfn.XLOOKUP(AL$219,$D$5:$AO$5,$D$114:$AO$212))</f>
        <v>-10</v>
      </c>
      <c r="AM370" s="304">
        <f t="array" ref="AM370">_xlfn.XLOOKUP($B370,$B$114:$B$212,_xlfn.XLOOKUP(AM$219,$D$5:$AO$5,$D$114:$AO$212))</f>
        <v>-10</v>
      </c>
      <c r="AN370" s="304">
        <f t="array" ref="AN370">_xlfn.XLOOKUP($B370,$B$114:$B$212,_xlfn.XLOOKUP(AN$219,$D$5:$AO$5,$D$114:$AO$212))</f>
        <v>-13.8</v>
      </c>
      <c r="AO370" s="304">
        <f t="array" ref="AO370">_xlfn.XLOOKUP($B370,$B$114:$B$212,_xlfn.XLOOKUP(AO$219,$D$5:$AO$5,$D$114:$AO$212))</f>
        <v>-16.559999999999999</v>
      </c>
    </row>
    <row r="371" spans="1:41">
      <c r="B371" s="301" t="s">
        <v>1461</v>
      </c>
      <c r="C371" s="318" t="s">
        <v>1537</v>
      </c>
      <c r="D371" s="307" t="str">
        <f t="array" ref="D371">_xlfn.XLOOKUP($B371,$B$11:$B$109,_xlfn.XLOOKUP(D$219,$D$5:$AO$5,$D$11:$AO$109))</f>
        <v>NZ$m</v>
      </c>
      <c r="E371" s="307"/>
      <c r="F371" s="307"/>
      <c r="G371" s="308">
        <f t="array" ref="G371">_xlfn.XLOOKUP($B371,$B$11:$B$109,_xlfn.XLOOKUP(G$219,$D$5:$AO$5,$D$11:$AO$109))</f>
        <v>-2.1</v>
      </c>
      <c r="H371" s="308">
        <f t="array" ref="H371">_xlfn.XLOOKUP($B371,$B$11:$B$109,_xlfn.XLOOKUP(H$219,$D$5:$AO$5,$D$11:$AO$109))</f>
        <v>-1.9999999999999996</v>
      </c>
      <c r="I371" s="308">
        <f t="array" ref="I371">_xlfn.XLOOKUP($B371,$B$11:$B$109,_xlfn.XLOOKUP(I$219,$D$5:$AO$5,$D$11:$AO$109))</f>
        <v>-2.2999999999999998</v>
      </c>
      <c r="J371" s="308">
        <f t="array" ref="J371">_xlfn.XLOOKUP($B371,$B$11:$B$109,_xlfn.XLOOKUP(J$219,$D$5:$AO$5,$D$11:$AO$109))</f>
        <v>-1.7999999999999998</v>
      </c>
      <c r="K371" s="308">
        <f t="array" ref="K371">_xlfn.XLOOKUP($B371,$B$11:$B$109,_xlfn.XLOOKUP(K$219,$D$5:$AO$5,$D$11:$AO$109))</f>
        <v>-2.2000000000000002</v>
      </c>
      <c r="L371" s="308">
        <f t="array" ref="L371">_xlfn.XLOOKUP($B371,$B$11:$B$109,_xlfn.XLOOKUP(L$219,$D$5:$AO$5,$D$11:$AO$109))</f>
        <v>-2.3999999999999995</v>
      </c>
      <c r="M371" s="308">
        <f t="array" ref="M371">_xlfn.XLOOKUP($B371,$B$11:$B$109,_xlfn.XLOOKUP(M$219,$D$5:$AO$5,$D$11:$AO$109))</f>
        <v>-2.6</v>
      </c>
      <c r="N371" s="308">
        <f t="array" ref="N371">_xlfn.XLOOKUP($B371,$B$11:$B$109,_xlfn.XLOOKUP(N$219,$D$5:$AO$5,$D$11:$AO$109))</f>
        <v>-3.1999999999999997</v>
      </c>
      <c r="O371" s="308">
        <f t="array" ref="O371">_xlfn.XLOOKUP($B371,$B$11:$B$109,_xlfn.XLOOKUP(O$219,$D$5:$AO$5,$D$11:$AO$109))</f>
        <v>-3.2</v>
      </c>
      <c r="P371" s="308">
        <f t="array" ref="P371">_xlfn.XLOOKUP($B371,$B$11:$B$109,_xlfn.XLOOKUP(P$219,$D$5:$AO$5,$D$11:$AO$109))</f>
        <v>-2.7</v>
      </c>
      <c r="Q371" s="308">
        <f t="array" ref="Q371">_xlfn.XLOOKUP($B371,$B$11:$B$109,_xlfn.XLOOKUP(Q$219,$D$5:$AO$5,$D$11:$AO$109))</f>
        <v>-3.8</v>
      </c>
      <c r="R371" s="308">
        <f t="array" ref="R371">_xlfn.XLOOKUP($B371,$B$11:$B$109,_xlfn.XLOOKUP(R$219,$D$5:$AO$5,$D$11:$AO$109))</f>
        <v>-5.3999999999999995</v>
      </c>
      <c r="S371" s="308">
        <f t="array" ref="S371">_xlfn.XLOOKUP($B371,$B$11:$B$109,_xlfn.XLOOKUP(S$219,$D$5:$AO$5,$D$11:$AO$109))</f>
        <v>-7</v>
      </c>
      <c r="T371" s="308">
        <f t="array" ref="T371">_xlfn.XLOOKUP($B371,$B$11:$B$109,_xlfn.XLOOKUP(T$219,$D$5:$AO$5,$D$11:$AO$109))</f>
        <v>-9</v>
      </c>
      <c r="U371" s="308">
        <f t="array" ref="U371">_xlfn.XLOOKUP($B371,$B$11:$B$109,_xlfn.XLOOKUP(U$219,$D$5:$AO$5,$D$11:$AO$109))</f>
        <v>-10</v>
      </c>
      <c r="V371" s="308">
        <f t="array" ref="V371">_xlfn.XLOOKUP($B371,$B$11:$B$109,_xlfn.XLOOKUP(V$219,$D$5:$AO$5,$D$11:$AO$109))</f>
        <v>-10</v>
      </c>
      <c r="W371" s="308">
        <f t="array" ref="W371">_xlfn.XLOOKUP($B371,$B$11:$B$109,_xlfn.XLOOKUP(W$219,$D$5:$AO$5,$D$11:$AO$109))</f>
        <v>-7.1999999999999993</v>
      </c>
      <c r="X371" s="308">
        <f t="array" ref="X371">_xlfn.XLOOKUP($B371,$B$11:$B$109,_xlfn.XLOOKUP(X$219,$D$5:$AO$5,$D$11:$AO$109))</f>
        <v>-7.1999999999999993</v>
      </c>
      <c r="Y371" s="308">
        <f t="array" ref="Y371">_xlfn.XLOOKUP($B371,$B$11:$B$109,_xlfn.XLOOKUP(Y$219,$D$5:$AO$5,$D$11:$AO$109))</f>
        <v>-8.6399999999999988</v>
      </c>
      <c r="Z371" s="308">
        <f t="array" ref="Z371">_xlfn.XLOOKUP($B371,$B$11:$B$109,_xlfn.XLOOKUP(Z$219,$D$5:$AO$5,$D$11:$AO$109))</f>
        <v>-8.6399999999999988</v>
      </c>
      <c r="AA371" s="308"/>
      <c r="AB371" s="306" t="str">
        <f t="shared" si="170"/>
        <v>Expenses - New</v>
      </c>
      <c r="AC371" s="307" t="str">
        <f t="shared" si="171"/>
        <v>NZ$m</v>
      </c>
      <c r="AD371" s="307"/>
      <c r="AE371" s="307"/>
      <c r="AF371" s="308">
        <f t="array" ref="AF371">_xlfn.XLOOKUP($B371,$B$11:$B$109,_xlfn.XLOOKUP(AF$219,$D$5:$AO$5,$D$11:$AO$109))</f>
        <v>-4.0999999999999996</v>
      </c>
      <c r="AG371" s="308">
        <f t="array" ref="AG371">_xlfn.XLOOKUP($B371,$B$11:$B$109,_xlfn.XLOOKUP(AG$219,$D$5:$AO$5,$D$11:$AO$109))</f>
        <v>-4.0999999999999996</v>
      </c>
      <c r="AH371" s="308">
        <f t="array" ref="AH371">_xlfn.XLOOKUP($B371,$B$11:$B$109,_xlfn.XLOOKUP(AH$219,$D$5:$AO$5,$D$11:$AO$109))</f>
        <v>-4.5999999999999996</v>
      </c>
      <c r="AI371" s="308">
        <f t="array" ref="AI371">_xlfn.XLOOKUP($B371,$B$11:$B$109,_xlfn.XLOOKUP(AI$219,$D$5:$AO$5,$D$11:$AO$109))</f>
        <v>-5.8</v>
      </c>
      <c r="AJ371" s="308">
        <f t="array" ref="AJ371">_xlfn.XLOOKUP($B371,$B$11:$B$109,_xlfn.XLOOKUP(AJ$219,$D$5:$AO$5,$D$11:$AO$109))</f>
        <v>-5.9</v>
      </c>
      <c r="AK371" s="308">
        <f t="array" ref="AK371">_xlfn.XLOOKUP($B371,$B$11:$B$109,_xlfn.XLOOKUP(AK$219,$D$5:$AO$5,$D$11:$AO$109))</f>
        <v>-9.1999999999999993</v>
      </c>
      <c r="AL371" s="308">
        <f t="array" ref="AL371">_xlfn.XLOOKUP($B371,$B$11:$B$109,_xlfn.XLOOKUP(AL$219,$D$5:$AO$5,$D$11:$AO$109))</f>
        <v>-16</v>
      </c>
      <c r="AM371" s="308">
        <f t="array" ref="AM371">_xlfn.XLOOKUP($B371,$B$11:$B$109,_xlfn.XLOOKUP(AM$219,$D$5:$AO$5,$D$11:$AO$109))</f>
        <v>-20</v>
      </c>
      <c r="AN371" s="308">
        <f t="array" ref="AN371">_xlfn.XLOOKUP($B371,$B$11:$B$109,_xlfn.XLOOKUP(AN$219,$D$5:$AO$5,$D$11:$AO$109))</f>
        <v>-14.399999999999999</v>
      </c>
      <c r="AO371" s="308">
        <f t="array" ref="AO371">_xlfn.XLOOKUP($B371,$B$11:$B$109,_xlfn.XLOOKUP(AO$219,$D$5:$AO$5,$D$11:$AO$109))</f>
        <v>-17.279999999999998</v>
      </c>
    </row>
    <row r="372" spans="1:41" hidden="1" outlineLevel="1">
      <c r="B372" s="301"/>
      <c r="C372" s="309" t="s">
        <v>1510</v>
      </c>
      <c r="D372" s="303" t="s">
        <v>88</v>
      </c>
      <c r="E372" s="303"/>
      <c r="F372" s="303"/>
      <c r="G372" s="310" t="s">
        <v>967</v>
      </c>
      <c r="H372" s="310" t="s">
        <v>967</v>
      </c>
      <c r="I372" s="310">
        <f t="shared" ref="I372:Z372" si="180">I371/G371-1</f>
        <v>9.5238095238095122E-2</v>
      </c>
      <c r="J372" s="310">
        <f t="shared" si="180"/>
        <v>-9.9999999999999867E-2</v>
      </c>
      <c r="K372" s="310">
        <f t="shared" si="180"/>
        <v>-4.3478260869565077E-2</v>
      </c>
      <c r="L372" s="310">
        <f t="shared" si="180"/>
        <v>0.33333333333333326</v>
      </c>
      <c r="M372" s="310">
        <f t="shared" si="180"/>
        <v>0.18181818181818166</v>
      </c>
      <c r="N372" s="310">
        <f t="shared" si="180"/>
        <v>0.33333333333333348</v>
      </c>
      <c r="O372" s="310">
        <f t="shared" si="180"/>
        <v>0.23076923076923084</v>
      </c>
      <c r="P372" s="310">
        <f t="shared" si="180"/>
        <v>-0.15624999999999989</v>
      </c>
      <c r="Q372" s="310">
        <f t="shared" si="180"/>
        <v>0.18749999999999978</v>
      </c>
      <c r="R372" s="310">
        <f t="shared" si="180"/>
        <v>0.99999999999999978</v>
      </c>
      <c r="S372" s="310">
        <f t="shared" si="180"/>
        <v>0.84210526315789491</v>
      </c>
      <c r="T372" s="310">
        <f t="shared" si="180"/>
        <v>0.66666666666666674</v>
      </c>
      <c r="U372" s="310">
        <f t="shared" si="180"/>
        <v>0.4285714285714286</v>
      </c>
      <c r="V372" s="310">
        <f t="shared" si="180"/>
        <v>0.11111111111111116</v>
      </c>
      <c r="W372" s="310">
        <f t="shared" si="180"/>
        <v>-0.28000000000000003</v>
      </c>
      <c r="X372" s="310">
        <f t="shared" si="180"/>
        <v>-0.28000000000000003</v>
      </c>
      <c r="Y372" s="310">
        <f t="shared" si="180"/>
        <v>0.19999999999999996</v>
      </c>
      <c r="Z372" s="310">
        <f t="shared" si="180"/>
        <v>0.19999999999999996</v>
      </c>
      <c r="AA372" s="311"/>
      <c r="AB372" s="309" t="str">
        <f t="shared" si="170"/>
        <v>- Growth</v>
      </c>
      <c r="AC372" s="303" t="str">
        <f t="shared" si="171"/>
        <v>%</v>
      </c>
      <c r="AD372" s="303"/>
      <c r="AE372" s="303"/>
      <c r="AF372" s="310" t="s">
        <v>967</v>
      </c>
      <c r="AG372" s="310">
        <f t="shared" ref="AG372:AO372" si="181">AG371/AF371-1</f>
        <v>0</v>
      </c>
      <c r="AH372" s="310">
        <f t="shared" si="181"/>
        <v>0.12195121951219523</v>
      </c>
      <c r="AI372" s="310">
        <f t="shared" si="181"/>
        <v>0.26086956521739135</v>
      </c>
      <c r="AJ372" s="310">
        <f t="shared" si="181"/>
        <v>1.7241379310344973E-2</v>
      </c>
      <c r="AK372" s="310">
        <f t="shared" si="181"/>
        <v>0.55932203389830493</v>
      </c>
      <c r="AL372" s="310">
        <f t="shared" si="181"/>
        <v>0.73913043478260887</v>
      </c>
      <c r="AM372" s="310">
        <f t="shared" si="181"/>
        <v>0.25</v>
      </c>
      <c r="AN372" s="310">
        <f t="shared" si="181"/>
        <v>-0.28000000000000003</v>
      </c>
      <c r="AO372" s="310">
        <f t="shared" si="181"/>
        <v>0.19999999999999996</v>
      </c>
    </row>
    <row r="373" spans="1:41" collapsed="1">
      <c r="B373" s="301"/>
      <c r="C373" s="309" t="s">
        <v>1511</v>
      </c>
      <c r="D373" s="303" t="s">
        <v>88</v>
      </c>
      <c r="E373" s="303"/>
      <c r="F373" s="303"/>
      <c r="G373" s="310">
        <f t="shared" ref="G373:Z373" si="182">IFERROR(ROUND( G371 / G370,2) - 1, 0)</f>
        <v>0</v>
      </c>
      <c r="H373" s="310">
        <f t="shared" si="182"/>
        <v>0</v>
      </c>
      <c r="I373" s="310">
        <f t="shared" si="182"/>
        <v>0</v>
      </c>
      <c r="J373" s="310">
        <f t="shared" si="182"/>
        <v>0</v>
      </c>
      <c r="K373" s="310">
        <f t="shared" si="182"/>
        <v>0</v>
      </c>
      <c r="L373" s="310">
        <f t="shared" si="182"/>
        <v>0</v>
      </c>
      <c r="M373" s="310">
        <f t="shared" si="182"/>
        <v>0</v>
      </c>
      <c r="N373" s="310">
        <f t="shared" si="182"/>
        <v>0</v>
      </c>
      <c r="O373" s="310">
        <f t="shared" si="182"/>
        <v>0</v>
      </c>
      <c r="P373" s="310">
        <f t="shared" si="182"/>
        <v>-0.16000000000000003</v>
      </c>
      <c r="Q373" s="310">
        <f t="shared" si="182"/>
        <v>-5.0000000000000044E-2</v>
      </c>
      <c r="R373" s="310">
        <f t="shared" si="182"/>
        <v>8.0000000000000071E-2</v>
      </c>
      <c r="S373" s="310">
        <f t="shared" si="182"/>
        <v>0.39999999999999991</v>
      </c>
      <c r="T373" s="310">
        <f t="shared" si="182"/>
        <v>0.8</v>
      </c>
      <c r="U373" s="310">
        <f t="shared" si="182"/>
        <v>1</v>
      </c>
      <c r="V373" s="310">
        <f t="shared" si="182"/>
        <v>1</v>
      </c>
      <c r="W373" s="310">
        <f t="shared" si="182"/>
        <v>9.000000000000008E-2</v>
      </c>
      <c r="X373" s="310">
        <f t="shared" si="182"/>
        <v>0</v>
      </c>
      <c r="Y373" s="310">
        <f t="shared" si="182"/>
        <v>9.000000000000008E-2</v>
      </c>
      <c r="Z373" s="310">
        <f t="shared" si="182"/>
        <v>0</v>
      </c>
      <c r="AA373" s="310"/>
      <c r="AB373" s="309" t="str">
        <f t="shared" si="170"/>
        <v>- Revision</v>
      </c>
      <c r="AC373" s="303" t="str">
        <f t="shared" si="171"/>
        <v>%</v>
      </c>
      <c r="AD373" s="303"/>
      <c r="AE373" s="303"/>
      <c r="AF373" s="310">
        <f t="shared" ref="AF373:AO373" si="183">IFERROR(ROUND( AF371 / AF370,2) - 1, 0)</f>
        <v>0</v>
      </c>
      <c r="AG373" s="310">
        <f t="shared" si="183"/>
        <v>0</v>
      </c>
      <c r="AH373" s="310">
        <f t="shared" si="183"/>
        <v>0</v>
      </c>
      <c r="AI373" s="310">
        <f t="shared" si="183"/>
        <v>0</v>
      </c>
      <c r="AJ373" s="310">
        <f t="shared" si="183"/>
        <v>-7.999999999999996E-2</v>
      </c>
      <c r="AK373" s="310">
        <f t="shared" si="183"/>
        <v>2.0000000000000018E-2</v>
      </c>
      <c r="AL373" s="310">
        <f t="shared" si="183"/>
        <v>0.60000000000000009</v>
      </c>
      <c r="AM373" s="310">
        <f t="shared" si="183"/>
        <v>1</v>
      </c>
      <c r="AN373" s="310">
        <f t="shared" si="183"/>
        <v>4.0000000000000036E-2</v>
      </c>
      <c r="AO373" s="310">
        <f t="shared" si="183"/>
        <v>4.0000000000000036E-2</v>
      </c>
    </row>
    <row r="374" spans="1:41">
      <c r="B374" s="301" t="s">
        <v>1462</v>
      </c>
      <c r="C374" s="302" t="s">
        <v>1538</v>
      </c>
      <c r="D374" s="303" t="str">
        <f t="array" ref="D374">_xlfn.XLOOKUP($B374,$B$114:$B$212,_xlfn.XLOOKUP(D$219,$D$5:$AO$5,$D$114:$AO$212))</f>
        <v>NZ$m</v>
      </c>
      <c r="E374" s="303"/>
      <c r="F374" s="303"/>
      <c r="G374" s="304">
        <f t="array" ref="G374">_xlfn.XLOOKUP($B374,$B$114:$B$212,_xlfn.XLOOKUP(G$219,$D$5:$AO$5,$D$114:$AO$212))</f>
        <v>5.4</v>
      </c>
      <c r="H374" s="304">
        <f t="array" ref="H374">_xlfn.XLOOKUP($B374,$B$114:$B$212,_xlfn.XLOOKUP(H$219,$D$5:$AO$5,$D$114:$AO$212))</f>
        <v>3.6999999999999988</v>
      </c>
      <c r="I374" s="304">
        <f t="array" ref="I374">_xlfn.XLOOKUP($B374,$B$114:$B$212,_xlfn.XLOOKUP(I$219,$D$5:$AO$5,$D$114:$AO$212))</f>
        <v>7</v>
      </c>
      <c r="J374" s="304">
        <f t="array" ref="J374">_xlfn.XLOOKUP($B374,$B$114:$B$212,_xlfn.XLOOKUP(J$219,$D$5:$AO$5,$D$114:$AO$212))</f>
        <v>5.9</v>
      </c>
      <c r="K374" s="304">
        <f t="array" ref="K374">_xlfn.XLOOKUP($B374,$B$114:$B$212,_xlfn.XLOOKUP(K$219,$D$5:$AO$5,$D$114:$AO$212))</f>
        <v>5.6</v>
      </c>
      <c r="L374" s="304">
        <f t="array" ref="L374">_xlfn.XLOOKUP($B374,$B$114:$B$212,_xlfn.XLOOKUP(L$219,$D$5:$AO$5,$D$114:$AO$212))</f>
        <v>5.0999999999999996</v>
      </c>
      <c r="M374" s="304">
        <f t="array" ref="M374">_xlfn.XLOOKUP($B374,$B$114:$B$212,_xlfn.XLOOKUP(M$219,$D$5:$AO$5,$D$114:$AO$212))</f>
        <v>3</v>
      </c>
      <c r="N374" s="304">
        <f t="array" ref="N374">_xlfn.XLOOKUP($B374,$B$114:$B$212,_xlfn.XLOOKUP(N$219,$D$5:$AO$5,$D$114:$AO$212))</f>
        <v>0.60000000000000009</v>
      </c>
      <c r="O374" s="304">
        <f t="array" ref="O374">_xlfn.XLOOKUP($B374,$B$114:$B$212,_xlfn.XLOOKUP(O$219,$D$5:$AO$5,$D$114:$AO$212))</f>
        <v>-1.1000000000000001</v>
      </c>
      <c r="P374" s="304">
        <f t="array" ref="P374">_xlfn.XLOOKUP($B374,$B$114:$B$212,_xlfn.XLOOKUP(P$219,$D$5:$AO$5,$D$114:$AO$212))</f>
        <v>-1.1000000000000001</v>
      </c>
      <c r="Q374" s="304">
        <f t="array" ref="Q374">_xlfn.XLOOKUP($B374,$B$114:$B$212,_xlfn.XLOOKUP(Q$219,$D$5:$AO$5,$D$114:$AO$212))</f>
        <v>-1.9</v>
      </c>
      <c r="R374" s="304">
        <f t="array" ref="R374">_xlfn.XLOOKUP($B374,$B$114:$B$212,_xlfn.XLOOKUP(R$219,$D$5:$AO$5,$D$114:$AO$212))</f>
        <v>-2.9</v>
      </c>
      <c r="S374" s="304">
        <f t="array" ref="S374">_xlfn.XLOOKUP($B374,$B$114:$B$212,_xlfn.XLOOKUP(S$219,$D$5:$AO$5,$D$114:$AO$212))</f>
        <v>0</v>
      </c>
      <c r="T374" s="304">
        <f t="array" ref="T374">_xlfn.XLOOKUP($B374,$B$114:$B$212,_xlfn.XLOOKUP(T$219,$D$5:$AO$5,$D$114:$AO$212))</f>
        <v>5</v>
      </c>
      <c r="U374" s="304">
        <f t="array" ref="U374">_xlfn.XLOOKUP($B374,$B$114:$B$212,_xlfn.XLOOKUP(U$219,$D$5:$AO$5,$D$114:$AO$212))</f>
        <v>6</v>
      </c>
      <c r="V374" s="304">
        <f t="array" ref="V374">_xlfn.XLOOKUP($B374,$B$114:$B$212,_xlfn.XLOOKUP(V$219,$D$5:$AO$5,$D$114:$AO$212))</f>
        <v>7</v>
      </c>
      <c r="W374" s="304">
        <f t="array" ref="W374">_xlfn.XLOOKUP($B374,$B$114:$B$212,_xlfn.XLOOKUP(W$219,$D$5:$AO$5,$D$114:$AO$212))</f>
        <v>6.6</v>
      </c>
      <c r="X374" s="304">
        <f t="array" ref="X374">_xlfn.XLOOKUP($B374,$B$114:$B$212,_xlfn.XLOOKUP(X$219,$D$5:$AO$5,$D$114:$AO$212))</f>
        <v>7.1999999999999993</v>
      </c>
      <c r="Y374" s="304">
        <f t="array" ref="Y374">_xlfn.XLOOKUP($B374,$B$114:$B$212,_xlfn.XLOOKUP(Y$219,$D$5:$AO$5,$D$114:$AO$212))</f>
        <v>7.919999999999999</v>
      </c>
      <c r="Z374" s="304">
        <f t="array" ref="Z374">_xlfn.XLOOKUP($B374,$B$114:$B$212,_xlfn.XLOOKUP(Z$219,$D$5:$AO$5,$D$114:$AO$212))</f>
        <v>8.6399999999999988</v>
      </c>
      <c r="AA374" s="305"/>
      <c r="AB374" s="302" t="str">
        <f t="shared" si="170"/>
        <v>EBITDA - old</v>
      </c>
      <c r="AC374" s="303" t="str">
        <f t="shared" si="171"/>
        <v>NZ$m</v>
      </c>
      <c r="AD374" s="303"/>
      <c r="AE374" s="303"/>
      <c r="AF374" s="304">
        <f t="array" ref="AF374">_xlfn.XLOOKUP($B374,$B$114:$B$212,_xlfn.XLOOKUP(AF$219,$D$5:$AO$5,$D$114:$AO$212))</f>
        <v>9.1</v>
      </c>
      <c r="AG374" s="304">
        <f t="array" ref="AG374">_xlfn.XLOOKUP($B374,$B$114:$B$212,_xlfn.XLOOKUP(AG$219,$D$5:$AO$5,$D$114:$AO$212))</f>
        <v>12.9</v>
      </c>
      <c r="AH374" s="304">
        <f t="array" ref="AH374">_xlfn.XLOOKUP($B374,$B$114:$B$212,_xlfn.XLOOKUP(AH$219,$D$5:$AO$5,$D$114:$AO$212))</f>
        <v>10.7</v>
      </c>
      <c r="AI374" s="304">
        <f t="array" ref="AI374">_xlfn.XLOOKUP($B374,$B$114:$B$212,_xlfn.XLOOKUP(AI$219,$D$5:$AO$5,$D$114:$AO$212))</f>
        <v>3.6</v>
      </c>
      <c r="AJ374" s="304">
        <f t="array" ref="AJ374">_xlfn.XLOOKUP($B374,$B$114:$B$212,_xlfn.XLOOKUP(AJ$219,$D$5:$AO$5,$D$114:$AO$212))</f>
        <v>-2.2000000000000002</v>
      </c>
      <c r="AK374" s="304">
        <f t="array" ref="AK374">_xlfn.XLOOKUP($B374,$B$114:$B$212,_xlfn.XLOOKUP(AK$219,$D$5:$AO$5,$D$114:$AO$212))</f>
        <v>-4.8</v>
      </c>
      <c r="AL374" s="304">
        <f t="array" ref="AL374">_xlfn.XLOOKUP($B374,$B$114:$B$212,_xlfn.XLOOKUP(AL$219,$D$5:$AO$5,$D$114:$AO$212))</f>
        <v>5</v>
      </c>
      <c r="AM374" s="304">
        <f t="array" ref="AM374">_xlfn.XLOOKUP($B374,$B$114:$B$212,_xlfn.XLOOKUP(AM$219,$D$5:$AO$5,$D$114:$AO$212))</f>
        <v>13</v>
      </c>
      <c r="AN374" s="304">
        <f t="array" ref="AN374">_xlfn.XLOOKUP($B374,$B$114:$B$212,_xlfn.XLOOKUP(AN$219,$D$5:$AO$5,$D$114:$AO$212))</f>
        <v>13.8</v>
      </c>
      <c r="AO374" s="304">
        <f t="array" ref="AO374">_xlfn.XLOOKUP($B374,$B$114:$B$212,_xlfn.XLOOKUP(AO$219,$D$5:$AO$5,$D$114:$AO$212))</f>
        <v>16.559999999999999</v>
      </c>
    </row>
    <row r="375" spans="1:41">
      <c r="B375" s="301" t="s">
        <v>1462</v>
      </c>
      <c r="C375" s="306" t="s">
        <v>1539</v>
      </c>
      <c r="D375" s="307" t="str">
        <f t="array" ref="D375">_xlfn.XLOOKUP($B375,$B$11:$B$109,_xlfn.XLOOKUP(D$219,$D$5:$AO$5,$D$11:$AO$109))</f>
        <v>NZ$m</v>
      </c>
      <c r="E375" s="307"/>
      <c r="F375" s="307"/>
      <c r="G375" s="308">
        <f t="array" ref="G375">_xlfn.XLOOKUP($B375,$B$11:$B$109,_xlfn.XLOOKUP(G$219,$D$5:$AO$5,$D$11:$AO$109))</f>
        <v>5.4</v>
      </c>
      <c r="H375" s="308">
        <f t="array" ref="H375">_xlfn.XLOOKUP($B375,$B$11:$B$109,_xlfn.XLOOKUP(H$219,$D$5:$AO$5,$D$11:$AO$109))</f>
        <v>3.6999999999999993</v>
      </c>
      <c r="I375" s="308">
        <f t="array" ref="I375">_xlfn.XLOOKUP($B375,$B$11:$B$109,_xlfn.XLOOKUP(I$219,$D$5:$AO$5,$D$11:$AO$109))</f>
        <v>7</v>
      </c>
      <c r="J375" s="308">
        <f t="array" ref="J375">_xlfn.XLOOKUP($B375,$B$11:$B$109,_xlfn.XLOOKUP(J$219,$D$5:$AO$5,$D$11:$AO$109))</f>
        <v>5.9</v>
      </c>
      <c r="K375" s="308">
        <f t="array" ref="K375">_xlfn.XLOOKUP($B375,$B$11:$B$109,_xlfn.XLOOKUP(K$219,$D$5:$AO$5,$D$11:$AO$109))</f>
        <v>5.6</v>
      </c>
      <c r="L375" s="308">
        <f t="array" ref="L375">_xlfn.XLOOKUP($B375,$B$11:$B$109,_xlfn.XLOOKUP(L$219,$D$5:$AO$5,$D$11:$AO$109))</f>
        <v>5.0999999999999996</v>
      </c>
      <c r="M375" s="308">
        <f t="array" ref="M375">_xlfn.XLOOKUP($B375,$B$11:$B$109,_xlfn.XLOOKUP(M$219,$D$5:$AO$5,$D$11:$AO$109))</f>
        <v>3</v>
      </c>
      <c r="N375" s="308">
        <f t="array" ref="N375">_xlfn.XLOOKUP($B375,$B$11:$B$109,_xlfn.XLOOKUP(N$219,$D$5:$AO$5,$D$11:$AO$109))</f>
        <v>0.60000000000000009</v>
      </c>
      <c r="O375" s="308">
        <f t="array" ref="O375">_xlfn.XLOOKUP($B375,$B$11:$B$109,_xlfn.XLOOKUP(O$219,$D$5:$AO$5,$D$11:$AO$109))</f>
        <v>-1.1000000000000001</v>
      </c>
      <c r="P375" s="308">
        <f t="array" ref="P375">_xlfn.XLOOKUP($B375,$B$11:$B$109,_xlfn.XLOOKUP(P$219,$D$5:$AO$5,$D$11:$AO$109))</f>
        <v>-0.7</v>
      </c>
      <c r="Q375" s="308">
        <f t="array" ref="Q375">_xlfn.XLOOKUP($B375,$B$11:$B$109,_xlfn.XLOOKUP(Q$219,$D$5:$AO$5,$D$11:$AO$109))</f>
        <v>-2.1</v>
      </c>
      <c r="R375" s="308">
        <f t="array" ref="R375">_xlfn.XLOOKUP($B375,$B$11:$B$109,_xlfn.XLOOKUP(R$219,$D$5:$AO$5,$D$11:$AO$109))</f>
        <v>-4.3000000000000007</v>
      </c>
      <c r="S375" s="308">
        <f t="array" ref="S375">_xlfn.XLOOKUP($B375,$B$11:$B$109,_xlfn.XLOOKUP(S$219,$D$5:$AO$5,$D$11:$AO$109))</f>
        <v>-6</v>
      </c>
      <c r="T375" s="308">
        <f t="array" ref="T375">_xlfn.XLOOKUP($B375,$B$11:$B$109,_xlfn.XLOOKUP(T$219,$D$5:$AO$5,$D$11:$AO$109))</f>
        <v>-7</v>
      </c>
      <c r="U375" s="308">
        <f t="array" ref="U375">_xlfn.XLOOKUP($B375,$B$11:$B$109,_xlfn.XLOOKUP(U$219,$D$5:$AO$5,$D$11:$AO$109))</f>
        <v>-5</v>
      </c>
      <c r="V375" s="308">
        <f t="array" ref="V375">_xlfn.XLOOKUP($B375,$B$11:$B$109,_xlfn.XLOOKUP(V$219,$D$5:$AO$5,$D$11:$AO$109))</f>
        <v>0</v>
      </c>
      <c r="W375" s="308">
        <f t="array" ref="W375">_xlfn.XLOOKUP($B375,$B$11:$B$109,_xlfn.XLOOKUP(W$219,$D$5:$AO$5,$D$11:$AO$109))</f>
        <v>4.8000000000000007</v>
      </c>
      <c r="X375" s="308">
        <f t="array" ref="X375">_xlfn.XLOOKUP($B375,$B$11:$B$109,_xlfn.XLOOKUP(X$219,$D$5:$AO$5,$D$11:$AO$109))</f>
        <v>4.8000000000000007</v>
      </c>
      <c r="Y375" s="308">
        <f t="array" ref="Y375">_xlfn.XLOOKUP($B375,$B$11:$B$109,_xlfn.XLOOKUP(Y$219,$D$5:$AO$5,$D$11:$AO$109))</f>
        <v>5.76</v>
      </c>
      <c r="Z375" s="308">
        <f t="array" ref="Z375">_xlfn.XLOOKUP($B375,$B$11:$B$109,_xlfn.XLOOKUP(Z$219,$D$5:$AO$5,$D$11:$AO$109))</f>
        <v>5.76</v>
      </c>
      <c r="AA375" s="308"/>
      <c r="AB375" s="306" t="str">
        <f t="shared" si="170"/>
        <v>EBITDA - New</v>
      </c>
      <c r="AC375" s="307" t="str">
        <f t="shared" si="171"/>
        <v>NZ$m</v>
      </c>
      <c r="AD375" s="307"/>
      <c r="AE375" s="307"/>
      <c r="AF375" s="308">
        <f t="array" ref="AF375">_xlfn.XLOOKUP($B375,$B$11:$B$109,_xlfn.XLOOKUP(AF$219,$D$5:$AO$5,$D$11:$AO$109))</f>
        <v>9.1</v>
      </c>
      <c r="AG375" s="308">
        <f t="array" ref="AG375">_xlfn.XLOOKUP($B375,$B$11:$B$109,_xlfn.XLOOKUP(AG$219,$D$5:$AO$5,$D$11:$AO$109))</f>
        <v>12.9</v>
      </c>
      <c r="AH375" s="308">
        <f t="array" ref="AH375">_xlfn.XLOOKUP($B375,$B$11:$B$109,_xlfn.XLOOKUP(AH$219,$D$5:$AO$5,$D$11:$AO$109))</f>
        <v>10.7</v>
      </c>
      <c r="AI375" s="308">
        <f t="array" ref="AI375">_xlfn.XLOOKUP($B375,$B$11:$B$109,_xlfn.XLOOKUP(AI$219,$D$5:$AO$5,$D$11:$AO$109))</f>
        <v>3.6</v>
      </c>
      <c r="AJ375" s="308">
        <f t="array" ref="AJ375">_xlfn.XLOOKUP($B375,$B$11:$B$109,_xlfn.XLOOKUP(AJ$219,$D$5:$AO$5,$D$11:$AO$109))</f>
        <v>-1.8</v>
      </c>
      <c r="AK375" s="308">
        <f t="array" ref="AK375">_xlfn.XLOOKUP($B375,$B$11:$B$109,_xlfn.XLOOKUP(AK$219,$D$5:$AO$5,$D$11:$AO$109))</f>
        <v>-6.4</v>
      </c>
      <c r="AL375" s="308">
        <f t="array" ref="AL375">_xlfn.XLOOKUP($B375,$B$11:$B$109,_xlfn.XLOOKUP(AL$219,$D$5:$AO$5,$D$11:$AO$109))</f>
        <v>-13</v>
      </c>
      <c r="AM375" s="308">
        <f t="array" ref="AM375">_xlfn.XLOOKUP($B375,$B$11:$B$109,_xlfn.XLOOKUP(AM$219,$D$5:$AO$5,$D$11:$AO$109))</f>
        <v>-5</v>
      </c>
      <c r="AN375" s="308">
        <f t="array" ref="AN375">_xlfn.XLOOKUP($B375,$B$11:$B$109,_xlfn.XLOOKUP(AN$219,$D$5:$AO$5,$D$11:$AO$109))</f>
        <v>9.6000000000000014</v>
      </c>
      <c r="AO375" s="308">
        <f t="array" ref="AO375">_xlfn.XLOOKUP($B375,$B$11:$B$109,_xlfn.XLOOKUP(AO$219,$D$5:$AO$5,$D$11:$AO$109))</f>
        <v>11.52</v>
      </c>
    </row>
    <row r="376" spans="1:41" hidden="1" outlineLevel="1">
      <c r="B376" s="301"/>
      <c r="C376" s="309" t="s">
        <v>1510</v>
      </c>
      <c r="D376" s="303" t="s">
        <v>88</v>
      </c>
      <c r="E376" s="303"/>
      <c r="F376" s="303"/>
      <c r="G376" s="310" t="s">
        <v>967</v>
      </c>
      <c r="H376" s="310" t="s">
        <v>967</v>
      </c>
      <c r="I376" s="310">
        <f t="shared" ref="I376:Z376" si="184">I375/G375-1</f>
        <v>0.29629629629629628</v>
      </c>
      <c r="J376" s="310">
        <f t="shared" si="184"/>
        <v>0.59459459459459496</v>
      </c>
      <c r="K376" s="310">
        <f t="shared" si="184"/>
        <v>-0.20000000000000007</v>
      </c>
      <c r="L376" s="310">
        <f t="shared" si="184"/>
        <v>-0.13559322033898313</v>
      </c>
      <c r="M376" s="310">
        <f t="shared" si="184"/>
        <v>-0.4642857142857143</v>
      </c>
      <c r="N376" s="310">
        <f t="shared" si="184"/>
        <v>-0.88235294117647056</v>
      </c>
      <c r="O376" s="310">
        <f t="shared" si="184"/>
        <v>-1.3666666666666667</v>
      </c>
      <c r="P376" s="310">
        <f t="shared" si="184"/>
        <v>-2.1666666666666665</v>
      </c>
      <c r="Q376" s="310">
        <f t="shared" si="184"/>
        <v>0.90909090909090895</v>
      </c>
      <c r="R376" s="310">
        <f t="shared" si="184"/>
        <v>5.1428571428571441</v>
      </c>
      <c r="S376" s="310">
        <f t="shared" si="184"/>
        <v>1.8571428571428572</v>
      </c>
      <c r="T376" s="310">
        <f t="shared" si="184"/>
        <v>0.62790697674418583</v>
      </c>
      <c r="U376" s="310">
        <f t="shared" si="184"/>
        <v>-0.16666666666666663</v>
      </c>
      <c r="V376" s="310">
        <f t="shared" si="184"/>
        <v>-1</v>
      </c>
      <c r="W376" s="310">
        <f t="shared" si="184"/>
        <v>-1.9600000000000002</v>
      </c>
      <c r="X376" s="310" t="e">
        <f t="shared" si="184"/>
        <v>#DIV/0!</v>
      </c>
      <c r="Y376" s="310">
        <f t="shared" si="184"/>
        <v>0.19999999999999973</v>
      </c>
      <c r="Z376" s="310">
        <f t="shared" si="184"/>
        <v>0.19999999999999973</v>
      </c>
      <c r="AA376" s="311"/>
      <c r="AB376" s="309" t="str">
        <f t="shared" si="170"/>
        <v>- Growth</v>
      </c>
      <c r="AC376" s="303" t="str">
        <f t="shared" si="171"/>
        <v>%</v>
      </c>
      <c r="AD376" s="303"/>
      <c r="AE376" s="303"/>
      <c r="AF376" s="310" t="s">
        <v>967</v>
      </c>
      <c r="AG376" s="310">
        <f t="shared" ref="AG376:AO376" si="185">AG375/AF375-1</f>
        <v>0.41758241758241765</v>
      </c>
      <c r="AH376" s="310">
        <f t="shared" si="185"/>
        <v>-0.17054263565891481</v>
      </c>
      <c r="AI376" s="310">
        <f t="shared" si="185"/>
        <v>-0.66355140186915884</v>
      </c>
      <c r="AJ376" s="310">
        <f t="shared" si="185"/>
        <v>-1.5</v>
      </c>
      <c r="AK376" s="310">
        <f t="shared" si="185"/>
        <v>2.5555555555555558</v>
      </c>
      <c r="AL376" s="310">
        <f t="shared" si="185"/>
        <v>1.03125</v>
      </c>
      <c r="AM376" s="310">
        <f t="shared" si="185"/>
        <v>-0.61538461538461542</v>
      </c>
      <c r="AN376" s="310">
        <f t="shared" si="185"/>
        <v>-2.9200000000000004</v>
      </c>
      <c r="AO376" s="310">
        <f t="shared" si="185"/>
        <v>0.19999999999999973</v>
      </c>
    </row>
    <row r="377" spans="1:41" collapsed="1">
      <c r="B377" s="301"/>
      <c r="C377" s="309" t="s">
        <v>1511</v>
      </c>
      <c r="D377" s="303" t="s">
        <v>88</v>
      </c>
      <c r="E377" s="303"/>
      <c r="F377" s="303"/>
      <c r="G377" s="310">
        <f t="shared" ref="G377:Z377" si="186">IFERROR(ROUND( G375 / G374,2) - 1, 0)</f>
        <v>0</v>
      </c>
      <c r="H377" s="310">
        <f t="shared" si="186"/>
        <v>0</v>
      </c>
      <c r="I377" s="310">
        <f t="shared" si="186"/>
        <v>0</v>
      </c>
      <c r="J377" s="310">
        <f t="shared" si="186"/>
        <v>0</v>
      </c>
      <c r="K377" s="310">
        <f t="shared" si="186"/>
        <v>0</v>
      </c>
      <c r="L377" s="310">
        <f t="shared" si="186"/>
        <v>0</v>
      </c>
      <c r="M377" s="310">
        <f t="shared" si="186"/>
        <v>0</v>
      </c>
      <c r="N377" s="310">
        <f t="shared" si="186"/>
        <v>0</v>
      </c>
      <c r="O377" s="310">
        <f t="shared" si="186"/>
        <v>0</v>
      </c>
      <c r="P377" s="310">
        <f t="shared" si="186"/>
        <v>-0.36</v>
      </c>
      <c r="Q377" s="310">
        <f t="shared" si="186"/>
        <v>0.1100000000000001</v>
      </c>
      <c r="R377" s="310">
        <f t="shared" si="186"/>
        <v>0.48</v>
      </c>
      <c r="S377" s="310">
        <f t="shared" si="186"/>
        <v>0</v>
      </c>
      <c r="T377" s="310">
        <f t="shared" si="186"/>
        <v>-2.4</v>
      </c>
      <c r="U377" s="310">
        <f t="shared" si="186"/>
        <v>-1.83</v>
      </c>
      <c r="V377" s="310">
        <f t="shared" si="186"/>
        <v>-1</v>
      </c>
      <c r="W377" s="310">
        <f t="shared" si="186"/>
        <v>-0.27</v>
      </c>
      <c r="X377" s="310">
        <f t="shared" si="186"/>
        <v>-0.32999999999999996</v>
      </c>
      <c r="Y377" s="310">
        <f t="shared" si="186"/>
        <v>-0.27</v>
      </c>
      <c r="Z377" s="310">
        <f t="shared" si="186"/>
        <v>-0.32999999999999996</v>
      </c>
      <c r="AA377" s="310"/>
      <c r="AB377" s="309" t="str">
        <f t="shared" si="170"/>
        <v>- Revision</v>
      </c>
      <c r="AC377" s="303" t="str">
        <f t="shared" si="171"/>
        <v>%</v>
      </c>
      <c r="AD377" s="303"/>
      <c r="AE377" s="303"/>
      <c r="AF377" s="310">
        <f t="shared" ref="AF377:AO377" si="187">IFERROR(ROUND( AF375 / AF374,2) - 1, 0)</f>
        <v>0</v>
      </c>
      <c r="AG377" s="310">
        <f t="shared" si="187"/>
        <v>0</v>
      </c>
      <c r="AH377" s="310">
        <f t="shared" si="187"/>
        <v>0</v>
      </c>
      <c r="AI377" s="310">
        <f t="shared" si="187"/>
        <v>0</v>
      </c>
      <c r="AJ377" s="310">
        <f t="shared" si="187"/>
        <v>-0.18000000000000005</v>
      </c>
      <c r="AK377" s="310">
        <f t="shared" si="187"/>
        <v>0.33000000000000007</v>
      </c>
      <c r="AL377" s="310">
        <f t="shared" si="187"/>
        <v>-3.6</v>
      </c>
      <c r="AM377" s="310">
        <f t="shared" si="187"/>
        <v>-1.38</v>
      </c>
      <c r="AN377" s="310">
        <f t="shared" si="187"/>
        <v>-0.30000000000000004</v>
      </c>
      <c r="AO377" s="310">
        <f t="shared" si="187"/>
        <v>-0.30000000000000004</v>
      </c>
    </row>
    <row r="378" spans="1:41">
      <c r="B378" s="301" t="s">
        <v>1463</v>
      </c>
      <c r="C378" s="302" t="s">
        <v>1540</v>
      </c>
      <c r="D378" s="303" t="str">
        <f t="array" ref="D378">_xlfn.XLOOKUP($B378,$B$114:$B$212,_xlfn.XLOOKUP(D$219,$D$5:$AO$5,$D$114:$AO$212))</f>
        <v>NZ$m</v>
      </c>
      <c r="E378" s="303"/>
      <c r="F378" s="303"/>
      <c r="G378" s="304">
        <f t="array" ref="G378">_xlfn.XLOOKUP($B378,$B$114:$B$212,_xlfn.XLOOKUP(G$219,$D$5:$AO$5,$D$114:$AO$212))</f>
        <v>5.4</v>
      </c>
      <c r="H378" s="304">
        <f t="array" ref="H378">_xlfn.XLOOKUP($B378,$B$114:$B$212,_xlfn.XLOOKUP(H$219,$D$5:$AO$5,$D$114:$AO$212))</f>
        <v>3.6999999999999988</v>
      </c>
      <c r="I378" s="304">
        <f t="array" ref="I378">_xlfn.XLOOKUP($B378,$B$114:$B$212,_xlfn.XLOOKUP(I$219,$D$5:$AO$5,$D$114:$AO$212))</f>
        <v>7</v>
      </c>
      <c r="J378" s="304">
        <f t="array" ref="J378">_xlfn.XLOOKUP($B378,$B$114:$B$212,_xlfn.XLOOKUP(J$219,$D$5:$AO$5,$D$114:$AO$212))</f>
        <v>5.9</v>
      </c>
      <c r="K378" s="304">
        <f t="array" ref="K378">_xlfn.XLOOKUP($B378,$B$114:$B$212,_xlfn.XLOOKUP(K$219,$D$5:$AO$5,$D$114:$AO$212))</f>
        <v>6</v>
      </c>
      <c r="L378" s="304">
        <f t="array" ref="L378">_xlfn.XLOOKUP($B378,$B$114:$B$212,_xlfn.XLOOKUP(L$219,$D$5:$AO$5,$D$114:$AO$212))</f>
        <v>5.8000000000000007</v>
      </c>
      <c r="M378" s="304">
        <f t="array" ref="M378">_xlfn.XLOOKUP($B378,$B$114:$B$212,_xlfn.XLOOKUP(M$219,$D$5:$AO$5,$D$114:$AO$212))</f>
        <v>5.9</v>
      </c>
      <c r="N378" s="304">
        <f t="array" ref="N378">_xlfn.XLOOKUP($B378,$B$114:$B$212,_xlfn.XLOOKUP(N$219,$D$5:$AO$5,$D$114:$AO$212))</f>
        <v>5.9</v>
      </c>
      <c r="O378" s="304">
        <f t="array" ref="O378">_xlfn.XLOOKUP($B378,$B$114:$B$212,_xlfn.XLOOKUP(O$219,$D$5:$AO$5,$D$114:$AO$212))</f>
        <v>0</v>
      </c>
      <c r="P378" s="304">
        <f t="array" ref="P378">_xlfn.XLOOKUP($B378,$B$114:$B$212,_xlfn.XLOOKUP(P$219,$D$5:$AO$5,$D$114:$AO$212))</f>
        <v>0</v>
      </c>
      <c r="Q378" s="304">
        <f t="array" ref="Q378">_xlfn.XLOOKUP($B378,$B$114:$B$212,_xlfn.XLOOKUP(Q$219,$D$5:$AO$5,$D$114:$AO$212))</f>
        <v>0</v>
      </c>
      <c r="R378" s="304">
        <f t="array" ref="R378">_xlfn.XLOOKUP($B378,$B$114:$B$212,_xlfn.XLOOKUP(R$219,$D$5:$AO$5,$D$114:$AO$212))</f>
        <v>0</v>
      </c>
      <c r="S378" s="304">
        <f t="array" ref="S378">_xlfn.XLOOKUP($B378,$B$114:$B$212,_xlfn.XLOOKUP(S$219,$D$5:$AO$5,$D$114:$AO$212))</f>
        <v>0</v>
      </c>
      <c r="T378" s="304">
        <f t="array" ref="T378">_xlfn.XLOOKUP($B378,$B$114:$B$212,_xlfn.XLOOKUP(T$219,$D$5:$AO$5,$D$114:$AO$212))</f>
        <v>0</v>
      </c>
      <c r="U378" s="304">
        <f t="array" ref="U378">_xlfn.XLOOKUP($B378,$B$114:$B$212,_xlfn.XLOOKUP(U$219,$D$5:$AO$5,$D$114:$AO$212))</f>
        <v>0</v>
      </c>
      <c r="V378" s="304">
        <f t="array" ref="V378">_xlfn.XLOOKUP($B378,$B$114:$B$212,_xlfn.XLOOKUP(V$219,$D$5:$AO$5,$D$114:$AO$212))</f>
        <v>0</v>
      </c>
      <c r="W378" s="304">
        <f t="array" ref="W378">_xlfn.XLOOKUP($B378,$B$114:$B$212,_xlfn.XLOOKUP(W$219,$D$5:$AO$5,$D$114:$AO$212))</f>
        <v>0</v>
      </c>
      <c r="X378" s="304">
        <f t="array" ref="X378">_xlfn.XLOOKUP($B378,$B$114:$B$212,_xlfn.XLOOKUP(X$219,$D$5:$AO$5,$D$114:$AO$212))</f>
        <v>0</v>
      </c>
      <c r="Y378" s="304">
        <f t="array" ref="Y378">_xlfn.XLOOKUP($B378,$B$114:$B$212,_xlfn.XLOOKUP(Y$219,$D$5:$AO$5,$D$114:$AO$212))</f>
        <v>0</v>
      </c>
      <c r="Z378" s="304">
        <f t="array" ref="Z378">_xlfn.XLOOKUP($B378,$B$114:$B$212,_xlfn.XLOOKUP(Z$219,$D$5:$AO$5,$D$114:$AO$212))</f>
        <v>0</v>
      </c>
      <c r="AA378" s="305"/>
      <c r="AB378" s="302" t="str">
        <f t="shared" si="170"/>
        <v>EBITDA - incl. Equity Earnings - old</v>
      </c>
      <c r="AC378" s="303" t="str">
        <f t="shared" si="171"/>
        <v>NZ$m</v>
      </c>
      <c r="AD378" s="303"/>
      <c r="AE378" s="303"/>
      <c r="AF378" s="304">
        <f t="array" ref="AF378">_xlfn.XLOOKUP($B378,$B$114:$B$212,_xlfn.XLOOKUP(AF$219,$D$5:$AO$5,$D$114:$AO$212))</f>
        <v>9.1</v>
      </c>
      <c r="AG378" s="304">
        <f t="array" ref="AG378">_xlfn.XLOOKUP($B378,$B$114:$B$212,_xlfn.XLOOKUP(AG$219,$D$5:$AO$5,$D$114:$AO$212))</f>
        <v>12.9</v>
      </c>
      <c r="AH378" s="304">
        <f t="array" ref="AH378">_xlfn.XLOOKUP($B378,$B$114:$B$212,_xlfn.XLOOKUP(AH$219,$D$5:$AO$5,$D$114:$AO$212))</f>
        <v>11.8</v>
      </c>
      <c r="AI378" s="304">
        <f t="array" ref="AI378">_xlfn.XLOOKUP($B378,$B$114:$B$212,_xlfn.XLOOKUP(AI$219,$D$5:$AO$5,$D$114:$AO$212))</f>
        <v>11.8</v>
      </c>
      <c r="AJ378" s="304">
        <f t="array" ref="AJ378">_xlfn.XLOOKUP($B378,$B$114:$B$212,_xlfn.XLOOKUP(AJ$219,$D$5:$AO$5,$D$114:$AO$212))</f>
        <v>0</v>
      </c>
      <c r="AK378" s="304">
        <f t="array" ref="AK378">_xlfn.XLOOKUP($B378,$B$114:$B$212,_xlfn.XLOOKUP(AK$219,$D$5:$AO$5,$D$114:$AO$212))</f>
        <v>0</v>
      </c>
      <c r="AL378" s="304">
        <f t="array" ref="AL378">_xlfn.XLOOKUP($B378,$B$114:$B$212,_xlfn.XLOOKUP(AL$219,$D$5:$AO$5,$D$114:$AO$212))</f>
        <v>0</v>
      </c>
      <c r="AM378" s="304">
        <f t="array" ref="AM378">_xlfn.XLOOKUP($B378,$B$114:$B$212,_xlfn.XLOOKUP(AM$219,$D$5:$AO$5,$D$114:$AO$212))</f>
        <v>0</v>
      </c>
      <c r="AN378" s="304">
        <f t="array" ref="AN378">_xlfn.XLOOKUP($B378,$B$114:$B$212,_xlfn.XLOOKUP(AN$219,$D$5:$AO$5,$D$114:$AO$212))</f>
        <v>0</v>
      </c>
      <c r="AO378" s="304">
        <f t="array" ref="AO378">_xlfn.XLOOKUP($B378,$B$114:$B$212,_xlfn.XLOOKUP(AO$219,$D$5:$AO$5,$D$114:$AO$212))</f>
        <v>0</v>
      </c>
    </row>
    <row r="379" spans="1:41">
      <c r="B379" s="301" t="s">
        <v>1463</v>
      </c>
      <c r="C379" s="306" t="s">
        <v>1541</v>
      </c>
      <c r="D379" s="307" t="str">
        <f t="array" ref="D379">_xlfn.XLOOKUP($B379,$B$11:$B$109,_xlfn.XLOOKUP(D$219,$D$5:$AO$5,$D$11:$AO$109))</f>
        <v>NZ$m</v>
      </c>
      <c r="E379" s="307"/>
      <c r="F379" s="307"/>
      <c r="G379" s="308">
        <f t="array" ref="G379">_xlfn.XLOOKUP($B379,$B$11:$B$109,_xlfn.XLOOKUP(G$219,$D$5:$AO$5,$D$11:$AO$109))</f>
        <v>5.4</v>
      </c>
      <c r="H379" s="308">
        <f t="array" ref="H379">_xlfn.XLOOKUP($B379,$B$11:$B$109,_xlfn.XLOOKUP(H$219,$D$5:$AO$5,$D$11:$AO$109))</f>
        <v>3.6999999999999993</v>
      </c>
      <c r="I379" s="308">
        <f t="array" ref="I379">_xlfn.XLOOKUP($B379,$B$11:$B$109,_xlfn.XLOOKUP(I$219,$D$5:$AO$5,$D$11:$AO$109))</f>
        <v>7</v>
      </c>
      <c r="J379" s="308">
        <f t="array" ref="J379">_xlfn.XLOOKUP($B379,$B$11:$B$109,_xlfn.XLOOKUP(J$219,$D$5:$AO$5,$D$11:$AO$109))</f>
        <v>5.9</v>
      </c>
      <c r="K379" s="308">
        <f t="array" ref="K379">_xlfn.XLOOKUP($B379,$B$11:$B$109,_xlfn.XLOOKUP(K$219,$D$5:$AO$5,$D$11:$AO$109))</f>
        <v>6</v>
      </c>
      <c r="L379" s="308">
        <f t="array" ref="L379">_xlfn.XLOOKUP($B379,$B$11:$B$109,_xlfn.XLOOKUP(L$219,$D$5:$AO$5,$D$11:$AO$109))</f>
        <v>5.8000000000000007</v>
      </c>
      <c r="M379" s="308">
        <f t="array" ref="M379">_xlfn.XLOOKUP($B379,$B$11:$B$109,_xlfn.XLOOKUP(M$219,$D$5:$AO$5,$D$11:$AO$109))</f>
        <v>5.9</v>
      </c>
      <c r="N379" s="308">
        <f t="array" ref="N379">_xlfn.XLOOKUP($B379,$B$11:$B$109,_xlfn.XLOOKUP(N$219,$D$5:$AO$5,$D$11:$AO$109))</f>
        <v>5.9</v>
      </c>
      <c r="O379" s="308">
        <f t="array" ref="O379">_xlfn.XLOOKUP($B379,$B$11:$B$109,_xlfn.XLOOKUP(O$219,$D$5:$AO$5,$D$11:$AO$109))</f>
        <v>0</v>
      </c>
      <c r="P379" s="308">
        <f t="array" ref="P379">_xlfn.XLOOKUP($B379,$B$11:$B$109,_xlfn.XLOOKUP(P$219,$D$5:$AO$5,$D$11:$AO$109))</f>
        <v>0</v>
      </c>
      <c r="Q379" s="308">
        <f t="array" ref="Q379">_xlfn.XLOOKUP($B379,$B$11:$B$109,_xlfn.XLOOKUP(Q$219,$D$5:$AO$5,$D$11:$AO$109))</f>
        <v>0</v>
      </c>
      <c r="R379" s="308">
        <f t="array" ref="R379">_xlfn.XLOOKUP($B379,$B$11:$B$109,_xlfn.XLOOKUP(R$219,$D$5:$AO$5,$D$11:$AO$109))</f>
        <v>0</v>
      </c>
      <c r="S379" s="308">
        <f t="array" ref="S379">_xlfn.XLOOKUP($B379,$B$11:$B$109,_xlfn.XLOOKUP(S$219,$D$5:$AO$5,$D$11:$AO$109))</f>
        <v>0</v>
      </c>
      <c r="T379" s="308">
        <f t="array" ref="T379">_xlfn.XLOOKUP($B379,$B$11:$B$109,_xlfn.XLOOKUP(T$219,$D$5:$AO$5,$D$11:$AO$109))</f>
        <v>0</v>
      </c>
      <c r="U379" s="308">
        <f t="array" ref="U379">_xlfn.XLOOKUP($B379,$B$11:$B$109,_xlfn.XLOOKUP(U$219,$D$5:$AO$5,$D$11:$AO$109))</f>
        <v>0</v>
      </c>
      <c r="V379" s="308">
        <f t="array" ref="V379">_xlfn.XLOOKUP($B379,$B$11:$B$109,_xlfn.XLOOKUP(V$219,$D$5:$AO$5,$D$11:$AO$109))</f>
        <v>0</v>
      </c>
      <c r="W379" s="308">
        <f t="array" ref="W379">_xlfn.XLOOKUP($B379,$B$11:$B$109,_xlfn.XLOOKUP(W$219,$D$5:$AO$5,$D$11:$AO$109))</f>
        <v>0</v>
      </c>
      <c r="X379" s="308">
        <f t="array" ref="X379">_xlfn.XLOOKUP($B379,$B$11:$B$109,_xlfn.XLOOKUP(X$219,$D$5:$AO$5,$D$11:$AO$109))</f>
        <v>0</v>
      </c>
      <c r="Y379" s="308">
        <f t="array" ref="Y379">_xlfn.XLOOKUP($B379,$B$11:$B$109,_xlfn.XLOOKUP(Y$219,$D$5:$AO$5,$D$11:$AO$109))</f>
        <v>0</v>
      </c>
      <c r="Z379" s="308">
        <f t="array" ref="Z379">_xlfn.XLOOKUP($B379,$B$11:$B$109,_xlfn.XLOOKUP(Z$219,$D$5:$AO$5,$D$11:$AO$109))</f>
        <v>0</v>
      </c>
      <c r="AA379" s="308"/>
      <c r="AB379" s="306" t="str">
        <f t="shared" si="170"/>
        <v>EBITDA - incl. Equity Earnings - New</v>
      </c>
      <c r="AC379" s="307" t="str">
        <f t="shared" si="171"/>
        <v>NZ$m</v>
      </c>
      <c r="AD379" s="307"/>
      <c r="AE379" s="307"/>
      <c r="AF379" s="308">
        <f t="array" ref="AF379">_xlfn.XLOOKUP($B379,$B$11:$B$109,_xlfn.XLOOKUP(AF$219,$D$5:$AO$5,$D$11:$AO$109))</f>
        <v>9.1</v>
      </c>
      <c r="AG379" s="308">
        <f t="array" ref="AG379">_xlfn.XLOOKUP($B379,$B$11:$B$109,_xlfn.XLOOKUP(AG$219,$D$5:$AO$5,$D$11:$AO$109))</f>
        <v>12.9</v>
      </c>
      <c r="AH379" s="308">
        <f t="array" ref="AH379">_xlfn.XLOOKUP($B379,$B$11:$B$109,_xlfn.XLOOKUP(AH$219,$D$5:$AO$5,$D$11:$AO$109))</f>
        <v>11.8</v>
      </c>
      <c r="AI379" s="308">
        <f t="array" ref="AI379">_xlfn.XLOOKUP($B379,$B$11:$B$109,_xlfn.XLOOKUP(AI$219,$D$5:$AO$5,$D$11:$AO$109))</f>
        <v>11.8</v>
      </c>
      <c r="AJ379" s="308">
        <f t="array" ref="AJ379">_xlfn.XLOOKUP($B379,$B$11:$B$109,_xlfn.XLOOKUP(AJ$219,$D$5:$AO$5,$D$11:$AO$109))</f>
        <v>0</v>
      </c>
      <c r="AK379" s="308">
        <f t="array" ref="AK379">_xlfn.XLOOKUP($B379,$B$11:$B$109,_xlfn.XLOOKUP(AK$219,$D$5:$AO$5,$D$11:$AO$109))</f>
        <v>0</v>
      </c>
      <c r="AL379" s="308">
        <f t="array" ref="AL379">_xlfn.XLOOKUP($B379,$B$11:$B$109,_xlfn.XLOOKUP(AL$219,$D$5:$AO$5,$D$11:$AO$109))</f>
        <v>0</v>
      </c>
      <c r="AM379" s="308">
        <f t="array" ref="AM379">_xlfn.XLOOKUP($B379,$B$11:$B$109,_xlfn.XLOOKUP(AM$219,$D$5:$AO$5,$D$11:$AO$109))</f>
        <v>0</v>
      </c>
      <c r="AN379" s="308">
        <f t="array" ref="AN379">_xlfn.XLOOKUP($B379,$B$11:$B$109,_xlfn.XLOOKUP(AN$219,$D$5:$AO$5,$D$11:$AO$109))</f>
        <v>0</v>
      </c>
      <c r="AO379" s="308">
        <f t="array" ref="AO379">_xlfn.XLOOKUP($B379,$B$11:$B$109,_xlfn.XLOOKUP(AO$219,$D$5:$AO$5,$D$11:$AO$109))</f>
        <v>0</v>
      </c>
    </row>
    <row r="380" spans="1:41" hidden="1" outlineLevel="1">
      <c r="B380" s="301"/>
      <c r="C380" s="309" t="s">
        <v>1510</v>
      </c>
      <c r="D380" s="303" t="s">
        <v>88</v>
      </c>
      <c r="E380" s="303"/>
      <c r="F380" s="303"/>
      <c r="G380" s="310" t="s">
        <v>967</v>
      </c>
      <c r="H380" s="310" t="s">
        <v>967</v>
      </c>
      <c r="I380" s="310">
        <f t="shared" ref="I380:Z380" si="188">I379/G379-1</f>
        <v>0.29629629629629628</v>
      </c>
      <c r="J380" s="310">
        <f t="shared" si="188"/>
        <v>0.59459459459459496</v>
      </c>
      <c r="K380" s="310">
        <f t="shared" si="188"/>
        <v>-0.1428571428571429</v>
      </c>
      <c r="L380" s="310">
        <f t="shared" si="188"/>
        <v>-1.6949152542372836E-2</v>
      </c>
      <c r="M380" s="310">
        <f t="shared" si="188"/>
        <v>-1.6666666666666607E-2</v>
      </c>
      <c r="N380" s="310">
        <f t="shared" si="188"/>
        <v>1.7241379310344751E-2</v>
      </c>
      <c r="O380" s="310">
        <f t="shared" si="188"/>
        <v>-1</v>
      </c>
      <c r="P380" s="310">
        <f t="shared" si="188"/>
        <v>-1</v>
      </c>
      <c r="Q380" s="310" t="e">
        <f t="shared" si="188"/>
        <v>#DIV/0!</v>
      </c>
      <c r="R380" s="310" t="e">
        <f t="shared" si="188"/>
        <v>#DIV/0!</v>
      </c>
      <c r="S380" s="310" t="e">
        <f t="shared" si="188"/>
        <v>#DIV/0!</v>
      </c>
      <c r="T380" s="310" t="e">
        <f t="shared" si="188"/>
        <v>#DIV/0!</v>
      </c>
      <c r="U380" s="310" t="e">
        <f t="shared" si="188"/>
        <v>#DIV/0!</v>
      </c>
      <c r="V380" s="310" t="e">
        <f t="shared" si="188"/>
        <v>#DIV/0!</v>
      </c>
      <c r="W380" s="310" t="e">
        <f t="shared" si="188"/>
        <v>#DIV/0!</v>
      </c>
      <c r="X380" s="310" t="e">
        <f t="shared" si="188"/>
        <v>#DIV/0!</v>
      </c>
      <c r="Y380" s="310" t="e">
        <f t="shared" si="188"/>
        <v>#DIV/0!</v>
      </c>
      <c r="Z380" s="310" t="e">
        <f t="shared" si="188"/>
        <v>#DIV/0!</v>
      </c>
      <c r="AA380" s="311"/>
      <c r="AB380" s="309" t="str">
        <f t="shared" si="170"/>
        <v>- Growth</v>
      </c>
      <c r="AC380" s="303" t="str">
        <f t="shared" si="171"/>
        <v>%</v>
      </c>
      <c r="AD380" s="303"/>
      <c r="AE380" s="303"/>
      <c r="AF380" s="310" t="s">
        <v>967</v>
      </c>
      <c r="AG380" s="310">
        <f t="shared" ref="AG380:AO380" si="189">AG379/AF379-1</f>
        <v>0.41758241758241765</v>
      </c>
      <c r="AH380" s="310">
        <f t="shared" si="189"/>
        <v>-8.5271317829457294E-2</v>
      </c>
      <c r="AI380" s="310">
        <f t="shared" si="189"/>
        <v>0</v>
      </c>
      <c r="AJ380" s="310">
        <f t="shared" si="189"/>
        <v>-1</v>
      </c>
      <c r="AK380" s="310" t="e">
        <f t="shared" si="189"/>
        <v>#DIV/0!</v>
      </c>
      <c r="AL380" s="310" t="e">
        <f t="shared" si="189"/>
        <v>#DIV/0!</v>
      </c>
      <c r="AM380" s="310" t="e">
        <f t="shared" si="189"/>
        <v>#DIV/0!</v>
      </c>
      <c r="AN380" s="310" t="e">
        <f t="shared" si="189"/>
        <v>#DIV/0!</v>
      </c>
      <c r="AO380" s="310" t="e">
        <f t="shared" si="189"/>
        <v>#DIV/0!</v>
      </c>
    </row>
    <row r="381" spans="1:41" collapsed="1">
      <c r="B381" s="301"/>
      <c r="C381" s="309" t="s">
        <v>1511</v>
      </c>
      <c r="D381" s="303" t="s">
        <v>88</v>
      </c>
      <c r="E381" s="303"/>
      <c r="F381" s="303"/>
      <c r="G381" s="310">
        <f t="shared" ref="G381:Z381" si="190">IFERROR(ROUND( G379 / G378,2) - 1, 0)</f>
        <v>0</v>
      </c>
      <c r="H381" s="310">
        <f t="shared" si="190"/>
        <v>0</v>
      </c>
      <c r="I381" s="310">
        <f t="shared" si="190"/>
        <v>0</v>
      </c>
      <c r="J381" s="310">
        <f t="shared" si="190"/>
        <v>0</v>
      </c>
      <c r="K381" s="310">
        <f t="shared" si="190"/>
        <v>0</v>
      </c>
      <c r="L381" s="310">
        <f t="shared" si="190"/>
        <v>0</v>
      </c>
      <c r="M381" s="310">
        <f t="shared" si="190"/>
        <v>0</v>
      </c>
      <c r="N381" s="310">
        <f t="shared" si="190"/>
        <v>0</v>
      </c>
      <c r="O381" s="310">
        <f t="shared" si="190"/>
        <v>0</v>
      </c>
      <c r="P381" s="310">
        <f t="shared" si="190"/>
        <v>0</v>
      </c>
      <c r="Q381" s="310">
        <f t="shared" si="190"/>
        <v>0</v>
      </c>
      <c r="R381" s="310">
        <f t="shared" si="190"/>
        <v>0</v>
      </c>
      <c r="S381" s="310">
        <f t="shared" si="190"/>
        <v>0</v>
      </c>
      <c r="T381" s="310">
        <f t="shared" si="190"/>
        <v>0</v>
      </c>
      <c r="U381" s="310">
        <f t="shared" si="190"/>
        <v>0</v>
      </c>
      <c r="V381" s="310">
        <f t="shared" si="190"/>
        <v>0</v>
      </c>
      <c r="W381" s="310">
        <f t="shared" si="190"/>
        <v>0</v>
      </c>
      <c r="X381" s="310">
        <f t="shared" si="190"/>
        <v>0</v>
      </c>
      <c r="Y381" s="310">
        <f t="shared" si="190"/>
        <v>0</v>
      </c>
      <c r="Z381" s="310">
        <f t="shared" si="190"/>
        <v>0</v>
      </c>
      <c r="AA381" s="310"/>
      <c r="AB381" s="309" t="str">
        <f t="shared" si="170"/>
        <v>- Revision</v>
      </c>
      <c r="AC381" s="303" t="str">
        <f t="shared" si="171"/>
        <v>%</v>
      </c>
      <c r="AD381" s="303"/>
      <c r="AE381" s="303"/>
      <c r="AF381" s="310">
        <f t="shared" ref="AF381:AO381" si="191">IFERROR(ROUND( AF379 / AF378,2) - 1, 0)</f>
        <v>0</v>
      </c>
      <c r="AG381" s="310">
        <f t="shared" si="191"/>
        <v>0</v>
      </c>
      <c r="AH381" s="310">
        <f t="shared" si="191"/>
        <v>0</v>
      </c>
      <c r="AI381" s="310">
        <f t="shared" si="191"/>
        <v>0</v>
      </c>
      <c r="AJ381" s="310">
        <f t="shared" si="191"/>
        <v>0</v>
      </c>
      <c r="AK381" s="310">
        <f t="shared" si="191"/>
        <v>0</v>
      </c>
      <c r="AL381" s="310">
        <f t="shared" si="191"/>
        <v>0</v>
      </c>
      <c r="AM381" s="310">
        <f t="shared" si="191"/>
        <v>0</v>
      </c>
      <c r="AN381" s="310">
        <f t="shared" si="191"/>
        <v>0</v>
      </c>
      <c r="AO381" s="310">
        <f t="shared" si="191"/>
        <v>0</v>
      </c>
    </row>
    <row r="382" spans="1:41">
      <c r="B382" s="301"/>
      <c r="C382" s="309"/>
      <c r="D382" s="303"/>
      <c r="E382" s="303"/>
      <c r="F382" s="303"/>
      <c r="G382" s="310"/>
      <c r="H382" s="310"/>
      <c r="I382" s="310"/>
      <c r="J382" s="310"/>
      <c r="K382" s="310"/>
      <c r="L382" s="310"/>
      <c r="M382" s="310"/>
      <c r="N382" s="310"/>
      <c r="O382" s="310"/>
      <c r="P382" s="310"/>
      <c r="Q382" s="310"/>
      <c r="R382" s="310"/>
      <c r="S382" s="310"/>
      <c r="T382" s="310"/>
      <c r="U382" s="310"/>
      <c r="V382" s="310"/>
      <c r="W382" s="310"/>
      <c r="X382" s="310"/>
      <c r="Y382" s="310"/>
      <c r="Z382" s="310"/>
      <c r="AA382" s="310"/>
      <c r="AB382" s="309"/>
      <c r="AC382" s="303"/>
      <c r="AD382" s="303"/>
      <c r="AE382" s="303"/>
      <c r="AF382" s="310"/>
      <c r="AG382" s="310"/>
      <c r="AH382" s="310"/>
      <c r="AI382" s="310"/>
      <c r="AJ382" s="310"/>
      <c r="AK382" s="310"/>
      <c r="AL382" s="310"/>
      <c r="AM382" s="310"/>
      <c r="AN382" s="310"/>
      <c r="AO382" s="310"/>
    </row>
    <row r="383" spans="1:41">
      <c r="A383" t="s">
        <v>7</v>
      </c>
      <c r="C383" s="285" t="s">
        <v>1416</v>
      </c>
      <c r="D383" s="286"/>
      <c r="E383" s="286"/>
      <c r="F383" s="286"/>
      <c r="G383" s="286"/>
      <c r="H383" s="286"/>
      <c r="I383" s="286"/>
      <c r="J383" s="286"/>
      <c r="K383" s="286"/>
      <c r="L383" s="286"/>
      <c r="M383" s="286"/>
      <c r="N383" s="286"/>
      <c r="O383" s="286"/>
      <c r="P383" s="286"/>
      <c r="Q383" s="286"/>
      <c r="R383" s="287"/>
      <c r="S383" s="287"/>
      <c r="T383" s="287"/>
      <c r="U383" s="287"/>
      <c r="V383" s="287"/>
      <c r="W383" s="287"/>
      <c r="X383" s="287"/>
      <c r="Y383" s="287"/>
      <c r="Z383" s="287"/>
      <c r="AA383" s="287"/>
      <c r="AB383" s="287"/>
      <c r="AC383" s="287"/>
      <c r="AD383" s="286"/>
      <c r="AE383" s="286"/>
      <c r="AF383" s="287"/>
      <c r="AG383" s="288"/>
      <c r="AH383" s="287"/>
      <c r="AI383" s="289"/>
    </row>
    <row r="384" spans="1:41">
      <c r="C384" s="290"/>
      <c r="D384" s="286"/>
      <c r="E384" s="286"/>
      <c r="F384" s="286"/>
      <c r="G384" s="286"/>
      <c r="H384" s="286"/>
      <c r="I384" s="286"/>
      <c r="J384" s="286"/>
      <c r="K384" s="286"/>
      <c r="L384" s="286"/>
      <c r="M384" s="286"/>
      <c r="N384" s="286"/>
      <c r="O384" s="286"/>
      <c r="P384" s="286"/>
      <c r="Q384" s="286"/>
      <c r="R384" s="287"/>
      <c r="S384" s="287"/>
      <c r="T384" s="287"/>
      <c r="U384" s="287"/>
      <c r="V384" s="287"/>
      <c r="W384" s="287"/>
      <c r="X384" s="287"/>
      <c r="Y384" s="287"/>
      <c r="Z384" s="287"/>
      <c r="AA384" s="287"/>
      <c r="AB384" s="287"/>
      <c r="AC384" s="287"/>
      <c r="AD384" s="286"/>
      <c r="AE384" s="286"/>
      <c r="AF384" s="287"/>
      <c r="AG384" s="288"/>
      <c r="AH384" s="287"/>
      <c r="AI384" s="289"/>
    </row>
    <row r="385" spans="2:41">
      <c r="C385" s="291"/>
      <c r="D385" s="291" t="s">
        <v>1329</v>
      </c>
      <c r="E385" s="291"/>
      <c r="F385" s="291" t="str">
        <f t="shared" ref="F385:Z385" si="192">F$5</f>
        <v>VAL</v>
      </c>
      <c r="G385" s="292" t="str">
        <f t="shared" si="192"/>
        <v>1H21A</v>
      </c>
      <c r="H385" s="293" t="str">
        <f t="shared" si="192"/>
        <v>2H21A</v>
      </c>
      <c r="I385" s="292" t="str">
        <f t="shared" si="192"/>
        <v>1H22A</v>
      </c>
      <c r="J385" s="293" t="str">
        <f t="shared" si="192"/>
        <v>2H22A</v>
      </c>
      <c r="K385" s="292" t="str">
        <f t="shared" si="192"/>
        <v>1H23A</v>
      </c>
      <c r="L385" s="293" t="str">
        <f t="shared" si="192"/>
        <v>2H23A</v>
      </c>
      <c r="M385" s="292" t="str">
        <f t="shared" si="192"/>
        <v>1H24E</v>
      </c>
      <c r="N385" s="293" t="str">
        <f t="shared" si="192"/>
        <v>2H24E</v>
      </c>
      <c r="O385" s="292" t="str">
        <f t="shared" si="192"/>
        <v>1H25E</v>
      </c>
      <c r="P385" s="293" t="str">
        <f t="shared" si="192"/>
        <v>2H25E</v>
      </c>
      <c r="Q385" s="292" t="str">
        <f t="shared" si="192"/>
        <v>1H26E</v>
      </c>
      <c r="R385" s="293" t="str">
        <f t="shared" si="192"/>
        <v>2H26E</v>
      </c>
      <c r="S385" s="292" t="str">
        <f t="shared" si="192"/>
        <v>1H27E</v>
      </c>
      <c r="T385" s="293" t="str">
        <f t="shared" si="192"/>
        <v>2H27E</v>
      </c>
      <c r="U385" s="292" t="str">
        <f t="shared" si="192"/>
        <v>1H28E</v>
      </c>
      <c r="V385" s="293" t="str">
        <f t="shared" si="192"/>
        <v>2H28E</v>
      </c>
      <c r="W385" s="292" t="str">
        <f t="shared" si="192"/>
        <v>1H29E</v>
      </c>
      <c r="X385" s="293" t="str">
        <f t="shared" si="192"/>
        <v>2H29E</v>
      </c>
      <c r="Y385" s="292" t="str">
        <f t="shared" si="192"/>
        <v>1H30E</v>
      </c>
      <c r="Z385" s="293" t="str">
        <f t="shared" si="192"/>
        <v>2H30E</v>
      </c>
      <c r="AA385" s="294"/>
      <c r="AB385" s="291"/>
      <c r="AC385" s="291" t="s">
        <v>1329</v>
      </c>
      <c r="AD385" s="291"/>
      <c r="AE385" s="291" t="str">
        <f t="shared" ref="AE385:AO385" si="193">AE$5</f>
        <v>VAL</v>
      </c>
      <c r="AF385" s="295" t="str">
        <f t="shared" si="193"/>
        <v>FY21A</v>
      </c>
      <c r="AG385" s="295" t="str">
        <f t="shared" si="193"/>
        <v>FY22A</v>
      </c>
      <c r="AH385" s="295" t="str">
        <f t="shared" si="193"/>
        <v>FY23A</v>
      </c>
      <c r="AI385" s="295" t="str">
        <f t="shared" si="193"/>
        <v>FY24A</v>
      </c>
      <c r="AJ385" s="295" t="str">
        <f t="shared" si="193"/>
        <v>FY25A</v>
      </c>
      <c r="AK385" s="295" t="str">
        <f t="shared" si="193"/>
        <v>FY26A</v>
      </c>
      <c r="AL385" s="295" t="str">
        <f t="shared" si="193"/>
        <v>FY27A</v>
      </c>
      <c r="AM385" s="295" t="str">
        <f t="shared" si="193"/>
        <v>FY28A</v>
      </c>
      <c r="AN385" s="295" t="str">
        <f t="shared" si="193"/>
        <v>FY29A</v>
      </c>
      <c r="AO385" s="295" t="str">
        <f t="shared" si="193"/>
        <v>FY30A</v>
      </c>
    </row>
    <row r="386" spans="2:41">
      <c r="B386" s="301"/>
      <c r="C386" s="296"/>
      <c r="D386" s="296"/>
      <c r="E386" s="296"/>
      <c r="F386" s="296"/>
      <c r="G386" s="297">
        <f t="shared" ref="G386:Z386" si="194">G$6</f>
        <v>44196</v>
      </c>
      <c r="H386" s="298">
        <f t="shared" si="194"/>
        <v>44377</v>
      </c>
      <c r="I386" s="297">
        <f t="shared" si="194"/>
        <v>44561</v>
      </c>
      <c r="J386" s="298">
        <f t="shared" si="194"/>
        <v>44742</v>
      </c>
      <c r="K386" s="297">
        <f t="shared" si="194"/>
        <v>44926</v>
      </c>
      <c r="L386" s="298">
        <f t="shared" si="194"/>
        <v>45107</v>
      </c>
      <c r="M386" s="297">
        <f t="shared" si="194"/>
        <v>45291</v>
      </c>
      <c r="N386" s="298">
        <f t="shared" si="194"/>
        <v>45473</v>
      </c>
      <c r="O386" s="297">
        <f t="shared" si="194"/>
        <v>45657</v>
      </c>
      <c r="P386" s="298">
        <f t="shared" si="194"/>
        <v>45838</v>
      </c>
      <c r="Q386" s="297">
        <f t="shared" si="194"/>
        <v>46022</v>
      </c>
      <c r="R386" s="298">
        <f t="shared" si="194"/>
        <v>46203</v>
      </c>
      <c r="S386" s="297">
        <f t="shared" si="194"/>
        <v>46387</v>
      </c>
      <c r="T386" s="298">
        <f t="shared" si="194"/>
        <v>46568</v>
      </c>
      <c r="U386" s="297">
        <f t="shared" si="194"/>
        <v>46752</v>
      </c>
      <c r="V386" s="298">
        <f t="shared" si="194"/>
        <v>46934</v>
      </c>
      <c r="W386" s="297">
        <f t="shared" si="194"/>
        <v>47118</v>
      </c>
      <c r="X386" s="298">
        <f t="shared" si="194"/>
        <v>47299</v>
      </c>
      <c r="Y386" s="297">
        <f t="shared" si="194"/>
        <v>47483</v>
      </c>
      <c r="Z386" s="296">
        <f t="shared" si="194"/>
        <v>47664</v>
      </c>
      <c r="AA386" s="299"/>
      <c r="AB386" s="296"/>
      <c r="AC386" s="296"/>
      <c r="AD386" s="296"/>
      <c r="AE386" s="296"/>
      <c r="AF386" s="300">
        <f t="shared" ref="AF386:AO386" si="195">AF$6</f>
        <v>44377</v>
      </c>
      <c r="AG386" s="300">
        <f t="shared" si="195"/>
        <v>44742</v>
      </c>
      <c r="AH386" s="300">
        <f t="shared" si="195"/>
        <v>45107</v>
      </c>
      <c r="AI386" s="300">
        <f t="shared" si="195"/>
        <v>45473</v>
      </c>
      <c r="AJ386" s="300">
        <f t="shared" si="195"/>
        <v>45838</v>
      </c>
      <c r="AK386" s="300">
        <f t="shared" si="195"/>
        <v>46203</v>
      </c>
      <c r="AL386" s="300">
        <f t="shared" si="195"/>
        <v>46568</v>
      </c>
      <c r="AM386" s="300">
        <f t="shared" si="195"/>
        <v>46934</v>
      </c>
      <c r="AN386" s="300">
        <f t="shared" si="195"/>
        <v>47299</v>
      </c>
      <c r="AO386" s="300">
        <f t="shared" si="195"/>
        <v>47664</v>
      </c>
    </row>
    <row r="387" spans="2:41">
      <c r="B387" s="301" t="s">
        <v>1464</v>
      </c>
      <c r="C387" s="302" t="s">
        <v>1542</v>
      </c>
      <c r="D387" s="303" t="str">
        <f t="array" ref="D387">_xlfn.XLOOKUP($B387,$B$114:$B$212,_xlfn.XLOOKUP(D$219,$D$5:$AO$5,$D$114:$AO$212))</f>
        <v>NZ$m</v>
      </c>
      <c r="E387" s="303"/>
      <c r="F387" s="303"/>
      <c r="G387" s="304" t="e">
        <f t="array" ref="G387">_xlfn.XLOOKUP($B387,$B$114:$B$212,_xlfn.XLOOKUP(G$219,$D$5:$AO$5,$D$114:$AO$212))</f>
        <v>#REF!</v>
      </c>
      <c r="H387" s="304" t="e">
        <f t="array" ref="H387">_xlfn.XLOOKUP($B387,$B$114:$B$212,_xlfn.XLOOKUP(H$219,$D$5:$AO$5,$D$114:$AO$212))</f>
        <v>#REF!</v>
      </c>
      <c r="I387" s="304" t="e">
        <f t="array" ref="I387">_xlfn.XLOOKUP($B387,$B$114:$B$212,_xlfn.XLOOKUP(I$219,$D$5:$AO$5,$D$114:$AO$212))</f>
        <v>#REF!</v>
      </c>
      <c r="J387" s="304" t="e">
        <f t="array" ref="J387">_xlfn.XLOOKUP($B387,$B$114:$B$212,_xlfn.XLOOKUP(J$219,$D$5:$AO$5,$D$114:$AO$212))</f>
        <v>#REF!</v>
      </c>
      <c r="K387" s="304" t="e">
        <f t="array" ref="K387">_xlfn.XLOOKUP($B387,$B$114:$B$212,_xlfn.XLOOKUP(K$219,$D$5:$AO$5,$D$114:$AO$212))</f>
        <v>#REF!</v>
      </c>
      <c r="L387" s="304" t="e">
        <f t="array" ref="L387">_xlfn.XLOOKUP($B387,$B$114:$B$212,_xlfn.XLOOKUP(L$219,$D$5:$AO$5,$D$114:$AO$212))</f>
        <v>#REF!</v>
      </c>
      <c r="M387" s="304" t="e">
        <f t="array" ref="M387">_xlfn.XLOOKUP($B387,$B$114:$B$212,_xlfn.XLOOKUP(M$219,$D$5:$AO$5,$D$114:$AO$212))</f>
        <v>#REF!</v>
      </c>
      <c r="N387" s="304" t="e">
        <f t="array" ref="N387">_xlfn.XLOOKUP($B387,$B$114:$B$212,_xlfn.XLOOKUP(N$219,$D$5:$AO$5,$D$114:$AO$212))</f>
        <v>#REF!</v>
      </c>
      <c r="O387" s="304" t="e">
        <f t="array" ref="O387">_xlfn.XLOOKUP($B387,$B$114:$B$212,_xlfn.XLOOKUP(O$219,$D$5:$AO$5,$D$114:$AO$212))</f>
        <v>#REF!</v>
      </c>
      <c r="P387" s="304" t="e">
        <f t="array" ref="P387">_xlfn.XLOOKUP($B387,$B$114:$B$212,_xlfn.XLOOKUP(P$219,$D$5:$AO$5,$D$114:$AO$212))</f>
        <v>#REF!</v>
      </c>
      <c r="Q387" s="304" t="e">
        <f t="array" ref="Q387">_xlfn.XLOOKUP($B387,$B$114:$B$212,_xlfn.XLOOKUP(Q$219,$D$5:$AO$5,$D$114:$AO$212))</f>
        <v>#REF!</v>
      </c>
      <c r="R387" s="304" t="e">
        <f t="array" ref="R387">_xlfn.XLOOKUP($B387,$B$114:$B$212,_xlfn.XLOOKUP(R$219,$D$5:$AO$5,$D$114:$AO$212))</f>
        <v>#REF!</v>
      </c>
      <c r="S387" s="304" t="e">
        <f t="array" ref="S387">_xlfn.XLOOKUP($B387,$B$114:$B$212,_xlfn.XLOOKUP(S$219,$D$5:$AO$5,$D$114:$AO$212))</f>
        <v>#REF!</v>
      </c>
      <c r="T387" s="304" t="e">
        <f t="array" ref="T387">_xlfn.XLOOKUP($B387,$B$114:$B$212,_xlfn.XLOOKUP(T$219,$D$5:$AO$5,$D$114:$AO$212))</f>
        <v>#REF!</v>
      </c>
      <c r="U387" s="304" t="e">
        <f t="array" ref="U387">_xlfn.XLOOKUP($B387,$B$114:$B$212,_xlfn.XLOOKUP(U$219,$D$5:$AO$5,$D$114:$AO$212))</f>
        <v>#REF!</v>
      </c>
      <c r="V387" s="304" t="e">
        <f t="array" ref="V387">_xlfn.XLOOKUP($B387,$B$114:$B$212,_xlfn.XLOOKUP(V$219,$D$5:$AO$5,$D$114:$AO$212))</f>
        <v>#REF!</v>
      </c>
      <c r="W387" s="304" t="e">
        <f t="array" ref="W387">_xlfn.XLOOKUP($B387,$B$114:$B$212,_xlfn.XLOOKUP(W$219,$D$5:$AO$5,$D$114:$AO$212))</f>
        <v>#REF!</v>
      </c>
      <c r="X387" s="304" t="e">
        <f t="array" ref="X387">_xlfn.XLOOKUP($B387,$B$114:$B$212,_xlfn.XLOOKUP(X$219,$D$5:$AO$5,$D$114:$AO$212))</f>
        <v>#REF!</v>
      </c>
      <c r="Y387" s="304" t="e">
        <f t="array" ref="Y387">_xlfn.XLOOKUP($B387,$B$114:$B$212,_xlfn.XLOOKUP(Y$219,$D$5:$AO$5,$D$114:$AO$212))</f>
        <v>#REF!</v>
      </c>
      <c r="Z387" s="304" t="e">
        <f t="array" ref="Z387">_xlfn.XLOOKUP($B387,$B$114:$B$212,_xlfn.XLOOKUP(Z$219,$D$5:$AO$5,$D$114:$AO$212))</f>
        <v>#REF!</v>
      </c>
      <c r="AA387" s="305"/>
      <c r="AB387" s="302" t="str">
        <f t="shared" ref="AB387:AB418" si="196">C387</f>
        <v>Auckland - old</v>
      </c>
      <c r="AC387" s="303" t="str">
        <f t="shared" ref="AC387:AC418" si="197">D387</f>
        <v>NZ$m</v>
      </c>
      <c r="AD387" s="303"/>
      <c r="AE387" s="303"/>
      <c r="AF387" s="304" t="e">
        <f t="array" ref="AF387">_xlfn.XLOOKUP($B387,$B$114:$B$212,_xlfn.XLOOKUP(AF$219,$D$5:$AO$5,$D$114:$AO$212))</f>
        <v>#REF!</v>
      </c>
      <c r="AG387" s="304" t="e">
        <f t="array" ref="AG387">_xlfn.XLOOKUP($B387,$B$114:$B$212,_xlfn.XLOOKUP(AG$219,$D$5:$AO$5,$D$114:$AO$212))</f>
        <v>#REF!</v>
      </c>
      <c r="AH387" s="304" t="e">
        <f t="array" ref="AH387">_xlfn.XLOOKUP($B387,$B$114:$B$212,_xlfn.XLOOKUP(AH$219,$D$5:$AO$5,$D$114:$AO$212))</f>
        <v>#REF!</v>
      </c>
      <c r="AI387" s="304" t="e">
        <f t="array" ref="AI387">_xlfn.XLOOKUP($B387,$B$114:$B$212,_xlfn.XLOOKUP(AI$219,$D$5:$AO$5,$D$114:$AO$212))</f>
        <v>#REF!</v>
      </c>
      <c r="AJ387" s="304" t="e">
        <f t="array" ref="AJ387">_xlfn.XLOOKUP($B387,$B$114:$B$212,_xlfn.XLOOKUP(AJ$219,$D$5:$AO$5,$D$114:$AO$212))</f>
        <v>#REF!</v>
      </c>
      <c r="AK387" s="304" t="e">
        <f t="array" ref="AK387">_xlfn.XLOOKUP($B387,$B$114:$B$212,_xlfn.XLOOKUP(AK$219,$D$5:$AO$5,$D$114:$AO$212))</f>
        <v>#REF!</v>
      </c>
      <c r="AL387" s="304" t="e">
        <f t="array" ref="AL387">_xlfn.XLOOKUP($B387,$B$114:$B$212,_xlfn.XLOOKUP(AL$219,$D$5:$AO$5,$D$114:$AO$212))</f>
        <v>#REF!</v>
      </c>
      <c r="AM387" s="304" t="e">
        <f t="array" ref="AM387">_xlfn.XLOOKUP($B387,$B$114:$B$212,_xlfn.XLOOKUP(AM$219,$D$5:$AO$5,$D$114:$AO$212))</f>
        <v>#REF!</v>
      </c>
      <c r="AN387" s="304" t="e">
        <f t="array" ref="AN387">_xlfn.XLOOKUP($B387,$B$114:$B$212,_xlfn.XLOOKUP(AN$219,$D$5:$AO$5,$D$114:$AO$212))</f>
        <v>#REF!</v>
      </c>
      <c r="AO387" s="304" t="e">
        <f t="array" ref="AO387">_xlfn.XLOOKUP($B387,$B$114:$B$212,_xlfn.XLOOKUP(AO$219,$D$5:$AO$5,$D$114:$AO$212))</f>
        <v>#REF!</v>
      </c>
    </row>
    <row r="388" spans="2:41">
      <c r="B388" s="301" t="s">
        <v>1464</v>
      </c>
      <c r="C388" s="306" t="s">
        <v>1543</v>
      </c>
      <c r="D388" s="307" t="str">
        <f t="array" ref="D388">_xlfn.XLOOKUP($B388,$B$11:$B$109,_xlfn.XLOOKUP(D$219,$D$5:$AO$5,$D$11:$AO$109))</f>
        <v>NZ$m</v>
      </c>
      <c r="E388" s="307"/>
      <c r="F388" s="307"/>
      <c r="G388" s="308" t="e">
        <f t="array" ref="G388">_xlfn.XLOOKUP($B388,$B$11:$B$109,_xlfn.XLOOKUP(G$219,$D$5:$AO$5,$D$11:$AO$109))</f>
        <v>#REF!</v>
      </c>
      <c r="H388" s="308" t="e">
        <f t="array" ref="H388">_xlfn.XLOOKUP($B388,$B$11:$B$109,_xlfn.XLOOKUP(H$219,$D$5:$AO$5,$D$11:$AO$109))</f>
        <v>#REF!</v>
      </c>
      <c r="I388" s="308" t="e">
        <f t="array" ref="I388">_xlfn.XLOOKUP($B388,$B$11:$B$109,_xlfn.XLOOKUP(I$219,$D$5:$AO$5,$D$11:$AO$109))</f>
        <v>#REF!</v>
      </c>
      <c r="J388" s="308" t="e">
        <f t="array" ref="J388">_xlfn.XLOOKUP($B388,$B$11:$B$109,_xlfn.XLOOKUP(J$219,$D$5:$AO$5,$D$11:$AO$109))</f>
        <v>#REF!</v>
      </c>
      <c r="K388" s="308" t="e">
        <f t="array" ref="K388">_xlfn.XLOOKUP($B388,$B$11:$B$109,_xlfn.XLOOKUP(K$219,$D$5:$AO$5,$D$11:$AO$109))</f>
        <v>#REF!</v>
      </c>
      <c r="L388" s="308" t="e">
        <f t="array" ref="L388">_xlfn.XLOOKUP($B388,$B$11:$B$109,_xlfn.XLOOKUP(L$219,$D$5:$AO$5,$D$11:$AO$109))</f>
        <v>#REF!</v>
      </c>
      <c r="M388" s="308" t="e">
        <f t="array" ref="M388">_xlfn.XLOOKUP($B388,$B$11:$B$109,_xlfn.XLOOKUP(M$219,$D$5:$AO$5,$D$11:$AO$109))</f>
        <v>#REF!</v>
      </c>
      <c r="N388" s="308" t="e">
        <f t="array" ref="N388">_xlfn.XLOOKUP($B388,$B$11:$B$109,_xlfn.XLOOKUP(N$219,$D$5:$AO$5,$D$11:$AO$109))</f>
        <v>#REF!</v>
      </c>
      <c r="O388" s="308" t="e">
        <f t="array" ref="O388">_xlfn.XLOOKUP($B388,$B$11:$B$109,_xlfn.XLOOKUP(O$219,$D$5:$AO$5,$D$11:$AO$109))</f>
        <v>#REF!</v>
      </c>
      <c r="P388" s="308" t="e">
        <f t="array" ref="P388">_xlfn.XLOOKUP($B388,$B$11:$B$109,_xlfn.XLOOKUP(P$219,$D$5:$AO$5,$D$11:$AO$109))</f>
        <v>#REF!</v>
      </c>
      <c r="Q388" s="308" t="e">
        <f t="array" ref="Q388">_xlfn.XLOOKUP($B388,$B$11:$B$109,_xlfn.XLOOKUP(Q$219,$D$5:$AO$5,$D$11:$AO$109))</f>
        <v>#REF!</v>
      </c>
      <c r="R388" s="308" t="e">
        <f t="array" ref="R388">_xlfn.XLOOKUP($B388,$B$11:$B$109,_xlfn.XLOOKUP(R$219,$D$5:$AO$5,$D$11:$AO$109))</f>
        <v>#REF!</v>
      </c>
      <c r="S388" s="308" t="e">
        <f t="array" ref="S388">_xlfn.XLOOKUP($B388,$B$11:$B$109,_xlfn.XLOOKUP(S$219,$D$5:$AO$5,$D$11:$AO$109))</f>
        <v>#REF!</v>
      </c>
      <c r="T388" s="308" t="e">
        <f t="array" ref="T388">_xlfn.XLOOKUP($B388,$B$11:$B$109,_xlfn.XLOOKUP(T$219,$D$5:$AO$5,$D$11:$AO$109))</f>
        <v>#REF!</v>
      </c>
      <c r="U388" s="308" t="e">
        <f t="array" ref="U388">_xlfn.XLOOKUP($B388,$B$11:$B$109,_xlfn.XLOOKUP(U$219,$D$5:$AO$5,$D$11:$AO$109))</f>
        <v>#REF!</v>
      </c>
      <c r="V388" s="308" t="e">
        <f t="array" ref="V388">_xlfn.XLOOKUP($B388,$B$11:$B$109,_xlfn.XLOOKUP(V$219,$D$5:$AO$5,$D$11:$AO$109))</f>
        <v>#REF!</v>
      </c>
      <c r="W388" s="308" t="e">
        <f t="array" ref="W388">_xlfn.XLOOKUP($B388,$B$11:$B$109,_xlfn.XLOOKUP(W$219,$D$5:$AO$5,$D$11:$AO$109))</f>
        <v>#REF!</v>
      </c>
      <c r="X388" s="308" t="e">
        <f t="array" ref="X388">_xlfn.XLOOKUP($B388,$B$11:$B$109,_xlfn.XLOOKUP(X$219,$D$5:$AO$5,$D$11:$AO$109))</f>
        <v>#REF!</v>
      </c>
      <c r="Y388" s="308" t="e">
        <f t="array" ref="Y388">_xlfn.XLOOKUP($B388,$B$11:$B$109,_xlfn.XLOOKUP(Y$219,$D$5:$AO$5,$D$11:$AO$109))</f>
        <v>#REF!</v>
      </c>
      <c r="Z388" s="308" t="e">
        <f t="array" ref="Z388">_xlfn.XLOOKUP($B388,$B$11:$B$109,_xlfn.XLOOKUP(Z$219,$D$5:$AO$5,$D$11:$AO$109))</f>
        <v>#REF!</v>
      </c>
      <c r="AA388" s="308"/>
      <c r="AB388" s="306" t="str">
        <f t="shared" si="196"/>
        <v>Auckland - New</v>
      </c>
      <c r="AC388" s="307" t="str">
        <f t="shared" si="197"/>
        <v>NZ$m</v>
      </c>
      <c r="AD388" s="307"/>
      <c r="AE388" s="307"/>
      <c r="AF388" s="308" t="e">
        <f t="array" ref="AF388">_xlfn.XLOOKUP($B388,$B$11:$B$109,_xlfn.XLOOKUP(AF$219,$D$5:$AO$5,$D$11:$AO$109))</f>
        <v>#REF!</v>
      </c>
      <c r="AG388" s="308" t="e">
        <f t="array" ref="AG388">_xlfn.XLOOKUP($B388,$B$11:$B$109,_xlfn.XLOOKUP(AG$219,$D$5:$AO$5,$D$11:$AO$109))</f>
        <v>#REF!</v>
      </c>
      <c r="AH388" s="308" t="e">
        <f t="array" ref="AH388">_xlfn.XLOOKUP($B388,$B$11:$B$109,_xlfn.XLOOKUP(AH$219,$D$5:$AO$5,$D$11:$AO$109))</f>
        <v>#REF!</v>
      </c>
      <c r="AI388" s="308" t="e">
        <f t="array" ref="AI388">_xlfn.XLOOKUP($B388,$B$11:$B$109,_xlfn.XLOOKUP(AI$219,$D$5:$AO$5,$D$11:$AO$109))</f>
        <v>#REF!</v>
      </c>
      <c r="AJ388" s="308" t="e">
        <f t="array" ref="AJ388">_xlfn.XLOOKUP($B388,$B$11:$B$109,_xlfn.XLOOKUP(AJ$219,$D$5:$AO$5,$D$11:$AO$109))</f>
        <v>#REF!</v>
      </c>
      <c r="AK388" s="308" t="e">
        <f t="array" ref="AK388">_xlfn.XLOOKUP($B388,$B$11:$B$109,_xlfn.XLOOKUP(AK$219,$D$5:$AO$5,$D$11:$AO$109))</f>
        <v>#REF!</v>
      </c>
      <c r="AL388" s="308" t="e">
        <f t="array" ref="AL388">_xlfn.XLOOKUP($B388,$B$11:$B$109,_xlfn.XLOOKUP(AL$219,$D$5:$AO$5,$D$11:$AO$109))</f>
        <v>#REF!</v>
      </c>
      <c r="AM388" s="308" t="e">
        <f t="array" ref="AM388">_xlfn.XLOOKUP($B388,$B$11:$B$109,_xlfn.XLOOKUP(AM$219,$D$5:$AO$5,$D$11:$AO$109))</f>
        <v>#REF!</v>
      </c>
      <c r="AN388" s="308" t="e">
        <f t="array" ref="AN388">_xlfn.XLOOKUP($B388,$B$11:$B$109,_xlfn.XLOOKUP(AN$219,$D$5:$AO$5,$D$11:$AO$109))</f>
        <v>#REF!</v>
      </c>
      <c r="AO388" s="308" t="e">
        <f t="array" ref="AO388">_xlfn.XLOOKUP($B388,$B$11:$B$109,_xlfn.XLOOKUP(AO$219,$D$5:$AO$5,$D$11:$AO$109))</f>
        <v>#REF!</v>
      </c>
    </row>
    <row r="389" spans="2:41" hidden="1" outlineLevel="1">
      <c r="B389" s="301"/>
      <c r="C389" s="309" t="s">
        <v>1510</v>
      </c>
      <c r="D389" s="303" t="s">
        <v>88</v>
      </c>
      <c r="E389" s="303"/>
      <c r="F389" s="303"/>
      <c r="G389" s="310" t="s">
        <v>967</v>
      </c>
      <c r="H389" s="310" t="s">
        <v>967</v>
      </c>
      <c r="I389" s="310" t="e">
        <f t="shared" ref="I389:Z389" si="198">I388/G388-1</f>
        <v>#REF!</v>
      </c>
      <c r="J389" s="310" t="e">
        <f t="shared" si="198"/>
        <v>#REF!</v>
      </c>
      <c r="K389" s="310" t="e">
        <f t="shared" si="198"/>
        <v>#REF!</v>
      </c>
      <c r="L389" s="310" t="e">
        <f t="shared" si="198"/>
        <v>#REF!</v>
      </c>
      <c r="M389" s="310" t="e">
        <f t="shared" si="198"/>
        <v>#REF!</v>
      </c>
      <c r="N389" s="310" t="e">
        <f t="shared" si="198"/>
        <v>#REF!</v>
      </c>
      <c r="O389" s="310" t="e">
        <f t="shared" si="198"/>
        <v>#REF!</v>
      </c>
      <c r="P389" s="310" t="e">
        <f t="shared" si="198"/>
        <v>#REF!</v>
      </c>
      <c r="Q389" s="310" t="e">
        <f t="shared" si="198"/>
        <v>#REF!</v>
      </c>
      <c r="R389" s="310" t="e">
        <f t="shared" si="198"/>
        <v>#REF!</v>
      </c>
      <c r="S389" s="310" t="e">
        <f t="shared" si="198"/>
        <v>#REF!</v>
      </c>
      <c r="T389" s="310" t="e">
        <f t="shared" si="198"/>
        <v>#REF!</v>
      </c>
      <c r="U389" s="310" t="e">
        <f t="shared" si="198"/>
        <v>#REF!</v>
      </c>
      <c r="V389" s="310" t="e">
        <f t="shared" si="198"/>
        <v>#REF!</v>
      </c>
      <c r="W389" s="310" t="e">
        <f t="shared" si="198"/>
        <v>#REF!</v>
      </c>
      <c r="X389" s="310" t="e">
        <f t="shared" si="198"/>
        <v>#REF!</v>
      </c>
      <c r="Y389" s="310" t="e">
        <f t="shared" si="198"/>
        <v>#REF!</v>
      </c>
      <c r="Z389" s="310" t="e">
        <f t="shared" si="198"/>
        <v>#REF!</v>
      </c>
      <c r="AA389" s="311"/>
      <c r="AB389" s="309" t="str">
        <f t="shared" si="196"/>
        <v>- Growth</v>
      </c>
      <c r="AC389" s="303" t="str">
        <f t="shared" si="197"/>
        <v>%</v>
      </c>
      <c r="AD389" s="303"/>
      <c r="AE389" s="303"/>
      <c r="AF389" s="310" t="s">
        <v>967</v>
      </c>
      <c r="AG389" s="310" t="e">
        <f t="shared" ref="AG389:AO389" si="199">AG388/AF388-1</f>
        <v>#REF!</v>
      </c>
      <c r="AH389" s="310" t="e">
        <f t="shared" si="199"/>
        <v>#REF!</v>
      </c>
      <c r="AI389" s="310" t="e">
        <f t="shared" si="199"/>
        <v>#REF!</v>
      </c>
      <c r="AJ389" s="310" t="e">
        <f t="shared" si="199"/>
        <v>#REF!</v>
      </c>
      <c r="AK389" s="310" t="e">
        <f t="shared" si="199"/>
        <v>#REF!</v>
      </c>
      <c r="AL389" s="310" t="e">
        <f t="shared" si="199"/>
        <v>#REF!</v>
      </c>
      <c r="AM389" s="310" t="e">
        <f t="shared" si="199"/>
        <v>#REF!</v>
      </c>
      <c r="AN389" s="310" t="e">
        <f t="shared" si="199"/>
        <v>#REF!</v>
      </c>
      <c r="AO389" s="310" t="e">
        <f t="shared" si="199"/>
        <v>#REF!</v>
      </c>
    </row>
    <row r="390" spans="2:41" collapsed="1">
      <c r="B390" s="301"/>
      <c r="C390" s="309" t="s">
        <v>1511</v>
      </c>
      <c r="D390" s="303" t="s">
        <v>88</v>
      </c>
      <c r="E390" s="303"/>
      <c r="F390" s="303"/>
      <c r="G390" s="310">
        <f t="shared" ref="G390:Z390" si="200">IFERROR(ROUND( G388 / G387,2) - 1, 0)</f>
        <v>0</v>
      </c>
      <c r="H390" s="310">
        <f t="shared" si="200"/>
        <v>0</v>
      </c>
      <c r="I390" s="310">
        <f t="shared" si="200"/>
        <v>0</v>
      </c>
      <c r="J390" s="310">
        <f t="shared" si="200"/>
        <v>0</v>
      </c>
      <c r="K390" s="310">
        <f t="shared" si="200"/>
        <v>0</v>
      </c>
      <c r="L390" s="310">
        <f t="shared" si="200"/>
        <v>0</v>
      </c>
      <c r="M390" s="310">
        <f t="shared" si="200"/>
        <v>0</v>
      </c>
      <c r="N390" s="310">
        <f t="shared" si="200"/>
        <v>0</v>
      </c>
      <c r="O390" s="310">
        <f t="shared" si="200"/>
        <v>0</v>
      </c>
      <c r="P390" s="310">
        <f t="shared" si="200"/>
        <v>0</v>
      </c>
      <c r="Q390" s="310">
        <f t="shared" si="200"/>
        <v>0</v>
      </c>
      <c r="R390" s="310">
        <f t="shared" si="200"/>
        <v>0</v>
      </c>
      <c r="S390" s="310">
        <f t="shared" si="200"/>
        <v>0</v>
      </c>
      <c r="T390" s="310">
        <f t="shared" si="200"/>
        <v>0</v>
      </c>
      <c r="U390" s="310">
        <f t="shared" si="200"/>
        <v>0</v>
      </c>
      <c r="V390" s="310">
        <f t="shared" si="200"/>
        <v>0</v>
      </c>
      <c r="W390" s="310">
        <f t="shared" si="200"/>
        <v>0</v>
      </c>
      <c r="X390" s="310">
        <f t="shared" si="200"/>
        <v>0</v>
      </c>
      <c r="Y390" s="310">
        <f t="shared" si="200"/>
        <v>0</v>
      </c>
      <c r="Z390" s="310">
        <f t="shared" si="200"/>
        <v>0</v>
      </c>
      <c r="AA390" s="310"/>
      <c r="AB390" s="309" t="str">
        <f t="shared" si="196"/>
        <v>- Revision</v>
      </c>
      <c r="AC390" s="303" t="str">
        <f t="shared" si="197"/>
        <v>%</v>
      </c>
      <c r="AD390" s="303"/>
      <c r="AE390" s="303"/>
      <c r="AF390" s="310">
        <f t="shared" ref="AF390:AO390" si="201">IFERROR(ROUND( AF388 / AF387,2) - 1, 0)</f>
        <v>0</v>
      </c>
      <c r="AG390" s="310">
        <f t="shared" si="201"/>
        <v>0</v>
      </c>
      <c r="AH390" s="310">
        <f t="shared" si="201"/>
        <v>0</v>
      </c>
      <c r="AI390" s="310">
        <f t="shared" si="201"/>
        <v>0</v>
      </c>
      <c r="AJ390" s="310">
        <f t="shared" si="201"/>
        <v>0</v>
      </c>
      <c r="AK390" s="310">
        <f t="shared" si="201"/>
        <v>0</v>
      </c>
      <c r="AL390" s="310">
        <f t="shared" si="201"/>
        <v>0</v>
      </c>
      <c r="AM390" s="310">
        <f t="shared" si="201"/>
        <v>0</v>
      </c>
      <c r="AN390" s="310">
        <f t="shared" si="201"/>
        <v>0</v>
      </c>
      <c r="AO390" s="310">
        <f t="shared" si="201"/>
        <v>0</v>
      </c>
    </row>
    <row r="391" spans="2:41">
      <c r="B391" s="301" t="s">
        <v>1465</v>
      </c>
      <c r="C391" s="302" t="s">
        <v>1544</v>
      </c>
      <c r="D391" s="303" t="str">
        <f t="array" ref="D391">_xlfn.XLOOKUP($B391,$B$114:$B$212,_xlfn.XLOOKUP(D$219,$D$5:$AO$5,$D$114:$AO$212))</f>
        <v>NZ$m</v>
      </c>
      <c r="E391" s="303"/>
      <c r="F391" s="303"/>
      <c r="G391" s="304" t="e">
        <f t="array" ref="G391">_xlfn.XLOOKUP($B391,$B$114:$B$212,_xlfn.XLOOKUP(G$219,$D$5:$AO$5,$D$114:$AO$212))</f>
        <v>#REF!</v>
      </c>
      <c r="H391" s="304" t="e">
        <f t="array" ref="H391">_xlfn.XLOOKUP($B391,$B$114:$B$212,_xlfn.XLOOKUP(H$219,$D$5:$AO$5,$D$114:$AO$212))</f>
        <v>#REF!</v>
      </c>
      <c r="I391" s="304" t="e">
        <f t="array" ref="I391">_xlfn.XLOOKUP($B391,$B$114:$B$212,_xlfn.XLOOKUP(I$219,$D$5:$AO$5,$D$114:$AO$212))</f>
        <v>#REF!</v>
      </c>
      <c r="J391" s="304" t="e">
        <f t="array" ref="J391">_xlfn.XLOOKUP($B391,$B$114:$B$212,_xlfn.XLOOKUP(J$219,$D$5:$AO$5,$D$114:$AO$212))</f>
        <v>#REF!</v>
      </c>
      <c r="K391" s="304" t="e">
        <f t="array" ref="K391">_xlfn.XLOOKUP($B391,$B$114:$B$212,_xlfn.XLOOKUP(K$219,$D$5:$AO$5,$D$114:$AO$212))</f>
        <v>#REF!</v>
      </c>
      <c r="L391" s="304" t="e">
        <f t="array" ref="L391">_xlfn.XLOOKUP($B391,$B$114:$B$212,_xlfn.XLOOKUP(L$219,$D$5:$AO$5,$D$114:$AO$212))</f>
        <v>#REF!</v>
      </c>
      <c r="M391" s="304" t="e">
        <f t="array" ref="M391">_xlfn.XLOOKUP($B391,$B$114:$B$212,_xlfn.XLOOKUP(M$219,$D$5:$AO$5,$D$114:$AO$212))</f>
        <v>#REF!</v>
      </c>
      <c r="N391" s="304" t="e">
        <f t="array" ref="N391">_xlfn.XLOOKUP($B391,$B$114:$B$212,_xlfn.XLOOKUP(N$219,$D$5:$AO$5,$D$114:$AO$212))</f>
        <v>#REF!</v>
      </c>
      <c r="O391" s="304" t="e">
        <f t="array" ref="O391">_xlfn.XLOOKUP($B391,$B$114:$B$212,_xlfn.XLOOKUP(O$219,$D$5:$AO$5,$D$114:$AO$212))</f>
        <v>#REF!</v>
      </c>
      <c r="P391" s="304" t="e">
        <f t="array" ref="P391">_xlfn.XLOOKUP($B391,$B$114:$B$212,_xlfn.XLOOKUP(P$219,$D$5:$AO$5,$D$114:$AO$212))</f>
        <v>#REF!</v>
      </c>
      <c r="Q391" s="304" t="e">
        <f t="array" ref="Q391">_xlfn.XLOOKUP($B391,$B$114:$B$212,_xlfn.XLOOKUP(Q$219,$D$5:$AO$5,$D$114:$AO$212))</f>
        <v>#REF!</v>
      </c>
      <c r="R391" s="304" t="e">
        <f t="array" ref="R391">_xlfn.XLOOKUP($B391,$B$114:$B$212,_xlfn.XLOOKUP(R$219,$D$5:$AO$5,$D$114:$AO$212))</f>
        <v>#REF!</v>
      </c>
      <c r="S391" s="304" t="e">
        <f t="array" ref="S391">_xlfn.XLOOKUP($B391,$B$114:$B$212,_xlfn.XLOOKUP(S$219,$D$5:$AO$5,$D$114:$AO$212))</f>
        <v>#REF!</v>
      </c>
      <c r="T391" s="304" t="e">
        <f t="array" ref="T391">_xlfn.XLOOKUP($B391,$B$114:$B$212,_xlfn.XLOOKUP(T$219,$D$5:$AO$5,$D$114:$AO$212))</f>
        <v>#REF!</v>
      </c>
      <c r="U391" s="304" t="e">
        <f t="array" ref="U391">_xlfn.XLOOKUP($B391,$B$114:$B$212,_xlfn.XLOOKUP(U$219,$D$5:$AO$5,$D$114:$AO$212))</f>
        <v>#REF!</v>
      </c>
      <c r="V391" s="304" t="e">
        <f t="array" ref="V391">_xlfn.XLOOKUP($B391,$B$114:$B$212,_xlfn.XLOOKUP(V$219,$D$5:$AO$5,$D$114:$AO$212))</f>
        <v>#REF!</v>
      </c>
      <c r="W391" s="304" t="e">
        <f t="array" ref="W391">_xlfn.XLOOKUP($B391,$B$114:$B$212,_xlfn.XLOOKUP(W$219,$D$5:$AO$5,$D$114:$AO$212))</f>
        <v>#REF!</v>
      </c>
      <c r="X391" s="304" t="e">
        <f t="array" ref="X391">_xlfn.XLOOKUP($B391,$B$114:$B$212,_xlfn.XLOOKUP(X$219,$D$5:$AO$5,$D$114:$AO$212))</f>
        <v>#REF!</v>
      </c>
      <c r="Y391" s="304" t="e">
        <f t="array" ref="Y391">_xlfn.XLOOKUP($B391,$B$114:$B$212,_xlfn.XLOOKUP(Y$219,$D$5:$AO$5,$D$114:$AO$212))</f>
        <v>#REF!</v>
      </c>
      <c r="Z391" s="304" t="e">
        <f t="array" ref="Z391">_xlfn.XLOOKUP($B391,$B$114:$B$212,_xlfn.XLOOKUP(Z$219,$D$5:$AO$5,$D$114:$AO$212))</f>
        <v>#REF!</v>
      </c>
      <c r="AA391" s="305"/>
      <c r="AB391" s="302" t="str">
        <f t="shared" si="196"/>
        <v>Hamilton - old</v>
      </c>
      <c r="AC391" s="303" t="str">
        <f t="shared" si="197"/>
        <v>NZ$m</v>
      </c>
      <c r="AD391" s="303"/>
      <c r="AE391" s="303"/>
      <c r="AF391" s="304" t="e">
        <f t="array" ref="AF391">_xlfn.XLOOKUP($B391,$B$114:$B$212,_xlfn.XLOOKUP(AF$219,$D$5:$AO$5,$D$114:$AO$212))</f>
        <v>#REF!</v>
      </c>
      <c r="AG391" s="304" t="e">
        <f t="array" ref="AG391">_xlfn.XLOOKUP($B391,$B$114:$B$212,_xlfn.XLOOKUP(AG$219,$D$5:$AO$5,$D$114:$AO$212))</f>
        <v>#REF!</v>
      </c>
      <c r="AH391" s="304" t="e">
        <f t="array" ref="AH391">_xlfn.XLOOKUP($B391,$B$114:$B$212,_xlfn.XLOOKUP(AH$219,$D$5:$AO$5,$D$114:$AO$212))</f>
        <v>#REF!</v>
      </c>
      <c r="AI391" s="304" t="e">
        <f t="array" ref="AI391">_xlfn.XLOOKUP($B391,$B$114:$B$212,_xlfn.XLOOKUP(AI$219,$D$5:$AO$5,$D$114:$AO$212))</f>
        <v>#REF!</v>
      </c>
      <c r="AJ391" s="304" t="e">
        <f t="array" ref="AJ391">_xlfn.XLOOKUP($B391,$B$114:$B$212,_xlfn.XLOOKUP(AJ$219,$D$5:$AO$5,$D$114:$AO$212))</f>
        <v>#REF!</v>
      </c>
      <c r="AK391" s="304" t="e">
        <f t="array" ref="AK391">_xlfn.XLOOKUP($B391,$B$114:$B$212,_xlfn.XLOOKUP(AK$219,$D$5:$AO$5,$D$114:$AO$212))</f>
        <v>#REF!</v>
      </c>
      <c r="AL391" s="304" t="e">
        <f t="array" ref="AL391">_xlfn.XLOOKUP($B391,$B$114:$B$212,_xlfn.XLOOKUP(AL$219,$D$5:$AO$5,$D$114:$AO$212))</f>
        <v>#REF!</v>
      </c>
      <c r="AM391" s="304" t="e">
        <f t="array" ref="AM391">_xlfn.XLOOKUP($B391,$B$114:$B$212,_xlfn.XLOOKUP(AM$219,$D$5:$AO$5,$D$114:$AO$212))</f>
        <v>#REF!</v>
      </c>
      <c r="AN391" s="304" t="e">
        <f t="array" ref="AN391">_xlfn.XLOOKUP($B391,$B$114:$B$212,_xlfn.XLOOKUP(AN$219,$D$5:$AO$5,$D$114:$AO$212))</f>
        <v>#REF!</v>
      </c>
      <c r="AO391" s="304" t="e">
        <f t="array" ref="AO391">_xlfn.XLOOKUP($B391,$B$114:$B$212,_xlfn.XLOOKUP(AO$219,$D$5:$AO$5,$D$114:$AO$212))</f>
        <v>#REF!</v>
      </c>
    </row>
    <row r="392" spans="2:41">
      <c r="B392" s="301" t="s">
        <v>1465</v>
      </c>
      <c r="C392" s="306" t="s">
        <v>1545</v>
      </c>
      <c r="D392" s="307" t="str">
        <f t="array" ref="D392">_xlfn.XLOOKUP($B392,$B$11:$B$109,_xlfn.XLOOKUP(D$219,$D$5:$AO$5,$D$11:$AO$109))</f>
        <v>NZ$m</v>
      </c>
      <c r="E392" s="307"/>
      <c r="F392" s="307"/>
      <c r="G392" s="308" t="e">
        <f t="array" ref="G392">_xlfn.XLOOKUP($B392,$B$11:$B$109,_xlfn.XLOOKUP(G$219,$D$5:$AO$5,$D$11:$AO$109))</f>
        <v>#REF!</v>
      </c>
      <c r="H392" s="308" t="e">
        <f t="array" ref="H392">_xlfn.XLOOKUP($B392,$B$11:$B$109,_xlfn.XLOOKUP(H$219,$D$5:$AO$5,$D$11:$AO$109))</f>
        <v>#REF!</v>
      </c>
      <c r="I392" s="308" t="e">
        <f t="array" ref="I392">_xlfn.XLOOKUP($B392,$B$11:$B$109,_xlfn.XLOOKUP(I$219,$D$5:$AO$5,$D$11:$AO$109))</f>
        <v>#REF!</v>
      </c>
      <c r="J392" s="308" t="e">
        <f t="array" ref="J392">_xlfn.XLOOKUP($B392,$B$11:$B$109,_xlfn.XLOOKUP(J$219,$D$5:$AO$5,$D$11:$AO$109))</f>
        <v>#REF!</v>
      </c>
      <c r="K392" s="308" t="e">
        <f t="array" ref="K392">_xlfn.XLOOKUP($B392,$B$11:$B$109,_xlfn.XLOOKUP(K$219,$D$5:$AO$5,$D$11:$AO$109))</f>
        <v>#REF!</v>
      </c>
      <c r="L392" s="308" t="e">
        <f t="array" ref="L392">_xlfn.XLOOKUP($B392,$B$11:$B$109,_xlfn.XLOOKUP(L$219,$D$5:$AO$5,$D$11:$AO$109))</f>
        <v>#REF!</v>
      </c>
      <c r="M392" s="308" t="e">
        <f t="array" ref="M392">_xlfn.XLOOKUP($B392,$B$11:$B$109,_xlfn.XLOOKUP(M$219,$D$5:$AO$5,$D$11:$AO$109))</f>
        <v>#REF!</v>
      </c>
      <c r="N392" s="308" t="e">
        <f t="array" ref="N392">_xlfn.XLOOKUP($B392,$B$11:$B$109,_xlfn.XLOOKUP(N$219,$D$5:$AO$5,$D$11:$AO$109))</f>
        <v>#REF!</v>
      </c>
      <c r="O392" s="308" t="e">
        <f t="array" ref="O392">_xlfn.XLOOKUP($B392,$B$11:$B$109,_xlfn.XLOOKUP(O$219,$D$5:$AO$5,$D$11:$AO$109))</f>
        <v>#REF!</v>
      </c>
      <c r="P392" s="308" t="e">
        <f t="array" ref="P392">_xlfn.XLOOKUP($B392,$B$11:$B$109,_xlfn.XLOOKUP(P$219,$D$5:$AO$5,$D$11:$AO$109))</f>
        <v>#REF!</v>
      </c>
      <c r="Q392" s="308" t="e">
        <f t="array" ref="Q392">_xlfn.XLOOKUP($B392,$B$11:$B$109,_xlfn.XLOOKUP(Q$219,$D$5:$AO$5,$D$11:$AO$109))</f>
        <v>#REF!</v>
      </c>
      <c r="R392" s="308" t="e">
        <f t="array" ref="R392">_xlfn.XLOOKUP($B392,$B$11:$B$109,_xlfn.XLOOKUP(R$219,$D$5:$AO$5,$D$11:$AO$109))</f>
        <v>#REF!</v>
      </c>
      <c r="S392" s="308" t="e">
        <f t="array" ref="S392">_xlfn.XLOOKUP($B392,$B$11:$B$109,_xlfn.XLOOKUP(S$219,$D$5:$AO$5,$D$11:$AO$109))</f>
        <v>#REF!</v>
      </c>
      <c r="T392" s="308" t="e">
        <f t="array" ref="T392">_xlfn.XLOOKUP($B392,$B$11:$B$109,_xlfn.XLOOKUP(T$219,$D$5:$AO$5,$D$11:$AO$109))</f>
        <v>#REF!</v>
      </c>
      <c r="U392" s="308" t="e">
        <f t="array" ref="U392">_xlfn.XLOOKUP($B392,$B$11:$B$109,_xlfn.XLOOKUP(U$219,$D$5:$AO$5,$D$11:$AO$109))</f>
        <v>#REF!</v>
      </c>
      <c r="V392" s="308" t="e">
        <f t="array" ref="V392">_xlfn.XLOOKUP($B392,$B$11:$B$109,_xlfn.XLOOKUP(V$219,$D$5:$AO$5,$D$11:$AO$109))</f>
        <v>#REF!</v>
      </c>
      <c r="W392" s="308" t="e">
        <f t="array" ref="W392">_xlfn.XLOOKUP($B392,$B$11:$B$109,_xlfn.XLOOKUP(W$219,$D$5:$AO$5,$D$11:$AO$109))</f>
        <v>#REF!</v>
      </c>
      <c r="X392" s="308" t="e">
        <f t="array" ref="X392">_xlfn.XLOOKUP($B392,$B$11:$B$109,_xlfn.XLOOKUP(X$219,$D$5:$AO$5,$D$11:$AO$109))</f>
        <v>#REF!</v>
      </c>
      <c r="Y392" s="308" t="e">
        <f t="array" ref="Y392">_xlfn.XLOOKUP($B392,$B$11:$B$109,_xlfn.XLOOKUP(Y$219,$D$5:$AO$5,$D$11:$AO$109))</f>
        <v>#REF!</v>
      </c>
      <c r="Z392" s="308" t="e">
        <f t="array" ref="Z392">_xlfn.XLOOKUP($B392,$B$11:$B$109,_xlfn.XLOOKUP(Z$219,$D$5:$AO$5,$D$11:$AO$109))</f>
        <v>#REF!</v>
      </c>
      <c r="AA392" s="308"/>
      <c r="AB392" s="306" t="str">
        <f t="shared" si="196"/>
        <v>Hamilton - New</v>
      </c>
      <c r="AC392" s="307" t="str">
        <f t="shared" si="197"/>
        <v>NZ$m</v>
      </c>
      <c r="AD392" s="307"/>
      <c r="AE392" s="307"/>
      <c r="AF392" s="308" t="e">
        <f t="array" ref="AF392">_xlfn.XLOOKUP($B392,$B$11:$B$109,_xlfn.XLOOKUP(AF$219,$D$5:$AO$5,$D$11:$AO$109))</f>
        <v>#REF!</v>
      </c>
      <c r="AG392" s="308" t="e">
        <f t="array" ref="AG392">_xlfn.XLOOKUP($B392,$B$11:$B$109,_xlfn.XLOOKUP(AG$219,$D$5:$AO$5,$D$11:$AO$109))</f>
        <v>#REF!</v>
      </c>
      <c r="AH392" s="308" t="e">
        <f t="array" ref="AH392">_xlfn.XLOOKUP($B392,$B$11:$B$109,_xlfn.XLOOKUP(AH$219,$D$5:$AO$5,$D$11:$AO$109))</f>
        <v>#REF!</v>
      </c>
      <c r="AI392" s="308" t="e">
        <f t="array" ref="AI392">_xlfn.XLOOKUP($B392,$B$11:$B$109,_xlfn.XLOOKUP(AI$219,$D$5:$AO$5,$D$11:$AO$109))</f>
        <v>#REF!</v>
      </c>
      <c r="AJ392" s="308" t="e">
        <f t="array" ref="AJ392">_xlfn.XLOOKUP($B392,$B$11:$B$109,_xlfn.XLOOKUP(AJ$219,$D$5:$AO$5,$D$11:$AO$109))</f>
        <v>#REF!</v>
      </c>
      <c r="AK392" s="308" t="e">
        <f t="array" ref="AK392">_xlfn.XLOOKUP($B392,$B$11:$B$109,_xlfn.XLOOKUP(AK$219,$D$5:$AO$5,$D$11:$AO$109))</f>
        <v>#REF!</v>
      </c>
      <c r="AL392" s="308" t="e">
        <f t="array" ref="AL392">_xlfn.XLOOKUP($B392,$B$11:$B$109,_xlfn.XLOOKUP(AL$219,$D$5:$AO$5,$D$11:$AO$109))</f>
        <v>#REF!</v>
      </c>
      <c r="AM392" s="308" t="e">
        <f t="array" ref="AM392">_xlfn.XLOOKUP($B392,$B$11:$B$109,_xlfn.XLOOKUP(AM$219,$D$5:$AO$5,$D$11:$AO$109))</f>
        <v>#REF!</v>
      </c>
      <c r="AN392" s="308" t="e">
        <f t="array" ref="AN392">_xlfn.XLOOKUP($B392,$B$11:$B$109,_xlfn.XLOOKUP(AN$219,$D$5:$AO$5,$D$11:$AO$109))</f>
        <v>#REF!</v>
      </c>
      <c r="AO392" s="308" t="e">
        <f t="array" ref="AO392">_xlfn.XLOOKUP($B392,$B$11:$B$109,_xlfn.XLOOKUP(AO$219,$D$5:$AO$5,$D$11:$AO$109))</f>
        <v>#REF!</v>
      </c>
    </row>
    <row r="393" spans="2:41" hidden="1" outlineLevel="1">
      <c r="B393" s="301"/>
      <c r="C393" s="309" t="s">
        <v>1510</v>
      </c>
      <c r="D393" s="303" t="s">
        <v>88</v>
      </c>
      <c r="E393" s="303"/>
      <c r="F393" s="303"/>
      <c r="G393" s="310" t="s">
        <v>967</v>
      </c>
      <c r="H393" s="310" t="s">
        <v>967</v>
      </c>
      <c r="I393" s="310" t="e">
        <f t="shared" ref="I393:Z393" si="202">I392/G392-1</f>
        <v>#REF!</v>
      </c>
      <c r="J393" s="310" t="e">
        <f t="shared" si="202"/>
        <v>#REF!</v>
      </c>
      <c r="K393" s="310" t="e">
        <f t="shared" si="202"/>
        <v>#REF!</v>
      </c>
      <c r="L393" s="310" t="e">
        <f t="shared" si="202"/>
        <v>#REF!</v>
      </c>
      <c r="M393" s="310" t="e">
        <f t="shared" si="202"/>
        <v>#REF!</v>
      </c>
      <c r="N393" s="310" t="e">
        <f t="shared" si="202"/>
        <v>#REF!</v>
      </c>
      <c r="O393" s="310" t="e">
        <f t="shared" si="202"/>
        <v>#REF!</v>
      </c>
      <c r="P393" s="310" t="e">
        <f t="shared" si="202"/>
        <v>#REF!</v>
      </c>
      <c r="Q393" s="310" t="e">
        <f t="shared" si="202"/>
        <v>#REF!</v>
      </c>
      <c r="R393" s="310" t="e">
        <f t="shared" si="202"/>
        <v>#REF!</v>
      </c>
      <c r="S393" s="310" t="e">
        <f t="shared" si="202"/>
        <v>#REF!</v>
      </c>
      <c r="T393" s="310" t="e">
        <f t="shared" si="202"/>
        <v>#REF!</v>
      </c>
      <c r="U393" s="310" t="e">
        <f t="shared" si="202"/>
        <v>#REF!</v>
      </c>
      <c r="V393" s="310" t="e">
        <f t="shared" si="202"/>
        <v>#REF!</v>
      </c>
      <c r="W393" s="310" t="e">
        <f t="shared" si="202"/>
        <v>#REF!</v>
      </c>
      <c r="X393" s="310" t="e">
        <f t="shared" si="202"/>
        <v>#REF!</v>
      </c>
      <c r="Y393" s="310" t="e">
        <f t="shared" si="202"/>
        <v>#REF!</v>
      </c>
      <c r="Z393" s="310" t="e">
        <f t="shared" si="202"/>
        <v>#REF!</v>
      </c>
      <c r="AA393" s="311"/>
      <c r="AB393" s="309" t="str">
        <f t="shared" si="196"/>
        <v>- Growth</v>
      </c>
      <c r="AC393" s="303" t="str">
        <f t="shared" si="197"/>
        <v>%</v>
      </c>
      <c r="AD393" s="303"/>
      <c r="AE393" s="303"/>
      <c r="AF393" s="310" t="s">
        <v>967</v>
      </c>
      <c r="AG393" s="310" t="e">
        <f t="shared" ref="AG393:AO393" si="203">AG392/AF392-1</f>
        <v>#REF!</v>
      </c>
      <c r="AH393" s="310" t="e">
        <f t="shared" si="203"/>
        <v>#REF!</v>
      </c>
      <c r="AI393" s="310" t="e">
        <f t="shared" si="203"/>
        <v>#REF!</v>
      </c>
      <c r="AJ393" s="310" t="e">
        <f t="shared" si="203"/>
        <v>#REF!</v>
      </c>
      <c r="AK393" s="310" t="e">
        <f t="shared" si="203"/>
        <v>#REF!</v>
      </c>
      <c r="AL393" s="310" t="e">
        <f t="shared" si="203"/>
        <v>#REF!</v>
      </c>
      <c r="AM393" s="310" t="e">
        <f t="shared" si="203"/>
        <v>#REF!</v>
      </c>
      <c r="AN393" s="310" t="e">
        <f t="shared" si="203"/>
        <v>#REF!</v>
      </c>
      <c r="AO393" s="310" t="e">
        <f t="shared" si="203"/>
        <v>#REF!</v>
      </c>
    </row>
    <row r="394" spans="2:41" collapsed="1">
      <c r="B394" s="301"/>
      <c r="C394" s="309" t="s">
        <v>1511</v>
      </c>
      <c r="D394" s="303" t="s">
        <v>88</v>
      </c>
      <c r="E394" s="303"/>
      <c r="F394" s="303"/>
      <c r="G394" s="310">
        <f t="shared" ref="G394:Z394" si="204">IFERROR(ROUND( G392 / G391,2) - 1, 0)</f>
        <v>0</v>
      </c>
      <c r="H394" s="310">
        <f t="shared" si="204"/>
        <v>0</v>
      </c>
      <c r="I394" s="310">
        <f t="shared" si="204"/>
        <v>0</v>
      </c>
      <c r="J394" s="310">
        <f t="shared" si="204"/>
        <v>0</v>
      </c>
      <c r="K394" s="310">
        <f t="shared" si="204"/>
        <v>0</v>
      </c>
      <c r="L394" s="310">
        <f t="shared" si="204"/>
        <v>0</v>
      </c>
      <c r="M394" s="310">
        <f t="shared" si="204"/>
        <v>0</v>
      </c>
      <c r="N394" s="310">
        <f t="shared" si="204"/>
        <v>0</v>
      </c>
      <c r="O394" s="310">
        <f t="shared" si="204"/>
        <v>0</v>
      </c>
      <c r="P394" s="310">
        <f t="shared" si="204"/>
        <v>0</v>
      </c>
      <c r="Q394" s="310">
        <f t="shared" si="204"/>
        <v>0</v>
      </c>
      <c r="R394" s="310">
        <f t="shared" si="204"/>
        <v>0</v>
      </c>
      <c r="S394" s="310">
        <f t="shared" si="204"/>
        <v>0</v>
      </c>
      <c r="T394" s="310">
        <f t="shared" si="204"/>
        <v>0</v>
      </c>
      <c r="U394" s="310">
        <f t="shared" si="204"/>
        <v>0</v>
      </c>
      <c r="V394" s="310">
        <f t="shared" si="204"/>
        <v>0</v>
      </c>
      <c r="W394" s="310">
        <f t="shared" si="204"/>
        <v>0</v>
      </c>
      <c r="X394" s="310">
        <f t="shared" si="204"/>
        <v>0</v>
      </c>
      <c r="Y394" s="310">
        <f t="shared" si="204"/>
        <v>0</v>
      </c>
      <c r="Z394" s="310">
        <f t="shared" si="204"/>
        <v>0</v>
      </c>
      <c r="AA394" s="310"/>
      <c r="AB394" s="309" t="str">
        <f t="shared" si="196"/>
        <v>- Revision</v>
      </c>
      <c r="AC394" s="303" t="str">
        <f t="shared" si="197"/>
        <v>%</v>
      </c>
      <c r="AD394" s="303"/>
      <c r="AE394" s="303"/>
      <c r="AF394" s="310">
        <f t="shared" ref="AF394:AO394" si="205">IFERROR(ROUND( AF392 / AF391,2) - 1, 0)</f>
        <v>0</v>
      </c>
      <c r="AG394" s="310">
        <f t="shared" si="205"/>
        <v>0</v>
      </c>
      <c r="AH394" s="310">
        <f t="shared" si="205"/>
        <v>0</v>
      </c>
      <c r="AI394" s="310">
        <f t="shared" si="205"/>
        <v>0</v>
      </c>
      <c r="AJ394" s="310">
        <f t="shared" si="205"/>
        <v>0</v>
      </c>
      <c r="AK394" s="310">
        <f t="shared" si="205"/>
        <v>0</v>
      </c>
      <c r="AL394" s="310">
        <f t="shared" si="205"/>
        <v>0</v>
      </c>
      <c r="AM394" s="310">
        <f t="shared" si="205"/>
        <v>0</v>
      </c>
      <c r="AN394" s="310">
        <f t="shared" si="205"/>
        <v>0</v>
      </c>
      <c r="AO394" s="310">
        <f t="shared" si="205"/>
        <v>0</v>
      </c>
    </row>
    <row r="395" spans="2:41">
      <c r="B395" s="301" t="s">
        <v>1466</v>
      </c>
      <c r="C395" s="302" t="s">
        <v>1546</v>
      </c>
      <c r="D395" s="303" t="str">
        <f t="array" ref="D395">_xlfn.XLOOKUP($B395,$B$114:$B$212,_xlfn.XLOOKUP(D$219,$D$5:$AO$5,$D$114:$AO$212))</f>
        <v>NZ$m</v>
      </c>
      <c r="E395" s="303"/>
      <c r="F395" s="303"/>
      <c r="G395" s="304" t="e">
        <f t="array" ref="G395">_xlfn.XLOOKUP($B395,$B$114:$B$212,_xlfn.XLOOKUP(G$219,$D$5:$AO$5,$D$114:$AO$212))</f>
        <v>#REF!</v>
      </c>
      <c r="H395" s="304" t="e">
        <f t="array" ref="H395">_xlfn.XLOOKUP($B395,$B$114:$B$212,_xlfn.XLOOKUP(H$219,$D$5:$AO$5,$D$114:$AO$212))</f>
        <v>#REF!</v>
      </c>
      <c r="I395" s="304" t="e">
        <f t="array" ref="I395">_xlfn.XLOOKUP($B395,$B$114:$B$212,_xlfn.XLOOKUP(I$219,$D$5:$AO$5,$D$114:$AO$212))</f>
        <v>#REF!</v>
      </c>
      <c r="J395" s="304" t="e">
        <f t="array" ref="J395">_xlfn.XLOOKUP($B395,$B$114:$B$212,_xlfn.XLOOKUP(J$219,$D$5:$AO$5,$D$114:$AO$212))</f>
        <v>#REF!</v>
      </c>
      <c r="K395" s="304" t="e">
        <f t="array" ref="K395">_xlfn.XLOOKUP($B395,$B$114:$B$212,_xlfn.XLOOKUP(K$219,$D$5:$AO$5,$D$114:$AO$212))</f>
        <v>#REF!</v>
      </c>
      <c r="L395" s="304" t="e">
        <f t="array" ref="L395">_xlfn.XLOOKUP($B395,$B$114:$B$212,_xlfn.XLOOKUP(L$219,$D$5:$AO$5,$D$114:$AO$212))</f>
        <v>#REF!</v>
      </c>
      <c r="M395" s="304" t="e">
        <f t="array" ref="M395">_xlfn.XLOOKUP($B395,$B$114:$B$212,_xlfn.XLOOKUP(M$219,$D$5:$AO$5,$D$114:$AO$212))</f>
        <v>#REF!</v>
      </c>
      <c r="N395" s="304" t="e">
        <f t="array" ref="N395">_xlfn.XLOOKUP($B395,$B$114:$B$212,_xlfn.XLOOKUP(N$219,$D$5:$AO$5,$D$114:$AO$212))</f>
        <v>#REF!</v>
      </c>
      <c r="O395" s="304" t="e">
        <f t="array" ref="O395">_xlfn.XLOOKUP($B395,$B$114:$B$212,_xlfn.XLOOKUP(O$219,$D$5:$AO$5,$D$114:$AO$212))</f>
        <v>#REF!</v>
      </c>
      <c r="P395" s="304" t="e">
        <f t="array" ref="P395">_xlfn.XLOOKUP($B395,$B$114:$B$212,_xlfn.XLOOKUP(P$219,$D$5:$AO$5,$D$114:$AO$212))</f>
        <v>#REF!</v>
      </c>
      <c r="Q395" s="304" t="e">
        <f t="array" ref="Q395">_xlfn.XLOOKUP($B395,$B$114:$B$212,_xlfn.XLOOKUP(Q$219,$D$5:$AO$5,$D$114:$AO$212))</f>
        <v>#REF!</v>
      </c>
      <c r="R395" s="304" t="e">
        <f t="array" ref="R395">_xlfn.XLOOKUP($B395,$B$114:$B$212,_xlfn.XLOOKUP(R$219,$D$5:$AO$5,$D$114:$AO$212))</f>
        <v>#REF!</v>
      </c>
      <c r="S395" s="304" t="e">
        <f t="array" ref="S395">_xlfn.XLOOKUP($B395,$B$114:$B$212,_xlfn.XLOOKUP(S$219,$D$5:$AO$5,$D$114:$AO$212))</f>
        <v>#REF!</v>
      </c>
      <c r="T395" s="304" t="e">
        <f t="array" ref="T395">_xlfn.XLOOKUP($B395,$B$114:$B$212,_xlfn.XLOOKUP(T$219,$D$5:$AO$5,$D$114:$AO$212))</f>
        <v>#REF!</v>
      </c>
      <c r="U395" s="304" t="e">
        <f t="array" ref="U395">_xlfn.XLOOKUP($B395,$B$114:$B$212,_xlfn.XLOOKUP(U$219,$D$5:$AO$5,$D$114:$AO$212))</f>
        <v>#REF!</v>
      </c>
      <c r="V395" s="304" t="e">
        <f t="array" ref="V395">_xlfn.XLOOKUP($B395,$B$114:$B$212,_xlfn.XLOOKUP(V$219,$D$5:$AO$5,$D$114:$AO$212))</f>
        <v>#REF!</v>
      </c>
      <c r="W395" s="304" t="e">
        <f t="array" ref="W395">_xlfn.XLOOKUP($B395,$B$114:$B$212,_xlfn.XLOOKUP(W$219,$D$5:$AO$5,$D$114:$AO$212))</f>
        <v>#REF!</v>
      </c>
      <c r="X395" s="304" t="e">
        <f t="array" ref="X395">_xlfn.XLOOKUP($B395,$B$114:$B$212,_xlfn.XLOOKUP(X$219,$D$5:$AO$5,$D$114:$AO$212))</f>
        <v>#REF!</v>
      </c>
      <c r="Y395" s="304" t="e">
        <f t="array" ref="Y395">_xlfn.XLOOKUP($B395,$B$114:$B$212,_xlfn.XLOOKUP(Y$219,$D$5:$AO$5,$D$114:$AO$212))</f>
        <v>#REF!</v>
      </c>
      <c r="Z395" s="304" t="e">
        <f t="array" ref="Z395">_xlfn.XLOOKUP($B395,$B$114:$B$212,_xlfn.XLOOKUP(Z$219,$D$5:$AO$5,$D$114:$AO$212))</f>
        <v>#REF!</v>
      </c>
      <c r="AA395" s="305"/>
      <c r="AB395" s="302" t="str">
        <f t="shared" si="196"/>
        <v>Queenstown - old</v>
      </c>
      <c r="AC395" s="303" t="str">
        <f t="shared" si="197"/>
        <v>NZ$m</v>
      </c>
      <c r="AD395" s="303"/>
      <c r="AE395" s="303"/>
      <c r="AF395" s="304" t="e">
        <f t="array" ref="AF395">_xlfn.XLOOKUP($B395,$B$114:$B$212,_xlfn.XLOOKUP(AF$219,$D$5:$AO$5,$D$114:$AO$212))</f>
        <v>#REF!</v>
      </c>
      <c r="AG395" s="304" t="e">
        <f t="array" ref="AG395">_xlfn.XLOOKUP($B395,$B$114:$B$212,_xlfn.XLOOKUP(AG$219,$D$5:$AO$5,$D$114:$AO$212))</f>
        <v>#REF!</v>
      </c>
      <c r="AH395" s="304" t="e">
        <f t="array" ref="AH395">_xlfn.XLOOKUP($B395,$B$114:$B$212,_xlfn.XLOOKUP(AH$219,$D$5:$AO$5,$D$114:$AO$212))</f>
        <v>#REF!</v>
      </c>
      <c r="AI395" s="304" t="e">
        <f t="array" ref="AI395">_xlfn.XLOOKUP($B395,$B$114:$B$212,_xlfn.XLOOKUP(AI$219,$D$5:$AO$5,$D$114:$AO$212))</f>
        <v>#REF!</v>
      </c>
      <c r="AJ395" s="304" t="e">
        <f t="array" ref="AJ395">_xlfn.XLOOKUP($B395,$B$114:$B$212,_xlfn.XLOOKUP(AJ$219,$D$5:$AO$5,$D$114:$AO$212))</f>
        <v>#REF!</v>
      </c>
      <c r="AK395" s="304" t="e">
        <f t="array" ref="AK395">_xlfn.XLOOKUP($B395,$B$114:$B$212,_xlfn.XLOOKUP(AK$219,$D$5:$AO$5,$D$114:$AO$212))</f>
        <v>#REF!</v>
      </c>
      <c r="AL395" s="304" t="e">
        <f t="array" ref="AL395">_xlfn.XLOOKUP($B395,$B$114:$B$212,_xlfn.XLOOKUP(AL$219,$D$5:$AO$5,$D$114:$AO$212))</f>
        <v>#REF!</v>
      </c>
      <c r="AM395" s="304" t="e">
        <f t="array" ref="AM395">_xlfn.XLOOKUP($B395,$B$114:$B$212,_xlfn.XLOOKUP(AM$219,$D$5:$AO$5,$D$114:$AO$212))</f>
        <v>#REF!</v>
      </c>
      <c r="AN395" s="304" t="e">
        <f t="array" ref="AN395">_xlfn.XLOOKUP($B395,$B$114:$B$212,_xlfn.XLOOKUP(AN$219,$D$5:$AO$5,$D$114:$AO$212))</f>
        <v>#REF!</v>
      </c>
      <c r="AO395" s="304" t="e">
        <f t="array" ref="AO395">_xlfn.XLOOKUP($B395,$B$114:$B$212,_xlfn.XLOOKUP(AO$219,$D$5:$AO$5,$D$114:$AO$212))</f>
        <v>#REF!</v>
      </c>
    </row>
    <row r="396" spans="2:41">
      <c r="B396" s="301" t="s">
        <v>1466</v>
      </c>
      <c r="C396" s="306" t="s">
        <v>1547</v>
      </c>
      <c r="D396" s="307" t="str">
        <f t="array" ref="D396">_xlfn.XLOOKUP($B396,$B$11:$B$109,_xlfn.XLOOKUP(D$219,$D$5:$AO$5,$D$11:$AO$109))</f>
        <v>NZ$m</v>
      </c>
      <c r="E396" s="307"/>
      <c r="F396" s="307"/>
      <c r="G396" s="308" t="e">
        <f t="array" ref="G396">_xlfn.XLOOKUP($B396,$B$11:$B$109,_xlfn.XLOOKUP(G$219,$D$5:$AO$5,$D$11:$AO$109))</f>
        <v>#REF!</v>
      </c>
      <c r="H396" s="308" t="e">
        <f t="array" ref="H396">_xlfn.XLOOKUP($B396,$B$11:$B$109,_xlfn.XLOOKUP(H$219,$D$5:$AO$5,$D$11:$AO$109))</f>
        <v>#REF!</v>
      </c>
      <c r="I396" s="308" t="e">
        <f t="array" ref="I396">_xlfn.XLOOKUP($B396,$B$11:$B$109,_xlfn.XLOOKUP(I$219,$D$5:$AO$5,$D$11:$AO$109))</f>
        <v>#REF!</v>
      </c>
      <c r="J396" s="308" t="e">
        <f t="array" ref="J396">_xlfn.XLOOKUP($B396,$B$11:$B$109,_xlfn.XLOOKUP(J$219,$D$5:$AO$5,$D$11:$AO$109))</f>
        <v>#REF!</v>
      </c>
      <c r="K396" s="308" t="e">
        <f t="array" ref="K396">_xlfn.XLOOKUP($B396,$B$11:$B$109,_xlfn.XLOOKUP(K$219,$D$5:$AO$5,$D$11:$AO$109))</f>
        <v>#REF!</v>
      </c>
      <c r="L396" s="308" t="e">
        <f t="array" ref="L396">_xlfn.XLOOKUP($B396,$B$11:$B$109,_xlfn.XLOOKUP(L$219,$D$5:$AO$5,$D$11:$AO$109))</f>
        <v>#REF!</v>
      </c>
      <c r="M396" s="308" t="e">
        <f t="array" ref="M396">_xlfn.XLOOKUP($B396,$B$11:$B$109,_xlfn.XLOOKUP(M$219,$D$5:$AO$5,$D$11:$AO$109))</f>
        <v>#REF!</v>
      </c>
      <c r="N396" s="308" t="e">
        <f t="array" ref="N396">_xlfn.XLOOKUP($B396,$B$11:$B$109,_xlfn.XLOOKUP(N$219,$D$5:$AO$5,$D$11:$AO$109))</f>
        <v>#REF!</v>
      </c>
      <c r="O396" s="308" t="e">
        <f t="array" ref="O396">_xlfn.XLOOKUP($B396,$B$11:$B$109,_xlfn.XLOOKUP(O$219,$D$5:$AO$5,$D$11:$AO$109))</f>
        <v>#REF!</v>
      </c>
      <c r="P396" s="308" t="e">
        <f t="array" ref="P396">_xlfn.XLOOKUP($B396,$B$11:$B$109,_xlfn.XLOOKUP(P$219,$D$5:$AO$5,$D$11:$AO$109))</f>
        <v>#REF!</v>
      </c>
      <c r="Q396" s="308" t="e">
        <f t="array" ref="Q396">_xlfn.XLOOKUP($B396,$B$11:$B$109,_xlfn.XLOOKUP(Q$219,$D$5:$AO$5,$D$11:$AO$109))</f>
        <v>#REF!</v>
      </c>
      <c r="R396" s="308" t="e">
        <f t="array" ref="R396">_xlfn.XLOOKUP($B396,$B$11:$B$109,_xlfn.XLOOKUP(R$219,$D$5:$AO$5,$D$11:$AO$109))</f>
        <v>#REF!</v>
      </c>
      <c r="S396" s="308" t="e">
        <f t="array" ref="S396">_xlfn.XLOOKUP($B396,$B$11:$B$109,_xlfn.XLOOKUP(S$219,$D$5:$AO$5,$D$11:$AO$109))</f>
        <v>#REF!</v>
      </c>
      <c r="T396" s="308" t="e">
        <f t="array" ref="T396">_xlfn.XLOOKUP($B396,$B$11:$B$109,_xlfn.XLOOKUP(T$219,$D$5:$AO$5,$D$11:$AO$109))</f>
        <v>#REF!</v>
      </c>
      <c r="U396" s="308" t="e">
        <f t="array" ref="U396">_xlfn.XLOOKUP($B396,$B$11:$B$109,_xlfn.XLOOKUP(U$219,$D$5:$AO$5,$D$11:$AO$109))</f>
        <v>#REF!</v>
      </c>
      <c r="V396" s="308" t="e">
        <f t="array" ref="V396">_xlfn.XLOOKUP($B396,$B$11:$B$109,_xlfn.XLOOKUP(V$219,$D$5:$AO$5,$D$11:$AO$109))</f>
        <v>#REF!</v>
      </c>
      <c r="W396" s="308" t="e">
        <f t="array" ref="W396">_xlfn.XLOOKUP($B396,$B$11:$B$109,_xlfn.XLOOKUP(W$219,$D$5:$AO$5,$D$11:$AO$109))</f>
        <v>#REF!</v>
      </c>
      <c r="X396" s="308" t="e">
        <f t="array" ref="X396">_xlfn.XLOOKUP($B396,$B$11:$B$109,_xlfn.XLOOKUP(X$219,$D$5:$AO$5,$D$11:$AO$109))</f>
        <v>#REF!</v>
      </c>
      <c r="Y396" s="308" t="e">
        <f t="array" ref="Y396">_xlfn.XLOOKUP($B396,$B$11:$B$109,_xlfn.XLOOKUP(Y$219,$D$5:$AO$5,$D$11:$AO$109))</f>
        <v>#REF!</v>
      </c>
      <c r="Z396" s="308" t="e">
        <f t="array" ref="Z396">_xlfn.XLOOKUP($B396,$B$11:$B$109,_xlfn.XLOOKUP(Z$219,$D$5:$AO$5,$D$11:$AO$109))</f>
        <v>#REF!</v>
      </c>
      <c r="AA396" s="308"/>
      <c r="AB396" s="306" t="str">
        <f t="shared" si="196"/>
        <v>Queenstown - New</v>
      </c>
      <c r="AC396" s="307" t="str">
        <f t="shared" si="197"/>
        <v>NZ$m</v>
      </c>
      <c r="AD396" s="307"/>
      <c r="AE396" s="307"/>
      <c r="AF396" s="308" t="e">
        <f t="array" ref="AF396">_xlfn.XLOOKUP($B396,$B$11:$B$109,_xlfn.XLOOKUP(AF$219,$D$5:$AO$5,$D$11:$AO$109))</f>
        <v>#REF!</v>
      </c>
      <c r="AG396" s="308" t="e">
        <f t="array" ref="AG396">_xlfn.XLOOKUP($B396,$B$11:$B$109,_xlfn.XLOOKUP(AG$219,$D$5:$AO$5,$D$11:$AO$109))</f>
        <v>#REF!</v>
      </c>
      <c r="AH396" s="308" t="e">
        <f t="array" ref="AH396">_xlfn.XLOOKUP($B396,$B$11:$B$109,_xlfn.XLOOKUP(AH$219,$D$5:$AO$5,$D$11:$AO$109))</f>
        <v>#REF!</v>
      </c>
      <c r="AI396" s="308" t="e">
        <f t="array" ref="AI396">_xlfn.XLOOKUP($B396,$B$11:$B$109,_xlfn.XLOOKUP(AI$219,$D$5:$AO$5,$D$11:$AO$109))</f>
        <v>#REF!</v>
      </c>
      <c r="AJ396" s="308" t="e">
        <f t="array" ref="AJ396">_xlfn.XLOOKUP($B396,$B$11:$B$109,_xlfn.XLOOKUP(AJ$219,$D$5:$AO$5,$D$11:$AO$109))</f>
        <v>#REF!</v>
      </c>
      <c r="AK396" s="308" t="e">
        <f t="array" ref="AK396">_xlfn.XLOOKUP($B396,$B$11:$B$109,_xlfn.XLOOKUP(AK$219,$D$5:$AO$5,$D$11:$AO$109))</f>
        <v>#REF!</v>
      </c>
      <c r="AL396" s="308" t="e">
        <f t="array" ref="AL396">_xlfn.XLOOKUP($B396,$B$11:$B$109,_xlfn.XLOOKUP(AL$219,$D$5:$AO$5,$D$11:$AO$109))</f>
        <v>#REF!</v>
      </c>
      <c r="AM396" s="308" t="e">
        <f t="array" ref="AM396">_xlfn.XLOOKUP($B396,$B$11:$B$109,_xlfn.XLOOKUP(AM$219,$D$5:$AO$5,$D$11:$AO$109))</f>
        <v>#REF!</v>
      </c>
      <c r="AN396" s="308" t="e">
        <f t="array" ref="AN396">_xlfn.XLOOKUP($B396,$B$11:$B$109,_xlfn.XLOOKUP(AN$219,$D$5:$AO$5,$D$11:$AO$109))</f>
        <v>#REF!</v>
      </c>
      <c r="AO396" s="308" t="e">
        <f t="array" ref="AO396">_xlfn.XLOOKUP($B396,$B$11:$B$109,_xlfn.XLOOKUP(AO$219,$D$5:$AO$5,$D$11:$AO$109))</f>
        <v>#REF!</v>
      </c>
    </row>
    <row r="397" spans="2:41" hidden="1" outlineLevel="1">
      <c r="B397" s="301"/>
      <c r="C397" s="309" t="s">
        <v>1510</v>
      </c>
      <c r="D397" s="303" t="s">
        <v>88</v>
      </c>
      <c r="E397" s="303"/>
      <c r="F397" s="303"/>
      <c r="G397" s="310" t="s">
        <v>967</v>
      </c>
      <c r="H397" s="310" t="s">
        <v>967</v>
      </c>
      <c r="I397" s="310" t="e">
        <f t="shared" ref="I397:Z397" si="206">I396/G396-1</f>
        <v>#REF!</v>
      </c>
      <c r="J397" s="310" t="e">
        <f t="shared" si="206"/>
        <v>#REF!</v>
      </c>
      <c r="K397" s="310" t="e">
        <f t="shared" si="206"/>
        <v>#REF!</v>
      </c>
      <c r="L397" s="310" t="e">
        <f t="shared" si="206"/>
        <v>#REF!</v>
      </c>
      <c r="M397" s="310" t="e">
        <f t="shared" si="206"/>
        <v>#REF!</v>
      </c>
      <c r="N397" s="310" t="e">
        <f t="shared" si="206"/>
        <v>#REF!</v>
      </c>
      <c r="O397" s="310" t="e">
        <f t="shared" si="206"/>
        <v>#REF!</v>
      </c>
      <c r="P397" s="310" t="e">
        <f t="shared" si="206"/>
        <v>#REF!</v>
      </c>
      <c r="Q397" s="310" t="e">
        <f t="shared" si="206"/>
        <v>#REF!</v>
      </c>
      <c r="R397" s="310" t="e">
        <f t="shared" si="206"/>
        <v>#REF!</v>
      </c>
      <c r="S397" s="310" t="e">
        <f t="shared" si="206"/>
        <v>#REF!</v>
      </c>
      <c r="T397" s="310" t="e">
        <f t="shared" si="206"/>
        <v>#REF!</v>
      </c>
      <c r="U397" s="310" t="e">
        <f t="shared" si="206"/>
        <v>#REF!</v>
      </c>
      <c r="V397" s="310" t="e">
        <f t="shared" si="206"/>
        <v>#REF!</v>
      </c>
      <c r="W397" s="310" t="e">
        <f t="shared" si="206"/>
        <v>#REF!</v>
      </c>
      <c r="X397" s="310" t="e">
        <f t="shared" si="206"/>
        <v>#REF!</v>
      </c>
      <c r="Y397" s="310" t="e">
        <f t="shared" si="206"/>
        <v>#REF!</v>
      </c>
      <c r="Z397" s="310" t="e">
        <f t="shared" si="206"/>
        <v>#REF!</v>
      </c>
      <c r="AA397" s="311"/>
      <c r="AB397" s="309" t="str">
        <f t="shared" si="196"/>
        <v>- Growth</v>
      </c>
      <c r="AC397" s="303" t="str">
        <f t="shared" si="197"/>
        <v>%</v>
      </c>
      <c r="AD397" s="303"/>
      <c r="AE397" s="303"/>
      <c r="AF397" s="310" t="s">
        <v>967</v>
      </c>
      <c r="AG397" s="310" t="e">
        <f t="shared" ref="AG397:AO397" si="207">AG396/AF396-1</f>
        <v>#REF!</v>
      </c>
      <c r="AH397" s="310" t="e">
        <f t="shared" si="207"/>
        <v>#REF!</v>
      </c>
      <c r="AI397" s="310" t="e">
        <f t="shared" si="207"/>
        <v>#REF!</v>
      </c>
      <c r="AJ397" s="310" t="e">
        <f t="shared" si="207"/>
        <v>#REF!</v>
      </c>
      <c r="AK397" s="310" t="e">
        <f t="shared" si="207"/>
        <v>#REF!</v>
      </c>
      <c r="AL397" s="310" t="e">
        <f t="shared" si="207"/>
        <v>#REF!</v>
      </c>
      <c r="AM397" s="310" t="e">
        <f t="shared" si="207"/>
        <v>#REF!</v>
      </c>
      <c r="AN397" s="310" t="e">
        <f t="shared" si="207"/>
        <v>#REF!</v>
      </c>
      <c r="AO397" s="310" t="e">
        <f t="shared" si="207"/>
        <v>#REF!</v>
      </c>
    </row>
    <row r="398" spans="2:41" collapsed="1">
      <c r="B398" s="301"/>
      <c r="C398" s="309" t="s">
        <v>1511</v>
      </c>
      <c r="D398" s="303" t="s">
        <v>88</v>
      </c>
      <c r="E398" s="303"/>
      <c r="F398" s="303"/>
      <c r="G398" s="310">
        <f t="shared" ref="G398:Z398" si="208">IFERROR(ROUND( G396 / G395,2) - 1, 0)</f>
        <v>0</v>
      </c>
      <c r="H398" s="310">
        <f t="shared" si="208"/>
        <v>0</v>
      </c>
      <c r="I398" s="310">
        <f t="shared" si="208"/>
        <v>0</v>
      </c>
      <c r="J398" s="310">
        <f t="shared" si="208"/>
        <v>0</v>
      </c>
      <c r="K398" s="310">
        <f t="shared" si="208"/>
        <v>0</v>
      </c>
      <c r="L398" s="310">
        <f t="shared" si="208"/>
        <v>0</v>
      </c>
      <c r="M398" s="310">
        <f t="shared" si="208"/>
        <v>0</v>
      </c>
      <c r="N398" s="310">
        <f t="shared" si="208"/>
        <v>0</v>
      </c>
      <c r="O398" s="310">
        <f t="shared" si="208"/>
        <v>0</v>
      </c>
      <c r="P398" s="310">
        <f t="shared" si="208"/>
        <v>0</v>
      </c>
      <c r="Q398" s="310">
        <f t="shared" si="208"/>
        <v>0</v>
      </c>
      <c r="R398" s="310">
        <f t="shared" si="208"/>
        <v>0</v>
      </c>
      <c r="S398" s="310">
        <f t="shared" si="208"/>
        <v>0</v>
      </c>
      <c r="T398" s="310">
        <f t="shared" si="208"/>
        <v>0</v>
      </c>
      <c r="U398" s="310">
        <f t="shared" si="208"/>
        <v>0</v>
      </c>
      <c r="V398" s="310">
        <f t="shared" si="208"/>
        <v>0</v>
      </c>
      <c r="W398" s="310">
        <f t="shared" si="208"/>
        <v>0</v>
      </c>
      <c r="X398" s="310">
        <f t="shared" si="208"/>
        <v>0</v>
      </c>
      <c r="Y398" s="310">
        <f t="shared" si="208"/>
        <v>0</v>
      </c>
      <c r="Z398" s="310">
        <f t="shared" si="208"/>
        <v>0</v>
      </c>
      <c r="AA398" s="310"/>
      <c r="AB398" s="309" t="str">
        <f t="shared" si="196"/>
        <v>- Revision</v>
      </c>
      <c r="AC398" s="303" t="str">
        <f t="shared" si="197"/>
        <v>%</v>
      </c>
      <c r="AD398" s="303"/>
      <c r="AE398" s="303"/>
      <c r="AF398" s="310">
        <f t="shared" ref="AF398:AO398" si="209">IFERROR(ROUND( AF396 / AF395,2) - 1, 0)</f>
        <v>0</v>
      </c>
      <c r="AG398" s="310">
        <f t="shared" si="209"/>
        <v>0</v>
      </c>
      <c r="AH398" s="310">
        <f t="shared" si="209"/>
        <v>0</v>
      </c>
      <c r="AI398" s="310">
        <f t="shared" si="209"/>
        <v>0</v>
      </c>
      <c r="AJ398" s="310">
        <f t="shared" si="209"/>
        <v>0</v>
      </c>
      <c r="AK398" s="310">
        <f t="shared" si="209"/>
        <v>0</v>
      </c>
      <c r="AL398" s="310">
        <f t="shared" si="209"/>
        <v>0</v>
      </c>
      <c r="AM398" s="310">
        <f t="shared" si="209"/>
        <v>0</v>
      </c>
      <c r="AN398" s="310">
        <f t="shared" si="209"/>
        <v>0</v>
      </c>
      <c r="AO398" s="310">
        <f t="shared" si="209"/>
        <v>0</v>
      </c>
    </row>
    <row r="399" spans="2:41">
      <c r="B399" s="301" t="s">
        <v>1467</v>
      </c>
      <c r="C399" s="302" t="s">
        <v>1548</v>
      </c>
      <c r="D399" s="303" t="str">
        <f t="array" ref="D399">_xlfn.XLOOKUP($B399,$B$114:$B$212,_xlfn.XLOOKUP(D$219,$D$5:$AO$5,$D$114:$AO$212))</f>
        <v>NZ$m</v>
      </c>
      <c r="E399" s="303"/>
      <c r="F399" s="303"/>
      <c r="G399" s="304" t="e">
        <f t="array" ref="G399">_xlfn.XLOOKUP($B399,$B$114:$B$212,_xlfn.XLOOKUP(G$219,$D$5:$AO$5,$D$114:$AO$212))</f>
        <v>#REF!</v>
      </c>
      <c r="H399" s="304" t="e">
        <f t="array" ref="H399">_xlfn.XLOOKUP($B399,$B$114:$B$212,_xlfn.XLOOKUP(H$219,$D$5:$AO$5,$D$114:$AO$212))</f>
        <v>#REF!</v>
      </c>
      <c r="I399" s="304" t="e">
        <f t="array" ref="I399">_xlfn.XLOOKUP($B399,$B$114:$B$212,_xlfn.XLOOKUP(I$219,$D$5:$AO$5,$D$114:$AO$212))</f>
        <v>#REF!</v>
      </c>
      <c r="J399" s="304" t="e">
        <f t="array" ref="J399">_xlfn.XLOOKUP($B399,$B$114:$B$212,_xlfn.XLOOKUP(J$219,$D$5:$AO$5,$D$114:$AO$212))</f>
        <v>#REF!</v>
      </c>
      <c r="K399" s="304" t="e">
        <f t="array" ref="K399">_xlfn.XLOOKUP($B399,$B$114:$B$212,_xlfn.XLOOKUP(K$219,$D$5:$AO$5,$D$114:$AO$212))</f>
        <v>#REF!</v>
      </c>
      <c r="L399" s="304" t="e">
        <f t="array" ref="L399">_xlfn.XLOOKUP($B399,$B$114:$B$212,_xlfn.XLOOKUP(L$219,$D$5:$AO$5,$D$114:$AO$212))</f>
        <v>#REF!</v>
      </c>
      <c r="M399" s="304" t="e">
        <f t="array" ref="M399">_xlfn.XLOOKUP($B399,$B$114:$B$212,_xlfn.XLOOKUP(M$219,$D$5:$AO$5,$D$114:$AO$212))</f>
        <v>#REF!</v>
      </c>
      <c r="N399" s="304" t="e">
        <f t="array" ref="N399">_xlfn.XLOOKUP($B399,$B$114:$B$212,_xlfn.XLOOKUP(N$219,$D$5:$AO$5,$D$114:$AO$212))</f>
        <v>#REF!</v>
      </c>
      <c r="O399" s="304" t="e">
        <f t="array" ref="O399">_xlfn.XLOOKUP($B399,$B$114:$B$212,_xlfn.XLOOKUP(O$219,$D$5:$AO$5,$D$114:$AO$212))</f>
        <v>#REF!</v>
      </c>
      <c r="P399" s="304" t="e">
        <f t="array" ref="P399">_xlfn.XLOOKUP($B399,$B$114:$B$212,_xlfn.XLOOKUP(P$219,$D$5:$AO$5,$D$114:$AO$212))</f>
        <v>#REF!</v>
      </c>
      <c r="Q399" s="304" t="e">
        <f t="array" ref="Q399">_xlfn.XLOOKUP($B399,$B$114:$B$212,_xlfn.XLOOKUP(Q$219,$D$5:$AO$5,$D$114:$AO$212))</f>
        <v>#REF!</v>
      </c>
      <c r="R399" s="304" t="e">
        <f t="array" ref="R399">_xlfn.XLOOKUP($B399,$B$114:$B$212,_xlfn.XLOOKUP(R$219,$D$5:$AO$5,$D$114:$AO$212))</f>
        <v>#REF!</v>
      </c>
      <c r="S399" s="304" t="e">
        <f t="array" ref="S399">_xlfn.XLOOKUP($B399,$B$114:$B$212,_xlfn.XLOOKUP(S$219,$D$5:$AO$5,$D$114:$AO$212))</f>
        <v>#REF!</v>
      </c>
      <c r="T399" s="304" t="e">
        <f t="array" ref="T399">_xlfn.XLOOKUP($B399,$B$114:$B$212,_xlfn.XLOOKUP(T$219,$D$5:$AO$5,$D$114:$AO$212))</f>
        <v>#REF!</v>
      </c>
      <c r="U399" s="304" t="e">
        <f t="array" ref="U399">_xlfn.XLOOKUP($B399,$B$114:$B$212,_xlfn.XLOOKUP(U$219,$D$5:$AO$5,$D$114:$AO$212))</f>
        <v>#REF!</v>
      </c>
      <c r="V399" s="304" t="e">
        <f t="array" ref="V399">_xlfn.XLOOKUP($B399,$B$114:$B$212,_xlfn.XLOOKUP(V$219,$D$5:$AO$5,$D$114:$AO$212))</f>
        <v>#REF!</v>
      </c>
      <c r="W399" s="304" t="e">
        <f t="array" ref="W399">_xlfn.XLOOKUP($B399,$B$114:$B$212,_xlfn.XLOOKUP(W$219,$D$5:$AO$5,$D$114:$AO$212))</f>
        <v>#REF!</v>
      </c>
      <c r="X399" s="304" t="e">
        <f t="array" ref="X399">_xlfn.XLOOKUP($B399,$B$114:$B$212,_xlfn.XLOOKUP(X$219,$D$5:$AO$5,$D$114:$AO$212))</f>
        <v>#REF!</v>
      </c>
      <c r="Y399" s="304" t="e">
        <f t="array" ref="Y399">_xlfn.XLOOKUP($B399,$B$114:$B$212,_xlfn.XLOOKUP(Y$219,$D$5:$AO$5,$D$114:$AO$212))</f>
        <v>#REF!</v>
      </c>
      <c r="Z399" s="304" t="e">
        <f t="array" ref="Z399">_xlfn.XLOOKUP($B399,$B$114:$B$212,_xlfn.XLOOKUP(Z$219,$D$5:$AO$5,$D$114:$AO$212))</f>
        <v>#REF!</v>
      </c>
      <c r="AA399" s="305"/>
      <c r="AB399" s="302" t="str">
        <f t="shared" si="196"/>
        <v>Adelaide - old</v>
      </c>
      <c r="AC399" s="303" t="str">
        <f t="shared" si="197"/>
        <v>NZ$m</v>
      </c>
      <c r="AD399" s="303"/>
      <c r="AE399" s="303"/>
      <c r="AF399" s="304" t="e">
        <f t="array" ref="AF399">_xlfn.XLOOKUP($B399,$B$114:$B$212,_xlfn.XLOOKUP(AF$219,$D$5:$AO$5,$D$114:$AO$212))</f>
        <v>#REF!</v>
      </c>
      <c r="AG399" s="304" t="e">
        <f t="array" ref="AG399">_xlfn.XLOOKUP($B399,$B$114:$B$212,_xlfn.XLOOKUP(AG$219,$D$5:$AO$5,$D$114:$AO$212))</f>
        <v>#REF!</v>
      </c>
      <c r="AH399" s="304" t="e">
        <f t="array" ref="AH399">_xlfn.XLOOKUP($B399,$B$114:$B$212,_xlfn.XLOOKUP(AH$219,$D$5:$AO$5,$D$114:$AO$212))</f>
        <v>#REF!</v>
      </c>
      <c r="AI399" s="304" t="e">
        <f t="array" ref="AI399">_xlfn.XLOOKUP($B399,$B$114:$B$212,_xlfn.XLOOKUP(AI$219,$D$5:$AO$5,$D$114:$AO$212))</f>
        <v>#REF!</v>
      </c>
      <c r="AJ399" s="304" t="e">
        <f t="array" ref="AJ399">_xlfn.XLOOKUP($B399,$B$114:$B$212,_xlfn.XLOOKUP(AJ$219,$D$5:$AO$5,$D$114:$AO$212))</f>
        <v>#REF!</v>
      </c>
      <c r="AK399" s="304" t="e">
        <f t="array" ref="AK399">_xlfn.XLOOKUP($B399,$B$114:$B$212,_xlfn.XLOOKUP(AK$219,$D$5:$AO$5,$D$114:$AO$212))</f>
        <v>#REF!</v>
      </c>
      <c r="AL399" s="304" t="e">
        <f t="array" ref="AL399">_xlfn.XLOOKUP($B399,$B$114:$B$212,_xlfn.XLOOKUP(AL$219,$D$5:$AO$5,$D$114:$AO$212))</f>
        <v>#REF!</v>
      </c>
      <c r="AM399" s="304" t="e">
        <f t="array" ref="AM399">_xlfn.XLOOKUP($B399,$B$114:$B$212,_xlfn.XLOOKUP(AM$219,$D$5:$AO$5,$D$114:$AO$212))</f>
        <v>#REF!</v>
      </c>
      <c r="AN399" s="304" t="e">
        <f t="array" ref="AN399">_xlfn.XLOOKUP($B399,$B$114:$B$212,_xlfn.XLOOKUP(AN$219,$D$5:$AO$5,$D$114:$AO$212))</f>
        <v>#REF!</v>
      </c>
      <c r="AO399" s="304" t="e">
        <f t="array" ref="AO399">_xlfn.XLOOKUP($B399,$B$114:$B$212,_xlfn.XLOOKUP(AO$219,$D$5:$AO$5,$D$114:$AO$212))</f>
        <v>#REF!</v>
      </c>
    </row>
    <row r="400" spans="2:41">
      <c r="B400" s="301" t="s">
        <v>1467</v>
      </c>
      <c r="C400" s="306" t="s">
        <v>1549</v>
      </c>
      <c r="D400" s="307" t="str">
        <f t="array" ref="D400">_xlfn.XLOOKUP($B400,$B$11:$B$109,_xlfn.XLOOKUP(D$219,$D$5:$AO$5,$D$11:$AO$109))</f>
        <v>NZ$m</v>
      </c>
      <c r="E400" s="307"/>
      <c r="F400" s="307"/>
      <c r="G400" s="308" t="e">
        <f t="array" ref="G400">_xlfn.XLOOKUP($B400,$B$11:$B$109,_xlfn.XLOOKUP(G$219,$D$5:$AO$5,$D$11:$AO$109))</f>
        <v>#REF!</v>
      </c>
      <c r="H400" s="308" t="e">
        <f t="array" ref="H400">_xlfn.XLOOKUP($B400,$B$11:$B$109,_xlfn.XLOOKUP(H$219,$D$5:$AO$5,$D$11:$AO$109))</f>
        <v>#REF!</v>
      </c>
      <c r="I400" s="308" t="e">
        <f t="array" ref="I400">_xlfn.XLOOKUP($B400,$B$11:$B$109,_xlfn.XLOOKUP(I$219,$D$5:$AO$5,$D$11:$AO$109))</f>
        <v>#REF!</v>
      </c>
      <c r="J400" s="308" t="e">
        <f t="array" ref="J400">_xlfn.XLOOKUP($B400,$B$11:$B$109,_xlfn.XLOOKUP(J$219,$D$5:$AO$5,$D$11:$AO$109))</f>
        <v>#REF!</v>
      </c>
      <c r="K400" s="308" t="e">
        <f t="array" ref="K400">_xlfn.XLOOKUP($B400,$B$11:$B$109,_xlfn.XLOOKUP(K$219,$D$5:$AO$5,$D$11:$AO$109))</f>
        <v>#REF!</v>
      </c>
      <c r="L400" s="308" t="e">
        <f t="array" ref="L400">_xlfn.XLOOKUP($B400,$B$11:$B$109,_xlfn.XLOOKUP(L$219,$D$5:$AO$5,$D$11:$AO$109))</f>
        <v>#REF!</v>
      </c>
      <c r="M400" s="308" t="e">
        <f t="array" ref="M400">_xlfn.XLOOKUP($B400,$B$11:$B$109,_xlfn.XLOOKUP(M$219,$D$5:$AO$5,$D$11:$AO$109))</f>
        <v>#REF!</v>
      </c>
      <c r="N400" s="308" t="e">
        <f t="array" ref="N400">_xlfn.XLOOKUP($B400,$B$11:$B$109,_xlfn.XLOOKUP(N$219,$D$5:$AO$5,$D$11:$AO$109))</f>
        <v>#REF!</v>
      </c>
      <c r="O400" s="308" t="e">
        <f t="array" ref="O400">_xlfn.XLOOKUP($B400,$B$11:$B$109,_xlfn.XLOOKUP(O$219,$D$5:$AO$5,$D$11:$AO$109))</f>
        <v>#REF!</v>
      </c>
      <c r="P400" s="308" t="e">
        <f t="array" ref="P400">_xlfn.XLOOKUP($B400,$B$11:$B$109,_xlfn.XLOOKUP(P$219,$D$5:$AO$5,$D$11:$AO$109))</f>
        <v>#REF!</v>
      </c>
      <c r="Q400" s="308" t="e">
        <f t="array" ref="Q400">_xlfn.XLOOKUP($B400,$B$11:$B$109,_xlfn.XLOOKUP(Q$219,$D$5:$AO$5,$D$11:$AO$109))</f>
        <v>#REF!</v>
      </c>
      <c r="R400" s="308" t="e">
        <f t="array" ref="R400">_xlfn.XLOOKUP($B400,$B$11:$B$109,_xlfn.XLOOKUP(R$219,$D$5:$AO$5,$D$11:$AO$109))</f>
        <v>#REF!</v>
      </c>
      <c r="S400" s="308" t="e">
        <f t="array" ref="S400">_xlfn.XLOOKUP($B400,$B$11:$B$109,_xlfn.XLOOKUP(S$219,$D$5:$AO$5,$D$11:$AO$109))</f>
        <v>#REF!</v>
      </c>
      <c r="T400" s="308" t="e">
        <f t="array" ref="T400">_xlfn.XLOOKUP($B400,$B$11:$B$109,_xlfn.XLOOKUP(T$219,$D$5:$AO$5,$D$11:$AO$109))</f>
        <v>#REF!</v>
      </c>
      <c r="U400" s="308" t="e">
        <f t="array" ref="U400">_xlfn.XLOOKUP($B400,$B$11:$B$109,_xlfn.XLOOKUP(U$219,$D$5:$AO$5,$D$11:$AO$109))</f>
        <v>#REF!</v>
      </c>
      <c r="V400" s="308" t="e">
        <f t="array" ref="V400">_xlfn.XLOOKUP($B400,$B$11:$B$109,_xlfn.XLOOKUP(V$219,$D$5:$AO$5,$D$11:$AO$109))</f>
        <v>#REF!</v>
      </c>
      <c r="W400" s="308" t="e">
        <f t="array" ref="W400">_xlfn.XLOOKUP($B400,$B$11:$B$109,_xlfn.XLOOKUP(W$219,$D$5:$AO$5,$D$11:$AO$109))</f>
        <v>#REF!</v>
      </c>
      <c r="X400" s="308" t="e">
        <f t="array" ref="X400">_xlfn.XLOOKUP($B400,$B$11:$B$109,_xlfn.XLOOKUP(X$219,$D$5:$AO$5,$D$11:$AO$109))</f>
        <v>#REF!</v>
      </c>
      <c r="Y400" s="308" t="e">
        <f t="array" ref="Y400">_xlfn.XLOOKUP($B400,$B$11:$B$109,_xlfn.XLOOKUP(Y$219,$D$5:$AO$5,$D$11:$AO$109))</f>
        <v>#REF!</v>
      </c>
      <c r="Z400" s="308" t="e">
        <f t="array" ref="Z400">_xlfn.XLOOKUP($B400,$B$11:$B$109,_xlfn.XLOOKUP(Z$219,$D$5:$AO$5,$D$11:$AO$109))</f>
        <v>#REF!</v>
      </c>
      <c r="AA400" s="308"/>
      <c r="AB400" s="306" t="str">
        <f t="shared" si="196"/>
        <v>Adelaide - New</v>
      </c>
      <c r="AC400" s="307" t="str">
        <f t="shared" si="197"/>
        <v>NZ$m</v>
      </c>
      <c r="AD400" s="307"/>
      <c r="AE400" s="307"/>
      <c r="AF400" s="308" t="e">
        <f t="array" ref="AF400">_xlfn.XLOOKUP($B400,$B$11:$B$109,_xlfn.XLOOKUP(AF$219,$D$5:$AO$5,$D$11:$AO$109))</f>
        <v>#REF!</v>
      </c>
      <c r="AG400" s="308" t="e">
        <f t="array" ref="AG400">_xlfn.XLOOKUP($B400,$B$11:$B$109,_xlfn.XLOOKUP(AG$219,$D$5:$AO$5,$D$11:$AO$109))</f>
        <v>#REF!</v>
      </c>
      <c r="AH400" s="308" t="e">
        <f t="array" ref="AH400">_xlfn.XLOOKUP($B400,$B$11:$B$109,_xlfn.XLOOKUP(AH$219,$D$5:$AO$5,$D$11:$AO$109))</f>
        <v>#REF!</v>
      </c>
      <c r="AI400" s="308" t="e">
        <f t="array" ref="AI400">_xlfn.XLOOKUP($B400,$B$11:$B$109,_xlfn.XLOOKUP(AI$219,$D$5:$AO$5,$D$11:$AO$109))</f>
        <v>#REF!</v>
      </c>
      <c r="AJ400" s="308" t="e">
        <f t="array" ref="AJ400">_xlfn.XLOOKUP($B400,$B$11:$B$109,_xlfn.XLOOKUP(AJ$219,$D$5:$AO$5,$D$11:$AO$109))</f>
        <v>#REF!</v>
      </c>
      <c r="AK400" s="308" t="e">
        <f t="array" ref="AK400">_xlfn.XLOOKUP($B400,$B$11:$B$109,_xlfn.XLOOKUP(AK$219,$D$5:$AO$5,$D$11:$AO$109))</f>
        <v>#REF!</v>
      </c>
      <c r="AL400" s="308" t="e">
        <f t="array" ref="AL400">_xlfn.XLOOKUP($B400,$B$11:$B$109,_xlfn.XLOOKUP(AL$219,$D$5:$AO$5,$D$11:$AO$109))</f>
        <v>#REF!</v>
      </c>
      <c r="AM400" s="308" t="e">
        <f t="array" ref="AM400">_xlfn.XLOOKUP($B400,$B$11:$B$109,_xlfn.XLOOKUP(AM$219,$D$5:$AO$5,$D$11:$AO$109))</f>
        <v>#REF!</v>
      </c>
      <c r="AN400" s="308" t="e">
        <f t="array" ref="AN400">_xlfn.XLOOKUP($B400,$B$11:$B$109,_xlfn.XLOOKUP(AN$219,$D$5:$AO$5,$D$11:$AO$109))</f>
        <v>#REF!</v>
      </c>
      <c r="AO400" s="308" t="e">
        <f t="array" ref="AO400">_xlfn.XLOOKUP($B400,$B$11:$B$109,_xlfn.XLOOKUP(AO$219,$D$5:$AO$5,$D$11:$AO$109))</f>
        <v>#REF!</v>
      </c>
    </row>
    <row r="401" spans="2:41" hidden="1" outlineLevel="1">
      <c r="B401" s="301"/>
      <c r="C401" s="309" t="s">
        <v>1510</v>
      </c>
      <c r="D401" s="303" t="s">
        <v>88</v>
      </c>
      <c r="E401" s="303"/>
      <c r="F401" s="303"/>
      <c r="G401" s="310" t="s">
        <v>967</v>
      </c>
      <c r="H401" s="310" t="s">
        <v>967</v>
      </c>
      <c r="I401" s="310" t="e">
        <f t="shared" ref="I401:Z401" si="210">I400/G400-1</f>
        <v>#REF!</v>
      </c>
      <c r="J401" s="310" t="e">
        <f t="shared" si="210"/>
        <v>#REF!</v>
      </c>
      <c r="K401" s="310" t="e">
        <f t="shared" si="210"/>
        <v>#REF!</v>
      </c>
      <c r="L401" s="310" t="e">
        <f t="shared" si="210"/>
        <v>#REF!</v>
      </c>
      <c r="M401" s="310" t="e">
        <f t="shared" si="210"/>
        <v>#REF!</v>
      </c>
      <c r="N401" s="310" t="e">
        <f t="shared" si="210"/>
        <v>#REF!</v>
      </c>
      <c r="O401" s="310" t="e">
        <f t="shared" si="210"/>
        <v>#REF!</v>
      </c>
      <c r="P401" s="310" t="e">
        <f t="shared" si="210"/>
        <v>#REF!</v>
      </c>
      <c r="Q401" s="310" t="e">
        <f t="shared" si="210"/>
        <v>#REF!</v>
      </c>
      <c r="R401" s="310" t="e">
        <f t="shared" si="210"/>
        <v>#REF!</v>
      </c>
      <c r="S401" s="310" t="e">
        <f t="shared" si="210"/>
        <v>#REF!</v>
      </c>
      <c r="T401" s="310" t="e">
        <f t="shared" si="210"/>
        <v>#REF!</v>
      </c>
      <c r="U401" s="310" t="e">
        <f t="shared" si="210"/>
        <v>#REF!</v>
      </c>
      <c r="V401" s="310" t="e">
        <f t="shared" si="210"/>
        <v>#REF!</v>
      </c>
      <c r="W401" s="310" t="e">
        <f t="shared" si="210"/>
        <v>#REF!</v>
      </c>
      <c r="X401" s="310" t="e">
        <f t="shared" si="210"/>
        <v>#REF!</v>
      </c>
      <c r="Y401" s="310" t="e">
        <f t="shared" si="210"/>
        <v>#REF!</v>
      </c>
      <c r="Z401" s="310" t="e">
        <f t="shared" si="210"/>
        <v>#REF!</v>
      </c>
      <c r="AA401" s="311"/>
      <c r="AB401" s="309" t="str">
        <f t="shared" si="196"/>
        <v>- Growth</v>
      </c>
      <c r="AC401" s="303" t="str">
        <f t="shared" si="197"/>
        <v>%</v>
      </c>
      <c r="AD401" s="303"/>
      <c r="AE401" s="303"/>
      <c r="AF401" s="310" t="s">
        <v>967</v>
      </c>
      <c r="AG401" s="310" t="e">
        <f t="shared" ref="AG401:AO401" si="211">AG400/AF400-1</f>
        <v>#REF!</v>
      </c>
      <c r="AH401" s="310" t="e">
        <f t="shared" si="211"/>
        <v>#REF!</v>
      </c>
      <c r="AI401" s="310" t="e">
        <f t="shared" si="211"/>
        <v>#REF!</v>
      </c>
      <c r="AJ401" s="310" t="e">
        <f t="shared" si="211"/>
        <v>#REF!</v>
      </c>
      <c r="AK401" s="310" t="e">
        <f t="shared" si="211"/>
        <v>#REF!</v>
      </c>
      <c r="AL401" s="310" t="e">
        <f t="shared" si="211"/>
        <v>#REF!</v>
      </c>
      <c r="AM401" s="310" t="e">
        <f t="shared" si="211"/>
        <v>#REF!</v>
      </c>
      <c r="AN401" s="310" t="e">
        <f t="shared" si="211"/>
        <v>#REF!</v>
      </c>
      <c r="AO401" s="310" t="e">
        <f t="shared" si="211"/>
        <v>#REF!</v>
      </c>
    </row>
    <row r="402" spans="2:41" collapsed="1">
      <c r="B402" s="301"/>
      <c r="C402" s="309" t="s">
        <v>1511</v>
      </c>
      <c r="D402" s="303" t="s">
        <v>88</v>
      </c>
      <c r="E402" s="303"/>
      <c r="F402" s="303"/>
      <c r="G402" s="310">
        <f t="shared" ref="G402:Z402" si="212">IFERROR(ROUND( G400 / G399,2) - 1, 0)</f>
        <v>0</v>
      </c>
      <c r="H402" s="310">
        <f t="shared" si="212"/>
        <v>0</v>
      </c>
      <c r="I402" s="310">
        <f t="shared" si="212"/>
        <v>0</v>
      </c>
      <c r="J402" s="310">
        <f t="shared" si="212"/>
        <v>0</v>
      </c>
      <c r="K402" s="310">
        <f t="shared" si="212"/>
        <v>0</v>
      </c>
      <c r="L402" s="310">
        <f t="shared" si="212"/>
        <v>0</v>
      </c>
      <c r="M402" s="310">
        <f t="shared" si="212"/>
        <v>0</v>
      </c>
      <c r="N402" s="310">
        <f t="shared" si="212"/>
        <v>0</v>
      </c>
      <c r="O402" s="310">
        <f t="shared" si="212"/>
        <v>0</v>
      </c>
      <c r="P402" s="310">
        <f t="shared" si="212"/>
        <v>0</v>
      </c>
      <c r="Q402" s="310">
        <f t="shared" si="212"/>
        <v>0</v>
      </c>
      <c r="R402" s="310">
        <f t="shared" si="212"/>
        <v>0</v>
      </c>
      <c r="S402" s="310">
        <f t="shared" si="212"/>
        <v>0</v>
      </c>
      <c r="T402" s="310">
        <f t="shared" si="212"/>
        <v>0</v>
      </c>
      <c r="U402" s="310">
        <f t="shared" si="212"/>
        <v>0</v>
      </c>
      <c r="V402" s="310">
        <f t="shared" si="212"/>
        <v>0</v>
      </c>
      <c r="W402" s="310">
        <f t="shared" si="212"/>
        <v>0</v>
      </c>
      <c r="X402" s="310">
        <f t="shared" si="212"/>
        <v>0</v>
      </c>
      <c r="Y402" s="310">
        <f t="shared" si="212"/>
        <v>0</v>
      </c>
      <c r="Z402" s="310">
        <f t="shared" si="212"/>
        <v>0</v>
      </c>
      <c r="AA402" s="310"/>
      <c r="AB402" s="309" t="str">
        <f t="shared" si="196"/>
        <v>- Revision</v>
      </c>
      <c r="AC402" s="303" t="str">
        <f t="shared" si="197"/>
        <v>%</v>
      </c>
      <c r="AD402" s="303"/>
      <c r="AE402" s="303"/>
      <c r="AF402" s="310">
        <f t="shared" ref="AF402:AO402" si="213">IFERROR(ROUND( AF400 / AF399,2) - 1, 0)</f>
        <v>0</v>
      </c>
      <c r="AG402" s="310">
        <f t="shared" si="213"/>
        <v>0</v>
      </c>
      <c r="AH402" s="310">
        <f t="shared" si="213"/>
        <v>0</v>
      </c>
      <c r="AI402" s="310">
        <f t="shared" si="213"/>
        <v>0</v>
      </c>
      <c r="AJ402" s="310">
        <f t="shared" si="213"/>
        <v>0</v>
      </c>
      <c r="AK402" s="310">
        <f t="shared" si="213"/>
        <v>0</v>
      </c>
      <c r="AL402" s="310">
        <f t="shared" si="213"/>
        <v>0</v>
      </c>
      <c r="AM402" s="310">
        <f t="shared" si="213"/>
        <v>0</v>
      </c>
      <c r="AN402" s="310">
        <f t="shared" si="213"/>
        <v>0</v>
      </c>
      <c r="AO402" s="310">
        <f t="shared" si="213"/>
        <v>0</v>
      </c>
    </row>
    <row r="403" spans="2:41">
      <c r="B403" s="301" t="s">
        <v>1468</v>
      </c>
      <c r="C403" s="302" t="s">
        <v>1550</v>
      </c>
      <c r="D403" s="303" t="str">
        <f t="array" ref="D403">_xlfn.XLOOKUP($B403,$B$114:$B$212,_xlfn.XLOOKUP(D$219,$D$5:$AO$5,$D$114:$AO$212))</f>
        <v>NZ$m</v>
      </c>
      <c r="E403" s="303"/>
      <c r="F403" s="303"/>
      <c r="G403" s="304" t="e">
        <f t="array" ref="G403">_xlfn.XLOOKUP($B403,$B$114:$B$212,_xlfn.XLOOKUP(G$219,$D$5:$AO$5,$D$114:$AO$212))</f>
        <v>#REF!</v>
      </c>
      <c r="H403" s="304" t="e">
        <f t="array" ref="H403">_xlfn.XLOOKUP($B403,$B$114:$B$212,_xlfn.XLOOKUP(H$219,$D$5:$AO$5,$D$114:$AO$212))</f>
        <v>#REF!</v>
      </c>
      <c r="I403" s="304" t="e">
        <f t="array" ref="I403">_xlfn.XLOOKUP($B403,$B$114:$B$212,_xlfn.XLOOKUP(I$219,$D$5:$AO$5,$D$114:$AO$212))</f>
        <v>#REF!</v>
      </c>
      <c r="J403" s="304" t="e">
        <f t="array" ref="J403">_xlfn.XLOOKUP($B403,$B$114:$B$212,_xlfn.XLOOKUP(J$219,$D$5:$AO$5,$D$114:$AO$212))</f>
        <v>#REF!</v>
      </c>
      <c r="K403" s="304" t="e">
        <f t="array" ref="K403">_xlfn.XLOOKUP($B403,$B$114:$B$212,_xlfn.XLOOKUP(K$219,$D$5:$AO$5,$D$114:$AO$212))</f>
        <v>#REF!</v>
      </c>
      <c r="L403" s="304" t="e">
        <f t="array" ref="L403">_xlfn.XLOOKUP($B403,$B$114:$B$212,_xlfn.XLOOKUP(L$219,$D$5:$AO$5,$D$114:$AO$212))</f>
        <v>#REF!</v>
      </c>
      <c r="M403" s="304" t="e">
        <f t="array" ref="M403">_xlfn.XLOOKUP($B403,$B$114:$B$212,_xlfn.XLOOKUP(M$219,$D$5:$AO$5,$D$114:$AO$212))</f>
        <v>#REF!</v>
      </c>
      <c r="N403" s="304" t="e">
        <f t="array" ref="N403">_xlfn.XLOOKUP($B403,$B$114:$B$212,_xlfn.XLOOKUP(N$219,$D$5:$AO$5,$D$114:$AO$212))</f>
        <v>#REF!</v>
      </c>
      <c r="O403" s="304" t="e">
        <f t="array" ref="O403">_xlfn.XLOOKUP($B403,$B$114:$B$212,_xlfn.XLOOKUP(O$219,$D$5:$AO$5,$D$114:$AO$212))</f>
        <v>#REF!</v>
      </c>
      <c r="P403" s="304" t="e">
        <f t="array" ref="P403">_xlfn.XLOOKUP($B403,$B$114:$B$212,_xlfn.XLOOKUP(P$219,$D$5:$AO$5,$D$114:$AO$212))</f>
        <v>#REF!</v>
      </c>
      <c r="Q403" s="304" t="e">
        <f t="array" ref="Q403">_xlfn.XLOOKUP($B403,$B$114:$B$212,_xlfn.XLOOKUP(Q$219,$D$5:$AO$5,$D$114:$AO$212))</f>
        <v>#REF!</v>
      </c>
      <c r="R403" s="304" t="e">
        <f t="array" ref="R403">_xlfn.XLOOKUP($B403,$B$114:$B$212,_xlfn.XLOOKUP(R$219,$D$5:$AO$5,$D$114:$AO$212))</f>
        <v>#REF!</v>
      </c>
      <c r="S403" s="304" t="e">
        <f t="array" ref="S403">_xlfn.XLOOKUP($B403,$B$114:$B$212,_xlfn.XLOOKUP(S$219,$D$5:$AO$5,$D$114:$AO$212))</f>
        <v>#REF!</v>
      </c>
      <c r="T403" s="304" t="e">
        <f t="array" ref="T403">_xlfn.XLOOKUP($B403,$B$114:$B$212,_xlfn.XLOOKUP(T$219,$D$5:$AO$5,$D$114:$AO$212))</f>
        <v>#REF!</v>
      </c>
      <c r="U403" s="304" t="e">
        <f t="array" ref="U403">_xlfn.XLOOKUP($B403,$B$114:$B$212,_xlfn.XLOOKUP(U$219,$D$5:$AO$5,$D$114:$AO$212))</f>
        <v>#REF!</v>
      </c>
      <c r="V403" s="304" t="e">
        <f t="array" ref="V403">_xlfn.XLOOKUP($B403,$B$114:$B$212,_xlfn.XLOOKUP(V$219,$D$5:$AO$5,$D$114:$AO$212))</f>
        <v>#REF!</v>
      </c>
      <c r="W403" s="304" t="e">
        <f t="array" ref="W403">_xlfn.XLOOKUP($B403,$B$114:$B$212,_xlfn.XLOOKUP(W$219,$D$5:$AO$5,$D$114:$AO$212))</f>
        <v>#REF!</v>
      </c>
      <c r="X403" s="304" t="e">
        <f t="array" ref="X403">_xlfn.XLOOKUP($B403,$B$114:$B$212,_xlfn.XLOOKUP(X$219,$D$5:$AO$5,$D$114:$AO$212))</f>
        <v>#REF!</v>
      </c>
      <c r="Y403" s="304" t="e">
        <f t="array" ref="Y403">_xlfn.XLOOKUP($B403,$B$114:$B$212,_xlfn.XLOOKUP(Y$219,$D$5:$AO$5,$D$114:$AO$212))</f>
        <v>#REF!</v>
      </c>
      <c r="Z403" s="304" t="e">
        <f t="array" ref="Z403">_xlfn.XLOOKUP($B403,$B$114:$B$212,_xlfn.XLOOKUP(Z$219,$D$5:$AO$5,$D$114:$AO$212))</f>
        <v>#REF!</v>
      </c>
      <c r="AA403" s="305"/>
      <c r="AB403" s="302" t="str">
        <f t="shared" si="196"/>
        <v>VIP - normalised - old</v>
      </c>
      <c r="AC403" s="303" t="str">
        <f t="shared" si="197"/>
        <v>NZ$m</v>
      </c>
      <c r="AD403" s="303"/>
      <c r="AE403" s="303"/>
      <c r="AF403" s="304" t="e">
        <f t="array" ref="AF403">_xlfn.XLOOKUP($B403,$B$114:$B$212,_xlfn.XLOOKUP(AF$219,$D$5:$AO$5,$D$114:$AO$212))</f>
        <v>#REF!</v>
      </c>
      <c r="AG403" s="304" t="e">
        <f t="array" ref="AG403">_xlfn.XLOOKUP($B403,$B$114:$B$212,_xlfn.XLOOKUP(AG$219,$D$5:$AO$5,$D$114:$AO$212))</f>
        <v>#REF!</v>
      </c>
      <c r="AH403" s="304" t="e">
        <f t="array" ref="AH403">_xlfn.XLOOKUP($B403,$B$114:$B$212,_xlfn.XLOOKUP(AH$219,$D$5:$AO$5,$D$114:$AO$212))</f>
        <v>#REF!</v>
      </c>
      <c r="AI403" s="304" t="e">
        <f t="array" ref="AI403">_xlfn.XLOOKUP($B403,$B$114:$B$212,_xlfn.XLOOKUP(AI$219,$D$5:$AO$5,$D$114:$AO$212))</f>
        <v>#REF!</v>
      </c>
      <c r="AJ403" s="304" t="e">
        <f t="array" ref="AJ403">_xlfn.XLOOKUP($B403,$B$114:$B$212,_xlfn.XLOOKUP(AJ$219,$D$5:$AO$5,$D$114:$AO$212))</f>
        <v>#REF!</v>
      </c>
      <c r="AK403" s="304" t="e">
        <f t="array" ref="AK403">_xlfn.XLOOKUP($B403,$B$114:$B$212,_xlfn.XLOOKUP(AK$219,$D$5:$AO$5,$D$114:$AO$212))</f>
        <v>#REF!</v>
      </c>
      <c r="AL403" s="304" t="e">
        <f t="array" ref="AL403">_xlfn.XLOOKUP($B403,$B$114:$B$212,_xlfn.XLOOKUP(AL$219,$D$5:$AO$5,$D$114:$AO$212))</f>
        <v>#REF!</v>
      </c>
      <c r="AM403" s="304" t="e">
        <f t="array" ref="AM403">_xlfn.XLOOKUP($B403,$B$114:$B$212,_xlfn.XLOOKUP(AM$219,$D$5:$AO$5,$D$114:$AO$212))</f>
        <v>#REF!</v>
      </c>
      <c r="AN403" s="304" t="e">
        <f t="array" ref="AN403">_xlfn.XLOOKUP($B403,$B$114:$B$212,_xlfn.XLOOKUP(AN$219,$D$5:$AO$5,$D$114:$AO$212))</f>
        <v>#REF!</v>
      </c>
      <c r="AO403" s="304" t="e">
        <f t="array" ref="AO403">_xlfn.XLOOKUP($B403,$B$114:$B$212,_xlfn.XLOOKUP(AO$219,$D$5:$AO$5,$D$114:$AO$212))</f>
        <v>#REF!</v>
      </c>
    </row>
    <row r="404" spans="2:41">
      <c r="B404" s="301" t="s">
        <v>1468</v>
      </c>
      <c r="C404" s="306" t="s">
        <v>1551</v>
      </c>
      <c r="D404" s="307" t="str">
        <f t="array" ref="D404">_xlfn.XLOOKUP($B404,$B$11:$B$109,_xlfn.XLOOKUP(D$219,$D$5:$AO$5,$D$11:$AO$109))</f>
        <v>NZ$m</v>
      </c>
      <c r="E404" s="307"/>
      <c r="F404" s="307"/>
      <c r="G404" s="308" t="e">
        <f t="array" ref="G404">_xlfn.XLOOKUP($B404,$B$11:$B$109,_xlfn.XLOOKUP(G$219,$D$5:$AO$5,$D$11:$AO$109))</f>
        <v>#REF!</v>
      </c>
      <c r="H404" s="308" t="e">
        <f t="array" ref="H404">_xlfn.XLOOKUP($B404,$B$11:$B$109,_xlfn.XLOOKUP(H$219,$D$5:$AO$5,$D$11:$AO$109))</f>
        <v>#REF!</v>
      </c>
      <c r="I404" s="308" t="e">
        <f t="array" ref="I404">_xlfn.XLOOKUP($B404,$B$11:$B$109,_xlfn.XLOOKUP(I$219,$D$5:$AO$5,$D$11:$AO$109))</f>
        <v>#REF!</v>
      </c>
      <c r="J404" s="308" t="e">
        <f t="array" ref="J404">_xlfn.XLOOKUP($B404,$B$11:$B$109,_xlfn.XLOOKUP(J$219,$D$5:$AO$5,$D$11:$AO$109))</f>
        <v>#REF!</v>
      </c>
      <c r="K404" s="308" t="e">
        <f t="array" ref="K404">_xlfn.XLOOKUP($B404,$B$11:$B$109,_xlfn.XLOOKUP(K$219,$D$5:$AO$5,$D$11:$AO$109))</f>
        <v>#REF!</v>
      </c>
      <c r="L404" s="308" t="e">
        <f t="array" ref="L404">_xlfn.XLOOKUP($B404,$B$11:$B$109,_xlfn.XLOOKUP(L$219,$D$5:$AO$5,$D$11:$AO$109))</f>
        <v>#REF!</v>
      </c>
      <c r="M404" s="308" t="e">
        <f t="array" ref="M404">_xlfn.XLOOKUP($B404,$B$11:$B$109,_xlfn.XLOOKUP(M$219,$D$5:$AO$5,$D$11:$AO$109))</f>
        <v>#REF!</v>
      </c>
      <c r="N404" s="308" t="e">
        <f t="array" ref="N404">_xlfn.XLOOKUP($B404,$B$11:$B$109,_xlfn.XLOOKUP(N$219,$D$5:$AO$5,$D$11:$AO$109))</f>
        <v>#REF!</v>
      </c>
      <c r="O404" s="308" t="e">
        <f t="array" ref="O404">_xlfn.XLOOKUP($B404,$B$11:$B$109,_xlfn.XLOOKUP(O$219,$D$5:$AO$5,$D$11:$AO$109))</f>
        <v>#REF!</v>
      </c>
      <c r="P404" s="308" t="e">
        <f t="array" ref="P404">_xlfn.XLOOKUP($B404,$B$11:$B$109,_xlfn.XLOOKUP(P$219,$D$5:$AO$5,$D$11:$AO$109))</f>
        <v>#REF!</v>
      </c>
      <c r="Q404" s="308" t="e">
        <f t="array" ref="Q404">_xlfn.XLOOKUP($B404,$B$11:$B$109,_xlfn.XLOOKUP(Q$219,$D$5:$AO$5,$D$11:$AO$109))</f>
        <v>#REF!</v>
      </c>
      <c r="R404" s="308" t="e">
        <f t="array" ref="R404">_xlfn.XLOOKUP($B404,$B$11:$B$109,_xlfn.XLOOKUP(R$219,$D$5:$AO$5,$D$11:$AO$109))</f>
        <v>#REF!</v>
      </c>
      <c r="S404" s="308" t="e">
        <f t="array" ref="S404">_xlfn.XLOOKUP($B404,$B$11:$B$109,_xlfn.XLOOKUP(S$219,$D$5:$AO$5,$D$11:$AO$109))</f>
        <v>#REF!</v>
      </c>
      <c r="T404" s="308" t="e">
        <f t="array" ref="T404">_xlfn.XLOOKUP($B404,$B$11:$B$109,_xlfn.XLOOKUP(T$219,$D$5:$AO$5,$D$11:$AO$109))</f>
        <v>#REF!</v>
      </c>
      <c r="U404" s="308" t="e">
        <f t="array" ref="U404">_xlfn.XLOOKUP($B404,$B$11:$B$109,_xlfn.XLOOKUP(U$219,$D$5:$AO$5,$D$11:$AO$109))</f>
        <v>#REF!</v>
      </c>
      <c r="V404" s="308" t="e">
        <f t="array" ref="V404">_xlfn.XLOOKUP($B404,$B$11:$B$109,_xlfn.XLOOKUP(V$219,$D$5:$AO$5,$D$11:$AO$109))</f>
        <v>#REF!</v>
      </c>
      <c r="W404" s="308" t="e">
        <f t="array" ref="W404">_xlfn.XLOOKUP($B404,$B$11:$B$109,_xlfn.XLOOKUP(W$219,$D$5:$AO$5,$D$11:$AO$109))</f>
        <v>#REF!</v>
      </c>
      <c r="X404" s="308" t="e">
        <f t="array" ref="X404">_xlfn.XLOOKUP($B404,$B$11:$B$109,_xlfn.XLOOKUP(X$219,$D$5:$AO$5,$D$11:$AO$109))</f>
        <v>#REF!</v>
      </c>
      <c r="Y404" s="308" t="e">
        <f t="array" ref="Y404">_xlfn.XLOOKUP($B404,$B$11:$B$109,_xlfn.XLOOKUP(Y$219,$D$5:$AO$5,$D$11:$AO$109))</f>
        <v>#REF!</v>
      </c>
      <c r="Z404" s="308" t="e">
        <f t="array" ref="Z404">_xlfn.XLOOKUP($B404,$B$11:$B$109,_xlfn.XLOOKUP(Z$219,$D$5:$AO$5,$D$11:$AO$109))</f>
        <v>#REF!</v>
      </c>
      <c r="AA404" s="308"/>
      <c r="AB404" s="306" t="str">
        <f t="shared" si="196"/>
        <v>VIP - normalised - New</v>
      </c>
      <c r="AC404" s="307" t="str">
        <f t="shared" si="197"/>
        <v>NZ$m</v>
      </c>
      <c r="AD404" s="307"/>
      <c r="AE404" s="307"/>
      <c r="AF404" s="308" t="e">
        <f t="array" ref="AF404">_xlfn.XLOOKUP($B404,$B$11:$B$109,_xlfn.XLOOKUP(AF$219,$D$5:$AO$5,$D$11:$AO$109))</f>
        <v>#REF!</v>
      </c>
      <c r="AG404" s="308" t="e">
        <f t="array" ref="AG404">_xlfn.XLOOKUP($B404,$B$11:$B$109,_xlfn.XLOOKUP(AG$219,$D$5:$AO$5,$D$11:$AO$109))</f>
        <v>#REF!</v>
      </c>
      <c r="AH404" s="308" t="e">
        <f t="array" ref="AH404">_xlfn.XLOOKUP($B404,$B$11:$B$109,_xlfn.XLOOKUP(AH$219,$D$5:$AO$5,$D$11:$AO$109))</f>
        <v>#REF!</v>
      </c>
      <c r="AI404" s="308" t="e">
        <f t="array" ref="AI404">_xlfn.XLOOKUP($B404,$B$11:$B$109,_xlfn.XLOOKUP(AI$219,$D$5:$AO$5,$D$11:$AO$109))</f>
        <v>#REF!</v>
      </c>
      <c r="AJ404" s="308" t="e">
        <f t="array" ref="AJ404">_xlfn.XLOOKUP($B404,$B$11:$B$109,_xlfn.XLOOKUP(AJ$219,$D$5:$AO$5,$D$11:$AO$109))</f>
        <v>#REF!</v>
      </c>
      <c r="AK404" s="308" t="e">
        <f t="array" ref="AK404">_xlfn.XLOOKUP($B404,$B$11:$B$109,_xlfn.XLOOKUP(AK$219,$D$5:$AO$5,$D$11:$AO$109))</f>
        <v>#REF!</v>
      </c>
      <c r="AL404" s="308" t="e">
        <f t="array" ref="AL404">_xlfn.XLOOKUP($B404,$B$11:$B$109,_xlfn.XLOOKUP(AL$219,$D$5:$AO$5,$D$11:$AO$109))</f>
        <v>#REF!</v>
      </c>
      <c r="AM404" s="308" t="e">
        <f t="array" ref="AM404">_xlfn.XLOOKUP($B404,$B$11:$B$109,_xlfn.XLOOKUP(AM$219,$D$5:$AO$5,$D$11:$AO$109))</f>
        <v>#REF!</v>
      </c>
      <c r="AN404" s="308" t="e">
        <f t="array" ref="AN404">_xlfn.XLOOKUP($B404,$B$11:$B$109,_xlfn.XLOOKUP(AN$219,$D$5:$AO$5,$D$11:$AO$109))</f>
        <v>#REF!</v>
      </c>
      <c r="AO404" s="308" t="e">
        <f t="array" ref="AO404">_xlfn.XLOOKUP($B404,$B$11:$B$109,_xlfn.XLOOKUP(AO$219,$D$5:$AO$5,$D$11:$AO$109))</f>
        <v>#REF!</v>
      </c>
    </row>
    <row r="405" spans="2:41" hidden="1" outlineLevel="1">
      <c r="B405" s="301"/>
      <c r="C405" s="309" t="s">
        <v>1510</v>
      </c>
      <c r="D405" s="303" t="s">
        <v>88</v>
      </c>
      <c r="E405" s="303"/>
      <c r="F405" s="303"/>
      <c r="G405" s="310" t="s">
        <v>967</v>
      </c>
      <c r="H405" s="310" t="s">
        <v>967</v>
      </c>
      <c r="I405" s="310" t="e">
        <f t="shared" ref="I405:Z405" si="214">I404/G404-1</f>
        <v>#REF!</v>
      </c>
      <c r="J405" s="310" t="e">
        <f t="shared" si="214"/>
        <v>#REF!</v>
      </c>
      <c r="K405" s="310" t="e">
        <f t="shared" si="214"/>
        <v>#REF!</v>
      </c>
      <c r="L405" s="310" t="e">
        <f t="shared" si="214"/>
        <v>#REF!</v>
      </c>
      <c r="M405" s="310" t="e">
        <f t="shared" si="214"/>
        <v>#REF!</v>
      </c>
      <c r="N405" s="310" t="e">
        <f t="shared" si="214"/>
        <v>#REF!</v>
      </c>
      <c r="O405" s="310" t="e">
        <f t="shared" si="214"/>
        <v>#REF!</v>
      </c>
      <c r="P405" s="310" t="e">
        <f t="shared" si="214"/>
        <v>#REF!</v>
      </c>
      <c r="Q405" s="310" t="e">
        <f t="shared" si="214"/>
        <v>#REF!</v>
      </c>
      <c r="R405" s="310" t="e">
        <f t="shared" si="214"/>
        <v>#REF!</v>
      </c>
      <c r="S405" s="310" t="e">
        <f t="shared" si="214"/>
        <v>#REF!</v>
      </c>
      <c r="T405" s="310" t="e">
        <f t="shared" si="214"/>
        <v>#REF!</v>
      </c>
      <c r="U405" s="310" t="e">
        <f t="shared" si="214"/>
        <v>#REF!</v>
      </c>
      <c r="V405" s="310" t="e">
        <f t="shared" si="214"/>
        <v>#REF!</v>
      </c>
      <c r="W405" s="310" t="e">
        <f t="shared" si="214"/>
        <v>#REF!</v>
      </c>
      <c r="X405" s="310" t="e">
        <f t="shared" si="214"/>
        <v>#REF!</v>
      </c>
      <c r="Y405" s="310" t="e">
        <f t="shared" si="214"/>
        <v>#REF!</v>
      </c>
      <c r="Z405" s="310" t="e">
        <f t="shared" si="214"/>
        <v>#REF!</v>
      </c>
      <c r="AA405" s="311"/>
      <c r="AB405" s="309" t="str">
        <f t="shared" si="196"/>
        <v>- Growth</v>
      </c>
      <c r="AC405" s="303" t="str">
        <f t="shared" si="197"/>
        <v>%</v>
      </c>
      <c r="AD405" s="303"/>
      <c r="AE405" s="303"/>
      <c r="AF405" s="310" t="s">
        <v>967</v>
      </c>
      <c r="AG405" s="310" t="e">
        <f t="shared" ref="AG405:AO405" si="215">AG404/AF404-1</f>
        <v>#REF!</v>
      </c>
      <c r="AH405" s="310" t="e">
        <f t="shared" si="215"/>
        <v>#REF!</v>
      </c>
      <c r="AI405" s="310" t="e">
        <f t="shared" si="215"/>
        <v>#REF!</v>
      </c>
      <c r="AJ405" s="310" t="e">
        <f t="shared" si="215"/>
        <v>#REF!</v>
      </c>
      <c r="AK405" s="310" t="e">
        <f t="shared" si="215"/>
        <v>#REF!</v>
      </c>
      <c r="AL405" s="310" t="e">
        <f t="shared" si="215"/>
        <v>#REF!</v>
      </c>
      <c r="AM405" s="310" t="e">
        <f t="shared" si="215"/>
        <v>#REF!</v>
      </c>
      <c r="AN405" s="310" t="e">
        <f t="shared" si="215"/>
        <v>#REF!</v>
      </c>
      <c r="AO405" s="310" t="e">
        <f t="shared" si="215"/>
        <v>#REF!</v>
      </c>
    </row>
    <row r="406" spans="2:41" collapsed="1">
      <c r="B406" s="301"/>
      <c r="C406" s="309" t="s">
        <v>1511</v>
      </c>
      <c r="D406" s="303" t="s">
        <v>88</v>
      </c>
      <c r="E406" s="303"/>
      <c r="F406" s="303"/>
      <c r="G406" s="310">
        <f t="shared" ref="G406:Z406" si="216">IFERROR(ROUND( G404 / G403,2) - 1, 0)</f>
        <v>0</v>
      </c>
      <c r="H406" s="310">
        <f t="shared" si="216"/>
        <v>0</v>
      </c>
      <c r="I406" s="310">
        <f t="shared" si="216"/>
        <v>0</v>
      </c>
      <c r="J406" s="310">
        <f t="shared" si="216"/>
        <v>0</v>
      </c>
      <c r="K406" s="310">
        <f t="shared" si="216"/>
        <v>0</v>
      </c>
      <c r="L406" s="310">
        <f t="shared" si="216"/>
        <v>0</v>
      </c>
      <c r="M406" s="310">
        <f t="shared" si="216"/>
        <v>0</v>
      </c>
      <c r="N406" s="310">
        <f t="shared" si="216"/>
        <v>0</v>
      </c>
      <c r="O406" s="310">
        <f t="shared" si="216"/>
        <v>0</v>
      </c>
      <c r="P406" s="310">
        <f t="shared" si="216"/>
        <v>0</v>
      </c>
      <c r="Q406" s="310">
        <f t="shared" si="216"/>
        <v>0</v>
      </c>
      <c r="R406" s="310">
        <f t="shared" si="216"/>
        <v>0</v>
      </c>
      <c r="S406" s="310">
        <f t="shared" si="216"/>
        <v>0</v>
      </c>
      <c r="T406" s="310">
        <f t="shared" si="216"/>
        <v>0</v>
      </c>
      <c r="U406" s="310">
        <f t="shared" si="216"/>
        <v>0</v>
      </c>
      <c r="V406" s="310">
        <f t="shared" si="216"/>
        <v>0</v>
      </c>
      <c r="W406" s="310">
        <f t="shared" si="216"/>
        <v>0</v>
      </c>
      <c r="X406" s="310">
        <f t="shared" si="216"/>
        <v>0</v>
      </c>
      <c r="Y406" s="310">
        <f t="shared" si="216"/>
        <v>0</v>
      </c>
      <c r="Z406" s="310">
        <f t="shared" si="216"/>
        <v>0</v>
      </c>
      <c r="AA406" s="310"/>
      <c r="AB406" s="309" t="str">
        <f t="shared" si="196"/>
        <v>- Revision</v>
      </c>
      <c r="AC406" s="303" t="str">
        <f t="shared" si="197"/>
        <v>%</v>
      </c>
      <c r="AD406" s="303"/>
      <c r="AE406" s="303"/>
      <c r="AF406" s="310">
        <f t="shared" ref="AF406:AO406" si="217">IFERROR(ROUND( AF404 / AF403,2) - 1, 0)</f>
        <v>0</v>
      </c>
      <c r="AG406" s="310">
        <f t="shared" si="217"/>
        <v>0</v>
      </c>
      <c r="AH406" s="310">
        <f t="shared" si="217"/>
        <v>0</v>
      </c>
      <c r="AI406" s="310">
        <f t="shared" si="217"/>
        <v>0</v>
      </c>
      <c r="AJ406" s="310">
        <f t="shared" si="217"/>
        <v>0</v>
      </c>
      <c r="AK406" s="310">
        <f t="shared" si="217"/>
        <v>0</v>
      </c>
      <c r="AL406" s="310">
        <f t="shared" si="217"/>
        <v>0</v>
      </c>
      <c r="AM406" s="310">
        <f t="shared" si="217"/>
        <v>0</v>
      </c>
      <c r="AN406" s="310">
        <f t="shared" si="217"/>
        <v>0</v>
      </c>
      <c r="AO406" s="310">
        <f t="shared" si="217"/>
        <v>0</v>
      </c>
    </row>
    <row r="407" spans="2:41">
      <c r="B407" s="301" t="s">
        <v>1469</v>
      </c>
      <c r="C407" s="302" t="s">
        <v>1552</v>
      </c>
      <c r="D407" s="303" t="str">
        <f t="array" ref="D407">_xlfn.XLOOKUP($B407,$B$114:$B$212,_xlfn.XLOOKUP(D$219,$D$5:$AO$5,$D$114:$AO$212))</f>
        <v>NZ$m</v>
      </c>
      <c r="E407" s="303"/>
      <c r="F407" s="303"/>
      <c r="G407" s="304" t="e">
        <f t="array" ref="G407">_xlfn.XLOOKUP($B407,$B$114:$B$212,_xlfn.XLOOKUP(G$219,$D$5:$AO$5,$D$114:$AO$212))</f>
        <v>#REF!</v>
      </c>
      <c r="H407" s="304" t="e">
        <f t="array" ref="H407">_xlfn.XLOOKUP($B407,$B$114:$B$212,_xlfn.XLOOKUP(H$219,$D$5:$AO$5,$D$114:$AO$212))</f>
        <v>#REF!</v>
      </c>
      <c r="I407" s="304" t="e">
        <f t="array" ref="I407">_xlfn.XLOOKUP($B407,$B$114:$B$212,_xlfn.XLOOKUP(I$219,$D$5:$AO$5,$D$114:$AO$212))</f>
        <v>#REF!</v>
      </c>
      <c r="J407" s="304" t="e">
        <f t="array" ref="J407">_xlfn.XLOOKUP($B407,$B$114:$B$212,_xlfn.XLOOKUP(J$219,$D$5:$AO$5,$D$114:$AO$212))</f>
        <v>#REF!</v>
      </c>
      <c r="K407" s="304" t="e">
        <f t="array" ref="K407">_xlfn.XLOOKUP($B407,$B$114:$B$212,_xlfn.XLOOKUP(K$219,$D$5:$AO$5,$D$114:$AO$212))</f>
        <v>#REF!</v>
      </c>
      <c r="L407" s="304" t="e">
        <f t="array" ref="L407">_xlfn.XLOOKUP($B407,$B$114:$B$212,_xlfn.XLOOKUP(L$219,$D$5:$AO$5,$D$114:$AO$212))</f>
        <v>#REF!</v>
      </c>
      <c r="M407" s="304" t="e">
        <f t="array" ref="M407">_xlfn.XLOOKUP($B407,$B$114:$B$212,_xlfn.XLOOKUP(M$219,$D$5:$AO$5,$D$114:$AO$212))</f>
        <v>#REF!</v>
      </c>
      <c r="N407" s="304" t="e">
        <f t="array" ref="N407">_xlfn.XLOOKUP($B407,$B$114:$B$212,_xlfn.XLOOKUP(N$219,$D$5:$AO$5,$D$114:$AO$212))</f>
        <v>#REF!</v>
      </c>
      <c r="O407" s="304" t="e">
        <f t="array" ref="O407">_xlfn.XLOOKUP($B407,$B$114:$B$212,_xlfn.XLOOKUP(O$219,$D$5:$AO$5,$D$114:$AO$212))</f>
        <v>#REF!</v>
      </c>
      <c r="P407" s="304" t="e">
        <f t="array" ref="P407">_xlfn.XLOOKUP($B407,$B$114:$B$212,_xlfn.XLOOKUP(P$219,$D$5:$AO$5,$D$114:$AO$212))</f>
        <v>#REF!</v>
      </c>
      <c r="Q407" s="304" t="e">
        <f t="array" ref="Q407">_xlfn.XLOOKUP($B407,$B$114:$B$212,_xlfn.XLOOKUP(Q$219,$D$5:$AO$5,$D$114:$AO$212))</f>
        <v>#REF!</v>
      </c>
      <c r="R407" s="304" t="e">
        <f t="array" ref="R407">_xlfn.XLOOKUP($B407,$B$114:$B$212,_xlfn.XLOOKUP(R$219,$D$5:$AO$5,$D$114:$AO$212))</f>
        <v>#REF!</v>
      </c>
      <c r="S407" s="304" t="e">
        <f t="array" ref="S407">_xlfn.XLOOKUP($B407,$B$114:$B$212,_xlfn.XLOOKUP(S$219,$D$5:$AO$5,$D$114:$AO$212))</f>
        <v>#REF!</v>
      </c>
      <c r="T407" s="304" t="e">
        <f t="array" ref="T407">_xlfn.XLOOKUP($B407,$B$114:$B$212,_xlfn.XLOOKUP(T$219,$D$5:$AO$5,$D$114:$AO$212))</f>
        <v>#REF!</v>
      </c>
      <c r="U407" s="304" t="e">
        <f t="array" ref="U407">_xlfn.XLOOKUP($B407,$B$114:$B$212,_xlfn.XLOOKUP(U$219,$D$5:$AO$5,$D$114:$AO$212))</f>
        <v>#REF!</v>
      </c>
      <c r="V407" s="304" t="e">
        <f t="array" ref="V407">_xlfn.XLOOKUP($B407,$B$114:$B$212,_xlfn.XLOOKUP(V$219,$D$5:$AO$5,$D$114:$AO$212))</f>
        <v>#REF!</v>
      </c>
      <c r="W407" s="304" t="e">
        <f t="array" ref="W407">_xlfn.XLOOKUP($B407,$B$114:$B$212,_xlfn.XLOOKUP(W$219,$D$5:$AO$5,$D$114:$AO$212))</f>
        <v>#REF!</v>
      </c>
      <c r="X407" s="304" t="e">
        <f t="array" ref="X407">_xlfn.XLOOKUP($B407,$B$114:$B$212,_xlfn.XLOOKUP(X$219,$D$5:$AO$5,$D$114:$AO$212))</f>
        <v>#REF!</v>
      </c>
      <c r="Y407" s="304" t="e">
        <f t="array" ref="Y407">_xlfn.XLOOKUP($B407,$B$114:$B$212,_xlfn.XLOOKUP(Y$219,$D$5:$AO$5,$D$114:$AO$212))</f>
        <v>#REF!</v>
      </c>
      <c r="Z407" s="304" t="e">
        <f t="array" ref="Z407">_xlfn.XLOOKUP($B407,$B$114:$B$212,_xlfn.XLOOKUP(Z$219,$D$5:$AO$5,$D$114:$AO$212))</f>
        <v>#REF!</v>
      </c>
      <c r="AA407" s="305"/>
      <c r="AB407" s="302" t="str">
        <f t="shared" si="196"/>
        <v>Online - old</v>
      </c>
      <c r="AC407" s="303" t="str">
        <f t="shared" si="197"/>
        <v>NZ$m</v>
      </c>
      <c r="AD407" s="303"/>
      <c r="AE407" s="303"/>
      <c r="AF407" s="304" t="e">
        <f t="array" ref="AF407">_xlfn.XLOOKUP($B407,$B$114:$B$212,_xlfn.XLOOKUP(AF$219,$D$5:$AO$5,$D$114:$AO$212))</f>
        <v>#REF!</v>
      </c>
      <c r="AG407" s="304" t="e">
        <f t="array" ref="AG407">_xlfn.XLOOKUP($B407,$B$114:$B$212,_xlfn.XLOOKUP(AG$219,$D$5:$AO$5,$D$114:$AO$212))</f>
        <v>#REF!</v>
      </c>
      <c r="AH407" s="304" t="e">
        <f t="array" ref="AH407">_xlfn.XLOOKUP($B407,$B$114:$B$212,_xlfn.XLOOKUP(AH$219,$D$5:$AO$5,$D$114:$AO$212))</f>
        <v>#REF!</v>
      </c>
      <c r="AI407" s="304" t="e">
        <f t="array" ref="AI407">_xlfn.XLOOKUP($B407,$B$114:$B$212,_xlfn.XLOOKUP(AI$219,$D$5:$AO$5,$D$114:$AO$212))</f>
        <v>#REF!</v>
      </c>
      <c r="AJ407" s="304" t="e">
        <f t="array" ref="AJ407">_xlfn.XLOOKUP($B407,$B$114:$B$212,_xlfn.XLOOKUP(AJ$219,$D$5:$AO$5,$D$114:$AO$212))</f>
        <v>#REF!</v>
      </c>
      <c r="AK407" s="304" t="e">
        <f t="array" ref="AK407">_xlfn.XLOOKUP($B407,$B$114:$B$212,_xlfn.XLOOKUP(AK$219,$D$5:$AO$5,$D$114:$AO$212))</f>
        <v>#REF!</v>
      </c>
      <c r="AL407" s="304" t="e">
        <f t="array" ref="AL407">_xlfn.XLOOKUP($B407,$B$114:$B$212,_xlfn.XLOOKUP(AL$219,$D$5:$AO$5,$D$114:$AO$212))</f>
        <v>#REF!</v>
      </c>
      <c r="AM407" s="304" t="e">
        <f t="array" ref="AM407">_xlfn.XLOOKUP($B407,$B$114:$B$212,_xlfn.XLOOKUP(AM$219,$D$5:$AO$5,$D$114:$AO$212))</f>
        <v>#REF!</v>
      </c>
      <c r="AN407" s="304" t="e">
        <f t="array" ref="AN407">_xlfn.XLOOKUP($B407,$B$114:$B$212,_xlfn.XLOOKUP(AN$219,$D$5:$AO$5,$D$114:$AO$212))</f>
        <v>#REF!</v>
      </c>
      <c r="AO407" s="304" t="e">
        <f t="array" ref="AO407">_xlfn.XLOOKUP($B407,$B$114:$B$212,_xlfn.XLOOKUP(AO$219,$D$5:$AO$5,$D$114:$AO$212))</f>
        <v>#REF!</v>
      </c>
    </row>
    <row r="408" spans="2:41">
      <c r="B408" s="301" t="s">
        <v>1469</v>
      </c>
      <c r="C408" s="306" t="s">
        <v>1553</v>
      </c>
      <c r="D408" s="307" t="str">
        <f t="array" ref="D408">_xlfn.XLOOKUP($B408,$B$11:$B$109,_xlfn.XLOOKUP(D$219,$D$5:$AO$5,$D$11:$AO$109))</f>
        <v>NZ$m</v>
      </c>
      <c r="E408" s="307"/>
      <c r="F408" s="307"/>
      <c r="G408" s="308" t="e">
        <f t="array" ref="G408">_xlfn.XLOOKUP($B408,$B$11:$B$109,_xlfn.XLOOKUP(G$219,$D$5:$AO$5,$D$11:$AO$109))</f>
        <v>#REF!</v>
      </c>
      <c r="H408" s="308" t="e">
        <f t="array" ref="H408">_xlfn.XLOOKUP($B408,$B$11:$B$109,_xlfn.XLOOKUP(H$219,$D$5:$AO$5,$D$11:$AO$109))</f>
        <v>#REF!</v>
      </c>
      <c r="I408" s="308" t="e">
        <f t="array" ref="I408">_xlfn.XLOOKUP($B408,$B$11:$B$109,_xlfn.XLOOKUP(I$219,$D$5:$AO$5,$D$11:$AO$109))</f>
        <v>#REF!</v>
      </c>
      <c r="J408" s="308" t="e">
        <f t="array" ref="J408">_xlfn.XLOOKUP($B408,$B$11:$B$109,_xlfn.XLOOKUP(J$219,$D$5:$AO$5,$D$11:$AO$109))</f>
        <v>#REF!</v>
      </c>
      <c r="K408" s="308" t="e">
        <f t="array" ref="K408">_xlfn.XLOOKUP($B408,$B$11:$B$109,_xlfn.XLOOKUP(K$219,$D$5:$AO$5,$D$11:$AO$109))</f>
        <v>#REF!</v>
      </c>
      <c r="L408" s="308" t="e">
        <f t="array" ref="L408">_xlfn.XLOOKUP($B408,$B$11:$B$109,_xlfn.XLOOKUP(L$219,$D$5:$AO$5,$D$11:$AO$109))</f>
        <v>#REF!</v>
      </c>
      <c r="M408" s="308" t="e">
        <f t="array" ref="M408">_xlfn.XLOOKUP($B408,$B$11:$B$109,_xlfn.XLOOKUP(M$219,$D$5:$AO$5,$D$11:$AO$109))</f>
        <v>#REF!</v>
      </c>
      <c r="N408" s="308" t="e">
        <f t="array" ref="N408">_xlfn.XLOOKUP($B408,$B$11:$B$109,_xlfn.XLOOKUP(N$219,$D$5:$AO$5,$D$11:$AO$109))</f>
        <v>#REF!</v>
      </c>
      <c r="O408" s="308" t="e">
        <f t="array" ref="O408">_xlfn.XLOOKUP($B408,$B$11:$B$109,_xlfn.XLOOKUP(O$219,$D$5:$AO$5,$D$11:$AO$109))</f>
        <v>#REF!</v>
      </c>
      <c r="P408" s="308" t="e">
        <f t="array" ref="P408">_xlfn.XLOOKUP($B408,$B$11:$B$109,_xlfn.XLOOKUP(P$219,$D$5:$AO$5,$D$11:$AO$109))</f>
        <v>#REF!</v>
      </c>
      <c r="Q408" s="308" t="e">
        <f t="array" ref="Q408">_xlfn.XLOOKUP($B408,$B$11:$B$109,_xlfn.XLOOKUP(Q$219,$D$5:$AO$5,$D$11:$AO$109))</f>
        <v>#REF!</v>
      </c>
      <c r="R408" s="308" t="e">
        <f t="array" ref="R408">_xlfn.XLOOKUP($B408,$B$11:$B$109,_xlfn.XLOOKUP(R$219,$D$5:$AO$5,$D$11:$AO$109))</f>
        <v>#REF!</v>
      </c>
      <c r="S408" s="308" t="e">
        <f t="array" ref="S408">_xlfn.XLOOKUP($B408,$B$11:$B$109,_xlfn.XLOOKUP(S$219,$D$5:$AO$5,$D$11:$AO$109))</f>
        <v>#REF!</v>
      </c>
      <c r="T408" s="308" t="e">
        <f t="array" ref="T408">_xlfn.XLOOKUP($B408,$B$11:$B$109,_xlfn.XLOOKUP(T$219,$D$5:$AO$5,$D$11:$AO$109))</f>
        <v>#REF!</v>
      </c>
      <c r="U408" s="308" t="e">
        <f t="array" ref="U408">_xlfn.XLOOKUP($B408,$B$11:$B$109,_xlfn.XLOOKUP(U$219,$D$5:$AO$5,$D$11:$AO$109))</f>
        <v>#REF!</v>
      </c>
      <c r="V408" s="308" t="e">
        <f t="array" ref="V408">_xlfn.XLOOKUP($B408,$B$11:$B$109,_xlfn.XLOOKUP(V$219,$D$5:$AO$5,$D$11:$AO$109))</f>
        <v>#REF!</v>
      </c>
      <c r="W408" s="308" t="e">
        <f t="array" ref="W408">_xlfn.XLOOKUP($B408,$B$11:$B$109,_xlfn.XLOOKUP(W$219,$D$5:$AO$5,$D$11:$AO$109))</f>
        <v>#REF!</v>
      </c>
      <c r="X408" s="308" t="e">
        <f t="array" ref="X408">_xlfn.XLOOKUP($B408,$B$11:$B$109,_xlfn.XLOOKUP(X$219,$D$5:$AO$5,$D$11:$AO$109))</f>
        <v>#REF!</v>
      </c>
      <c r="Y408" s="308" t="e">
        <f t="array" ref="Y408">_xlfn.XLOOKUP($B408,$B$11:$B$109,_xlfn.XLOOKUP(Y$219,$D$5:$AO$5,$D$11:$AO$109))</f>
        <v>#REF!</v>
      </c>
      <c r="Z408" s="308" t="e">
        <f t="array" ref="Z408">_xlfn.XLOOKUP($B408,$B$11:$B$109,_xlfn.XLOOKUP(Z$219,$D$5:$AO$5,$D$11:$AO$109))</f>
        <v>#REF!</v>
      </c>
      <c r="AA408" s="308"/>
      <c r="AB408" s="306" t="str">
        <f t="shared" si="196"/>
        <v>Online - New</v>
      </c>
      <c r="AC408" s="307" t="str">
        <f t="shared" si="197"/>
        <v>NZ$m</v>
      </c>
      <c r="AD408" s="307"/>
      <c r="AE408" s="307"/>
      <c r="AF408" s="308" t="e">
        <f t="array" ref="AF408">_xlfn.XLOOKUP($B408,$B$11:$B$109,_xlfn.XLOOKUP(AF$219,$D$5:$AO$5,$D$11:$AO$109))</f>
        <v>#REF!</v>
      </c>
      <c r="AG408" s="308" t="e">
        <f t="array" ref="AG408">_xlfn.XLOOKUP($B408,$B$11:$B$109,_xlfn.XLOOKUP(AG$219,$D$5:$AO$5,$D$11:$AO$109))</f>
        <v>#REF!</v>
      </c>
      <c r="AH408" s="308" t="e">
        <f t="array" ref="AH408">_xlfn.XLOOKUP($B408,$B$11:$B$109,_xlfn.XLOOKUP(AH$219,$D$5:$AO$5,$D$11:$AO$109))</f>
        <v>#REF!</v>
      </c>
      <c r="AI408" s="308" t="e">
        <f t="array" ref="AI408">_xlfn.XLOOKUP($B408,$B$11:$B$109,_xlfn.XLOOKUP(AI$219,$D$5:$AO$5,$D$11:$AO$109))</f>
        <v>#REF!</v>
      </c>
      <c r="AJ408" s="308" t="e">
        <f t="array" ref="AJ408">_xlfn.XLOOKUP($B408,$B$11:$B$109,_xlfn.XLOOKUP(AJ$219,$D$5:$AO$5,$D$11:$AO$109))</f>
        <v>#REF!</v>
      </c>
      <c r="AK408" s="308" t="e">
        <f t="array" ref="AK408">_xlfn.XLOOKUP($B408,$B$11:$B$109,_xlfn.XLOOKUP(AK$219,$D$5:$AO$5,$D$11:$AO$109))</f>
        <v>#REF!</v>
      </c>
      <c r="AL408" s="308" t="e">
        <f t="array" ref="AL408">_xlfn.XLOOKUP($B408,$B$11:$B$109,_xlfn.XLOOKUP(AL$219,$D$5:$AO$5,$D$11:$AO$109))</f>
        <v>#REF!</v>
      </c>
      <c r="AM408" s="308" t="e">
        <f t="array" ref="AM408">_xlfn.XLOOKUP($B408,$B$11:$B$109,_xlfn.XLOOKUP(AM$219,$D$5:$AO$5,$D$11:$AO$109))</f>
        <v>#REF!</v>
      </c>
      <c r="AN408" s="308" t="e">
        <f t="array" ref="AN408">_xlfn.XLOOKUP($B408,$B$11:$B$109,_xlfn.XLOOKUP(AN$219,$D$5:$AO$5,$D$11:$AO$109))</f>
        <v>#REF!</v>
      </c>
      <c r="AO408" s="308" t="e">
        <f t="array" ref="AO408">_xlfn.XLOOKUP($B408,$B$11:$B$109,_xlfn.XLOOKUP(AO$219,$D$5:$AO$5,$D$11:$AO$109))</f>
        <v>#REF!</v>
      </c>
    </row>
    <row r="409" spans="2:41" hidden="1" outlineLevel="1">
      <c r="B409" s="301"/>
      <c r="C409" s="309" t="s">
        <v>1510</v>
      </c>
      <c r="D409" s="303" t="s">
        <v>88</v>
      </c>
      <c r="E409" s="303"/>
      <c r="F409" s="303"/>
      <c r="G409" s="310" t="s">
        <v>967</v>
      </c>
      <c r="H409" s="310" t="s">
        <v>967</v>
      </c>
      <c r="I409" s="310" t="e">
        <f t="shared" ref="I409:Z409" si="218">I408/G408-1</f>
        <v>#REF!</v>
      </c>
      <c r="J409" s="310" t="e">
        <f t="shared" si="218"/>
        <v>#REF!</v>
      </c>
      <c r="K409" s="310" t="e">
        <f t="shared" si="218"/>
        <v>#REF!</v>
      </c>
      <c r="L409" s="310" t="e">
        <f t="shared" si="218"/>
        <v>#REF!</v>
      </c>
      <c r="M409" s="310" t="e">
        <f t="shared" si="218"/>
        <v>#REF!</v>
      </c>
      <c r="N409" s="310" t="e">
        <f t="shared" si="218"/>
        <v>#REF!</v>
      </c>
      <c r="O409" s="310" t="e">
        <f t="shared" si="218"/>
        <v>#REF!</v>
      </c>
      <c r="P409" s="310" t="e">
        <f t="shared" si="218"/>
        <v>#REF!</v>
      </c>
      <c r="Q409" s="310" t="e">
        <f t="shared" si="218"/>
        <v>#REF!</v>
      </c>
      <c r="R409" s="310" t="e">
        <f t="shared" si="218"/>
        <v>#REF!</v>
      </c>
      <c r="S409" s="310" t="e">
        <f t="shared" si="218"/>
        <v>#REF!</v>
      </c>
      <c r="T409" s="310" t="e">
        <f t="shared" si="218"/>
        <v>#REF!</v>
      </c>
      <c r="U409" s="310" t="e">
        <f t="shared" si="218"/>
        <v>#REF!</v>
      </c>
      <c r="V409" s="310" t="e">
        <f t="shared" si="218"/>
        <v>#REF!</v>
      </c>
      <c r="W409" s="310" t="e">
        <f t="shared" si="218"/>
        <v>#REF!</v>
      </c>
      <c r="X409" s="310" t="e">
        <f t="shared" si="218"/>
        <v>#REF!</v>
      </c>
      <c r="Y409" s="310" t="e">
        <f t="shared" si="218"/>
        <v>#REF!</v>
      </c>
      <c r="Z409" s="310" t="e">
        <f t="shared" si="218"/>
        <v>#REF!</v>
      </c>
      <c r="AA409" s="311"/>
      <c r="AB409" s="309" t="str">
        <f t="shared" si="196"/>
        <v>- Growth</v>
      </c>
      <c r="AC409" s="303" t="str">
        <f t="shared" si="197"/>
        <v>%</v>
      </c>
      <c r="AD409" s="303"/>
      <c r="AE409" s="303"/>
      <c r="AF409" s="310" t="s">
        <v>967</v>
      </c>
      <c r="AG409" s="310" t="e">
        <f t="shared" ref="AG409:AO409" si="219">AG408/AF408-1</f>
        <v>#REF!</v>
      </c>
      <c r="AH409" s="310" t="e">
        <f t="shared" si="219"/>
        <v>#REF!</v>
      </c>
      <c r="AI409" s="310" t="e">
        <f t="shared" si="219"/>
        <v>#REF!</v>
      </c>
      <c r="AJ409" s="310" t="e">
        <f t="shared" si="219"/>
        <v>#REF!</v>
      </c>
      <c r="AK409" s="310" t="e">
        <f t="shared" si="219"/>
        <v>#REF!</v>
      </c>
      <c r="AL409" s="310" t="e">
        <f t="shared" si="219"/>
        <v>#REF!</v>
      </c>
      <c r="AM409" s="310" t="e">
        <f t="shared" si="219"/>
        <v>#REF!</v>
      </c>
      <c r="AN409" s="310" t="e">
        <f t="shared" si="219"/>
        <v>#REF!</v>
      </c>
      <c r="AO409" s="310" t="e">
        <f t="shared" si="219"/>
        <v>#REF!</v>
      </c>
    </row>
    <row r="410" spans="2:41" collapsed="1">
      <c r="B410" s="301"/>
      <c r="C410" s="309" t="s">
        <v>1511</v>
      </c>
      <c r="D410" s="303" t="s">
        <v>88</v>
      </c>
      <c r="E410" s="303"/>
      <c r="F410" s="303"/>
      <c r="G410" s="310">
        <f t="shared" ref="G410:Z410" si="220">IFERROR(ROUND( G408 / G407,2) - 1, 0)</f>
        <v>0</v>
      </c>
      <c r="H410" s="310">
        <f t="shared" si="220"/>
        <v>0</v>
      </c>
      <c r="I410" s="310">
        <f t="shared" si="220"/>
        <v>0</v>
      </c>
      <c r="J410" s="310">
        <f t="shared" si="220"/>
        <v>0</v>
      </c>
      <c r="K410" s="310">
        <f t="shared" si="220"/>
        <v>0</v>
      </c>
      <c r="L410" s="310">
        <f t="shared" si="220"/>
        <v>0</v>
      </c>
      <c r="M410" s="310">
        <f t="shared" si="220"/>
        <v>0</v>
      </c>
      <c r="N410" s="310">
        <f t="shared" si="220"/>
        <v>0</v>
      </c>
      <c r="O410" s="310">
        <f t="shared" si="220"/>
        <v>0</v>
      </c>
      <c r="P410" s="310">
        <f t="shared" si="220"/>
        <v>0</v>
      </c>
      <c r="Q410" s="310">
        <f t="shared" si="220"/>
        <v>0</v>
      </c>
      <c r="R410" s="310">
        <f t="shared" si="220"/>
        <v>0</v>
      </c>
      <c r="S410" s="310">
        <f t="shared" si="220"/>
        <v>0</v>
      </c>
      <c r="T410" s="310">
        <f t="shared" si="220"/>
        <v>0</v>
      </c>
      <c r="U410" s="310">
        <f t="shared" si="220"/>
        <v>0</v>
      </c>
      <c r="V410" s="310">
        <f t="shared" si="220"/>
        <v>0</v>
      </c>
      <c r="W410" s="310">
        <f t="shared" si="220"/>
        <v>0</v>
      </c>
      <c r="X410" s="310">
        <f t="shared" si="220"/>
        <v>0</v>
      </c>
      <c r="Y410" s="310">
        <f t="shared" si="220"/>
        <v>0</v>
      </c>
      <c r="Z410" s="310">
        <f t="shared" si="220"/>
        <v>0</v>
      </c>
      <c r="AA410" s="310"/>
      <c r="AB410" s="309" t="str">
        <f t="shared" si="196"/>
        <v>- Revision</v>
      </c>
      <c r="AC410" s="303" t="str">
        <f t="shared" si="197"/>
        <v>%</v>
      </c>
      <c r="AD410" s="303"/>
      <c r="AE410" s="303"/>
      <c r="AF410" s="310">
        <f t="shared" ref="AF410:AO410" si="221">IFERROR(ROUND( AF408 / AF407,2) - 1, 0)</f>
        <v>0</v>
      </c>
      <c r="AG410" s="310">
        <f t="shared" si="221"/>
        <v>0</v>
      </c>
      <c r="AH410" s="310">
        <f t="shared" si="221"/>
        <v>0</v>
      </c>
      <c r="AI410" s="310">
        <f t="shared" si="221"/>
        <v>0</v>
      </c>
      <c r="AJ410" s="310">
        <f t="shared" si="221"/>
        <v>0</v>
      </c>
      <c r="AK410" s="310">
        <f t="shared" si="221"/>
        <v>0</v>
      </c>
      <c r="AL410" s="310">
        <f t="shared" si="221"/>
        <v>0</v>
      </c>
      <c r="AM410" s="310">
        <f t="shared" si="221"/>
        <v>0</v>
      </c>
      <c r="AN410" s="310">
        <f t="shared" si="221"/>
        <v>0</v>
      </c>
      <c r="AO410" s="310">
        <f t="shared" si="221"/>
        <v>0</v>
      </c>
    </row>
    <row r="411" spans="2:41">
      <c r="B411" s="301" t="s">
        <v>1470</v>
      </c>
      <c r="C411" s="302" t="s">
        <v>1554</v>
      </c>
      <c r="D411" s="303" t="str">
        <f t="array" ref="D411">_xlfn.XLOOKUP($B411,$B$114:$B$212,_xlfn.XLOOKUP(D$219,$D$5:$AO$5,$D$114:$AO$212))</f>
        <v>NZ$m</v>
      </c>
      <c r="E411" s="303"/>
      <c r="F411" s="303"/>
      <c r="G411" s="304" t="e">
        <f t="array" ref="G411">_xlfn.XLOOKUP($B411,$B$114:$B$212,_xlfn.XLOOKUP(G$219,$D$5:$AO$5,$D$114:$AO$212))</f>
        <v>#REF!</v>
      </c>
      <c r="H411" s="304" t="e">
        <f t="array" ref="H411">_xlfn.XLOOKUP($B411,$B$114:$B$212,_xlfn.XLOOKUP(H$219,$D$5:$AO$5,$D$114:$AO$212))</f>
        <v>#REF!</v>
      </c>
      <c r="I411" s="304" t="e">
        <f t="array" ref="I411">_xlfn.XLOOKUP($B411,$B$114:$B$212,_xlfn.XLOOKUP(I$219,$D$5:$AO$5,$D$114:$AO$212))</f>
        <v>#REF!</v>
      </c>
      <c r="J411" s="304" t="e">
        <f t="array" ref="J411">_xlfn.XLOOKUP($B411,$B$114:$B$212,_xlfn.XLOOKUP(J$219,$D$5:$AO$5,$D$114:$AO$212))</f>
        <v>#REF!</v>
      </c>
      <c r="K411" s="304" t="e">
        <f t="array" ref="K411">_xlfn.XLOOKUP($B411,$B$114:$B$212,_xlfn.XLOOKUP(K$219,$D$5:$AO$5,$D$114:$AO$212))</f>
        <v>#REF!</v>
      </c>
      <c r="L411" s="304" t="e">
        <f t="array" ref="L411">_xlfn.XLOOKUP($B411,$B$114:$B$212,_xlfn.XLOOKUP(L$219,$D$5:$AO$5,$D$114:$AO$212))</f>
        <v>#REF!</v>
      </c>
      <c r="M411" s="304" t="e">
        <f t="array" ref="M411">_xlfn.XLOOKUP($B411,$B$114:$B$212,_xlfn.XLOOKUP(M$219,$D$5:$AO$5,$D$114:$AO$212))</f>
        <v>#REF!</v>
      </c>
      <c r="N411" s="304" t="e">
        <f t="array" ref="N411">_xlfn.XLOOKUP($B411,$B$114:$B$212,_xlfn.XLOOKUP(N$219,$D$5:$AO$5,$D$114:$AO$212))</f>
        <v>#REF!</v>
      </c>
      <c r="O411" s="304" t="e">
        <f t="array" ref="O411">_xlfn.XLOOKUP($B411,$B$114:$B$212,_xlfn.XLOOKUP(O$219,$D$5:$AO$5,$D$114:$AO$212))</f>
        <v>#REF!</v>
      </c>
      <c r="P411" s="304" t="e">
        <f t="array" ref="P411">_xlfn.XLOOKUP($B411,$B$114:$B$212,_xlfn.XLOOKUP(P$219,$D$5:$AO$5,$D$114:$AO$212))</f>
        <v>#REF!</v>
      </c>
      <c r="Q411" s="304" t="e">
        <f t="array" ref="Q411">_xlfn.XLOOKUP($B411,$B$114:$B$212,_xlfn.XLOOKUP(Q$219,$D$5:$AO$5,$D$114:$AO$212))</f>
        <v>#REF!</v>
      </c>
      <c r="R411" s="304" t="e">
        <f t="array" ref="R411">_xlfn.XLOOKUP($B411,$B$114:$B$212,_xlfn.XLOOKUP(R$219,$D$5:$AO$5,$D$114:$AO$212))</f>
        <v>#REF!</v>
      </c>
      <c r="S411" s="304" t="e">
        <f t="array" ref="S411">_xlfn.XLOOKUP($B411,$B$114:$B$212,_xlfn.XLOOKUP(S$219,$D$5:$AO$5,$D$114:$AO$212))</f>
        <v>#REF!</v>
      </c>
      <c r="T411" s="304" t="e">
        <f t="array" ref="T411">_xlfn.XLOOKUP($B411,$B$114:$B$212,_xlfn.XLOOKUP(T$219,$D$5:$AO$5,$D$114:$AO$212))</f>
        <v>#REF!</v>
      </c>
      <c r="U411" s="304" t="e">
        <f t="array" ref="U411">_xlfn.XLOOKUP($B411,$B$114:$B$212,_xlfn.XLOOKUP(U$219,$D$5:$AO$5,$D$114:$AO$212))</f>
        <v>#REF!</v>
      </c>
      <c r="V411" s="304" t="e">
        <f t="array" ref="V411">_xlfn.XLOOKUP($B411,$B$114:$B$212,_xlfn.XLOOKUP(V$219,$D$5:$AO$5,$D$114:$AO$212))</f>
        <v>#REF!</v>
      </c>
      <c r="W411" s="304" t="e">
        <f t="array" ref="W411">_xlfn.XLOOKUP($B411,$B$114:$B$212,_xlfn.XLOOKUP(W$219,$D$5:$AO$5,$D$114:$AO$212))</f>
        <v>#REF!</v>
      </c>
      <c r="X411" s="304" t="e">
        <f t="array" ref="X411">_xlfn.XLOOKUP($B411,$B$114:$B$212,_xlfn.XLOOKUP(X$219,$D$5:$AO$5,$D$114:$AO$212))</f>
        <v>#REF!</v>
      </c>
      <c r="Y411" s="304" t="e">
        <f t="array" ref="Y411">_xlfn.XLOOKUP($B411,$B$114:$B$212,_xlfn.XLOOKUP(Y$219,$D$5:$AO$5,$D$114:$AO$212))</f>
        <v>#REF!</v>
      </c>
      <c r="Z411" s="304" t="e">
        <f t="array" ref="Z411">_xlfn.XLOOKUP($B411,$B$114:$B$212,_xlfn.XLOOKUP(Z$219,$D$5:$AO$5,$D$114:$AO$212))</f>
        <v>#REF!</v>
      </c>
      <c r="AA411" s="305"/>
      <c r="AB411" s="302" t="str">
        <f t="shared" si="196"/>
        <v>Other - old</v>
      </c>
      <c r="AC411" s="303" t="str">
        <f t="shared" si="197"/>
        <v>NZ$m</v>
      </c>
      <c r="AD411" s="303"/>
      <c r="AE411" s="303"/>
      <c r="AF411" s="304" t="e">
        <f t="array" ref="AF411">_xlfn.XLOOKUP($B411,$B$114:$B$212,_xlfn.XLOOKUP(AF$219,$D$5:$AO$5,$D$114:$AO$212))</f>
        <v>#REF!</v>
      </c>
      <c r="AG411" s="304" t="e">
        <f t="array" ref="AG411">_xlfn.XLOOKUP($B411,$B$114:$B$212,_xlfn.XLOOKUP(AG$219,$D$5:$AO$5,$D$114:$AO$212))</f>
        <v>#REF!</v>
      </c>
      <c r="AH411" s="304" t="e">
        <f t="array" ref="AH411">_xlfn.XLOOKUP($B411,$B$114:$B$212,_xlfn.XLOOKUP(AH$219,$D$5:$AO$5,$D$114:$AO$212))</f>
        <v>#REF!</v>
      </c>
      <c r="AI411" s="304" t="e">
        <f t="array" ref="AI411">_xlfn.XLOOKUP($B411,$B$114:$B$212,_xlfn.XLOOKUP(AI$219,$D$5:$AO$5,$D$114:$AO$212))</f>
        <v>#REF!</v>
      </c>
      <c r="AJ411" s="304" t="e">
        <f t="array" ref="AJ411">_xlfn.XLOOKUP($B411,$B$114:$B$212,_xlfn.XLOOKUP(AJ$219,$D$5:$AO$5,$D$114:$AO$212))</f>
        <v>#REF!</v>
      </c>
      <c r="AK411" s="304" t="e">
        <f t="array" ref="AK411">_xlfn.XLOOKUP($B411,$B$114:$B$212,_xlfn.XLOOKUP(AK$219,$D$5:$AO$5,$D$114:$AO$212))</f>
        <v>#REF!</v>
      </c>
      <c r="AL411" s="304" t="e">
        <f t="array" ref="AL411">_xlfn.XLOOKUP($B411,$B$114:$B$212,_xlfn.XLOOKUP(AL$219,$D$5:$AO$5,$D$114:$AO$212))</f>
        <v>#REF!</v>
      </c>
      <c r="AM411" s="304" t="e">
        <f t="array" ref="AM411">_xlfn.XLOOKUP($B411,$B$114:$B$212,_xlfn.XLOOKUP(AM$219,$D$5:$AO$5,$D$114:$AO$212))</f>
        <v>#REF!</v>
      </c>
      <c r="AN411" s="304" t="e">
        <f t="array" ref="AN411">_xlfn.XLOOKUP($B411,$B$114:$B$212,_xlfn.XLOOKUP(AN$219,$D$5:$AO$5,$D$114:$AO$212))</f>
        <v>#REF!</v>
      </c>
      <c r="AO411" s="304" t="e">
        <f t="array" ref="AO411">_xlfn.XLOOKUP($B411,$B$114:$B$212,_xlfn.XLOOKUP(AO$219,$D$5:$AO$5,$D$114:$AO$212))</f>
        <v>#REF!</v>
      </c>
    </row>
    <row r="412" spans="2:41">
      <c r="B412" s="301" t="s">
        <v>1470</v>
      </c>
      <c r="C412" s="306" t="s">
        <v>1555</v>
      </c>
      <c r="D412" s="307" t="str">
        <f t="array" ref="D412">_xlfn.XLOOKUP($B412,$B$11:$B$109,_xlfn.XLOOKUP(D$219,$D$5:$AO$5,$D$11:$AO$109))</f>
        <v>NZ$m</v>
      </c>
      <c r="E412" s="307"/>
      <c r="F412" s="307"/>
      <c r="G412" s="308" t="e">
        <f t="array" ref="G412">_xlfn.XLOOKUP($B412,$B$11:$B$109,_xlfn.XLOOKUP(G$219,$D$5:$AO$5,$D$11:$AO$109))</f>
        <v>#REF!</v>
      </c>
      <c r="H412" s="308" t="e">
        <f t="array" ref="H412">_xlfn.XLOOKUP($B412,$B$11:$B$109,_xlfn.XLOOKUP(H$219,$D$5:$AO$5,$D$11:$AO$109))</f>
        <v>#REF!</v>
      </c>
      <c r="I412" s="308" t="e">
        <f t="array" ref="I412">_xlfn.XLOOKUP($B412,$B$11:$B$109,_xlfn.XLOOKUP(I$219,$D$5:$AO$5,$D$11:$AO$109))</f>
        <v>#REF!</v>
      </c>
      <c r="J412" s="308" t="e">
        <f t="array" ref="J412">_xlfn.XLOOKUP($B412,$B$11:$B$109,_xlfn.XLOOKUP(J$219,$D$5:$AO$5,$D$11:$AO$109))</f>
        <v>#REF!</v>
      </c>
      <c r="K412" s="308" t="e">
        <f t="array" ref="K412">_xlfn.XLOOKUP($B412,$B$11:$B$109,_xlfn.XLOOKUP(K$219,$D$5:$AO$5,$D$11:$AO$109))</f>
        <v>#REF!</v>
      </c>
      <c r="L412" s="308" t="e">
        <f t="array" ref="L412">_xlfn.XLOOKUP($B412,$B$11:$B$109,_xlfn.XLOOKUP(L$219,$D$5:$AO$5,$D$11:$AO$109))</f>
        <v>#REF!</v>
      </c>
      <c r="M412" s="308" t="e">
        <f t="array" ref="M412">_xlfn.XLOOKUP($B412,$B$11:$B$109,_xlfn.XLOOKUP(M$219,$D$5:$AO$5,$D$11:$AO$109))</f>
        <v>#REF!</v>
      </c>
      <c r="N412" s="308" t="e">
        <f t="array" ref="N412">_xlfn.XLOOKUP($B412,$B$11:$B$109,_xlfn.XLOOKUP(N$219,$D$5:$AO$5,$D$11:$AO$109))</f>
        <v>#REF!</v>
      </c>
      <c r="O412" s="308" t="e">
        <f t="array" ref="O412">_xlfn.XLOOKUP($B412,$B$11:$B$109,_xlfn.XLOOKUP(O$219,$D$5:$AO$5,$D$11:$AO$109))</f>
        <v>#REF!</v>
      </c>
      <c r="P412" s="308" t="e">
        <f t="array" ref="P412">_xlfn.XLOOKUP($B412,$B$11:$B$109,_xlfn.XLOOKUP(P$219,$D$5:$AO$5,$D$11:$AO$109))</f>
        <v>#REF!</v>
      </c>
      <c r="Q412" s="308" t="e">
        <f t="array" ref="Q412">_xlfn.XLOOKUP($B412,$B$11:$B$109,_xlfn.XLOOKUP(Q$219,$D$5:$AO$5,$D$11:$AO$109))</f>
        <v>#REF!</v>
      </c>
      <c r="R412" s="308" t="e">
        <f t="array" ref="R412">_xlfn.XLOOKUP($B412,$B$11:$B$109,_xlfn.XLOOKUP(R$219,$D$5:$AO$5,$D$11:$AO$109))</f>
        <v>#REF!</v>
      </c>
      <c r="S412" s="308" t="e">
        <f t="array" ref="S412">_xlfn.XLOOKUP($B412,$B$11:$B$109,_xlfn.XLOOKUP(S$219,$D$5:$AO$5,$D$11:$AO$109))</f>
        <v>#REF!</v>
      </c>
      <c r="T412" s="308" t="e">
        <f t="array" ref="T412">_xlfn.XLOOKUP($B412,$B$11:$B$109,_xlfn.XLOOKUP(T$219,$D$5:$AO$5,$D$11:$AO$109))</f>
        <v>#REF!</v>
      </c>
      <c r="U412" s="308" t="e">
        <f t="array" ref="U412">_xlfn.XLOOKUP($B412,$B$11:$B$109,_xlfn.XLOOKUP(U$219,$D$5:$AO$5,$D$11:$AO$109))</f>
        <v>#REF!</v>
      </c>
      <c r="V412" s="308" t="e">
        <f t="array" ref="V412">_xlfn.XLOOKUP($B412,$B$11:$B$109,_xlfn.XLOOKUP(V$219,$D$5:$AO$5,$D$11:$AO$109))</f>
        <v>#REF!</v>
      </c>
      <c r="W412" s="308" t="e">
        <f t="array" ref="W412">_xlfn.XLOOKUP($B412,$B$11:$B$109,_xlfn.XLOOKUP(W$219,$D$5:$AO$5,$D$11:$AO$109))</f>
        <v>#REF!</v>
      </c>
      <c r="X412" s="308" t="e">
        <f t="array" ref="X412">_xlfn.XLOOKUP($B412,$B$11:$B$109,_xlfn.XLOOKUP(X$219,$D$5:$AO$5,$D$11:$AO$109))</f>
        <v>#REF!</v>
      </c>
      <c r="Y412" s="308" t="e">
        <f t="array" ref="Y412">_xlfn.XLOOKUP($B412,$B$11:$B$109,_xlfn.XLOOKUP(Y$219,$D$5:$AO$5,$D$11:$AO$109))</f>
        <v>#REF!</v>
      </c>
      <c r="Z412" s="308" t="e">
        <f t="array" ref="Z412">_xlfn.XLOOKUP($B412,$B$11:$B$109,_xlfn.XLOOKUP(Z$219,$D$5:$AO$5,$D$11:$AO$109))</f>
        <v>#REF!</v>
      </c>
      <c r="AA412" s="308"/>
      <c r="AB412" s="306" t="str">
        <f t="shared" si="196"/>
        <v>Other - New</v>
      </c>
      <c r="AC412" s="307" t="str">
        <f t="shared" si="197"/>
        <v>NZ$m</v>
      </c>
      <c r="AD412" s="307"/>
      <c r="AE412" s="307"/>
      <c r="AF412" s="308" t="e">
        <f t="array" ref="AF412">_xlfn.XLOOKUP($B412,$B$11:$B$109,_xlfn.XLOOKUP(AF$219,$D$5:$AO$5,$D$11:$AO$109))</f>
        <v>#REF!</v>
      </c>
      <c r="AG412" s="308" t="e">
        <f t="array" ref="AG412">_xlfn.XLOOKUP($B412,$B$11:$B$109,_xlfn.XLOOKUP(AG$219,$D$5:$AO$5,$D$11:$AO$109))</f>
        <v>#REF!</v>
      </c>
      <c r="AH412" s="308" t="e">
        <f t="array" ref="AH412">_xlfn.XLOOKUP($B412,$B$11:$B$109,_xlfn.XLOOKUP(AH$219,$D$5:$AO$5,$D$11:$AO$109))</f>
        <v>#REF!</v>
      </c>
      <c r="AI412" s="308" t="e">
        <f t="array" ref="AI412">_xlfn.XLOOKUP($B412,$B$11:$B$109,_xlfn.XLOOKUP(AI$219,$D$5:$AO$5,$D$11:$AO$109))</f>
        <v>#REF!</v>
      </c>
      <c r="AJ412" s="308" t="e">
        <f t="array" ref="AJ412">_xlfn.XLOOKUP($B412,$B$11:$B$109,_xlfn.XLOOKUP(AJ$219,$D$5:$AO$5,$D$11:$AO$109))</f>
        <v>#REF!</v>
      </c>
      <c r="AK412" s="308" t="e">
        <f t="array" ref="AK412">_xlfn.XLOOKUP($B412,$B$11:$B$109,_xlfn.XLOOKUP(AK$219,$D$5:$AO$5,$D$11:$AO$109))</f>
        <v>#REF!</v>
      </c>
      <c r="AL412" s="308" t="e">
        <f t="array" ref="AL412">_xlfn.XLOOKUP($B412,$B$11:$B$109,_xlfn.XLOOKUP(AL$219,$D$5:$AO$5,$D$11:$AO$109))</f>
        <v>#REF!</v>
      </c>
      <c r="AM412" s="308" t="e">
        <f t="array" ref="AM412">_xlfn.XLOOKUP($B412,$B$11:$B$109,_xlfn.XLOOKUP(AM$219,$D$5:$AO$5,$D$11:$AO$109))</f>
        <v>#REF!</v>
      </c>
      <c r="AN412" s="308" t="e">
        <f t="array" ref="AN412">_xlfn.XLOOKUP($B412,$B$11:$B$109,_xlfn.XLOOKUP(AN$219,$D$5:$AO$5,$D$11:$AO$109))</f>
        <v>#REF!</v>
      </c>
      <c r="AO412" s="308" t="e">
        <f t="array" ref="AO412">_xlfn.XLOOKUP($B412,$B$11:$B$109,_xlfn.XLOOKUP(AO$219,$D$5:$AO$5,$D$11:$AO$109))</f>
        <v>#REF!</v>
      </c>
    </row>
    <row r="413" spans="2:41" hidden="1" outlineLevel="1">
      <c r="B413" s="301"/>
      <c r="C413" s="309" t="s">
        <v>1510</v>
      </c>
      <c r="D413" s="303" t="s">
        <v>88</v>
      </c>
      <c r="E413" s="303"/>
      <c r="F413" s="303"/>
      <c r="G413" s="310" t="s">
        <v>967</v>
      </c>
      <c r="H413" s="310" t="s">
        <v>967</v>
      </c>
      <c r="I413" s="310" t="e">
        <f t="shared" ref="I413:Z413" si="222">I412/G412-1</f>
        <v>#REF!</v>
      </c>
      <c r="J413" s="310" t="e">
        <f t="shared" si="222"/>
        <v>#REF!</v>
      </c>
      <c r="K413" s="310" t="e">
        <f t="shared" si="222"/>
        <v>#REF!</v>
      </c>
      <c r="L413" s="310" t="e">
        <f t="shared" si="222"/>
        <v>#REF!</v>
      </c>
      <c r="M413" s="310" t="e">
        <f t="shared" si="222"/>
        <v>#REF!</v>
      </c>
      <c r="N413" s="310" t="e">
        <f t="shared" si="222"/>
        <v>#REF!</v>
      </c>
      <c r="O413" s="310" t="e">
        <f t="shared" si="222"/>
        <v>#REF!</v>
      </c>
      <c r="P413" s="310" t="e">
        <f t="shared" si="222"/>
        <v>#REF!</v>
      </c>
      <c r="Q413" s="310" t="e">
        <f t="shared" si="222"/>
        <v>#REF!</v>
      </c>
      <c r="R413" s="310" t="e">
        <f t="shared" si="222"/>
        <v>#REF!</v>
      </c>
      <c r="S413" s="310" t="e">
        <f t="shared" si="222"/>
        <v>#REF!</v>
      </c>
      <c r="T413" s="310" t="e">
        <f t="shared" si="222"/>
        <v>#REF!</v>
      </c>
      <c r="U413" s="310" t="e">
        <f t="shared" si="222"/>
        <v>#REF!</v>
      </c>
      <c r="V413" s="310" t="e">
        <f t="shared" si="222"/>
        <v>#REF!</v>
      </c>
      <c r="W413" s="310" t="e">
        <f t="shared" si="222"/>
        <v>#REF!</v>
      </c>
      <c r="X413" s="310" t="e">
        <f t="shared" si="222"/>
        <v>#REF!</v>
      </c>
      <c r="Y413" s="310" t="e">
        <f t="shared" si="222"/>
        <v>#REF!</v>
      </c>
      <c r="Z413" s="310" t="e">
        <f t="shared" si="222"/>
        <v>#REF!</v>
      </c>
      <c r="AA413" s="311"/>
      <c r="AB413" s="309" t="str">
        <f t="shared" si="196"/>
        <v>- Growth</v>
      </c>
      <c r="AC413" s="303" t="str">
        <f t="shared" si="197"/>
        <v>%</v>
      </c>
      <c r="AD413" s="303"/>
      <c r="AE413" s="303"/>
      <c r="AF413" s="310" t="s">
        <v>967</v>
      </c>
      <c r="AG413" s="310" t="e">
        <f t="shared" ref="AG413:AO413" si="223">AG412/AF412-1</f>
        <v>#REF!</v>
      </c>
      <c r="AH413" s="310" t="e">
        <f t="shared" si="223"/>
        <v>#REF!</v>
      </c>
      <c r="AI413" s="310" t="e">
        <f t="shared" si="223"/>
        <v>#REF!</v>
      </c>
      <c r="AJ413" s="310" t="e">
        <f t="shared" si="223"/>
        <v>#REF!</v>
      </c>
      <c r="AK413" s="310" t="e">
        <f t="shared" si="223"/>
        <v>#REF!</v>
      </c>
      <c r="AL413" s="310" t="e">
        <f t="shared" si="223"/>
        <v>#REF!</v>
      </c>
      <c r="AM413" s="310" t="e">
        <f t="shared" si="223"/>
        <v>#REF!</v>
      </c>
      <c r="AN413" s="310" t="e">
        <f t="shared" si="223"/>
        <v>#REF!</v>
      </c>
      <c r="AO413" s="310" t="e">
        <f t="shared" si="223"/>
        <v>#REF!</v>
      </c>
    </row>
    <row r="414" spans="2:41" collapsed="1">
      <c r="B414" s="301"/>
      <c r="C414" s="309" t="s">
        <v>1511</v>
      </c>
      <c r="D414" s="303" t="s">
        <v>88</v>
      </c>
      <c r="E414" s="303"/>
      <c r="F414" s="303"/>
      <c r="G414" s="310">
        <f t="shared" ref="G414:Z414" si="224">IFERROR(ROUND( G412 / G411,2) - 1, 0)</f>
        <v>0</v>
      </c>
      <c r="H414" s="310">
        <f t="shared" si="224"/>
        <v>0</v>
      </c>
      <c r="I414" s="310">
        <f t="shared" si="224"/>
        <v>0</v>
      </c>
      <c r="J414" s="310">
        <f t="shared" si="224"/>
        <v>0</v>
      </c>
      <c r="K414" s="310">
        <f t="shared" si="224"/>
        <v>0</v>
      </c>
      <c r="L414" s="310">
        <f t="shared" si="224"/>
        <v>0</v>
      </c>
      <c r="M414" s="310">
        <f t="shared" si="224"/>
        <v>0</v>
      </c>
      <c r="N414" s="310">
        <f t="shared" si="224"/>
        <v>0</v>
      </c>
      <c r="O414" s="310">
        <f t="shared" si="224"/>
        <v>0</v>
      </c>
      <c r="P414" s="310">
        <f t="shared" si="224"/>
        <v>0</v>
      </c>
      <c r="Q414" s="310">
        <f t="shared" si="224"/>
        <v>0</v>
      </c>
      <c r="R414" s="310">
        <f t="shared" si="224"/>
        <v>0</v>
      </c>
      <c r="S414" s="310">
        <f t="shared" si="224"/>
        <v>0</v>
      </c>
      <c r="T414" s="310">
        <f t="shared" si="224"/>
        <v>0</v>
      </c>
      <c r="U414" s="310">
        <f t="shared" si="224"/>
        <v>0</v>
      </c>
      <c r="V414" s="310">
        <f t="shared" si="224"/>
        <v>0</v>
      </c>
      <c r="W414" s="310">
        <f t="shared" si="224"/>
        <v>0</v>
      </c>
      <c r="X414" s="310">
        <f t="shared" si="224"/>
        <v>0</v>
      </c>
      <c r="Y414" s="310">
        <f t="shared" si="224"/>
        <v>0</v>
      </c>
      <c r="Z414" s="310">
        <f t="shared" si="224"/>
        <v>0</v>
      </c>
      <c r="AA414" s="310"/>
      <c r="AB414" s="309" t="str">
        <f t="shared" si="196"/>
        <v>- Revision</v>
      </c>
      <c r="AC414" s="303" t="str">
        <f t="shared" si="197"/>
        <v>%</v>
      </c>
      <c r="AD414" s="303"/>
      <c r="AE414" s="303"/>
      <c r="AF414" s="310">
        <f t="shared" ref="AF414:AO414" si="225">IFERROR(ROUND( AF412 / AF411,2) - 1, 0)</f>
        <v>0</v>
      </c>
      <c r="AG414" s="310">
        <f t="shared" si="225"/>
        <v>0</v>
      </c>
      <c r="AH414" s="310">
        <f t="shared" si="225"/>
        <v>0</v>
      </c>
      <c r="AI414" s="310">
        <f t="shared" si="225"/>
        <v>0</v>
      </c>
      <c r="AJ414" s="310">
        <f t="shared" si="225"/>
        <v>0</v>
      </c>
      <c r="AK414" s="310">
        <f t="shared" si="225"/>
        <v>0</v>
      </c>
      <c r="AL414" s="310">
        <f t="shared" si="225"/>
        <v>0</v>
      </c>
      <c r="AM414" s="310">
        <f t="shared" si="225"/>
        <v>0</v>
      </c>
      <c r="AN414" s="310">
        <f t="shared" si="225"/>
        <v>0</v>
      </c>
      <c r="AO414" s="310">
        <f t="shared" si="225"/>
        <v>0</v>
      </c>
    </row>
    <row r="415" spans="2:41">
      <c r="B415" s="301" t="s">
        <v>1471</v>
      </c>
      <c r="C415" s="302" t="s">
        <v>1556</v>
      </c>
      <c r="D415" s="303" t="str">
        <f t="array" ref="D415">_xlfn.XLOOKUP($B415,$B$114:$B$212,_xlfn.XLOOKUP(D$219,$D$5:$AO$5,$D$114:$AO$212))</f>
        <v>NZ$m</v>
      </c>
      <c r="E415" s="303"/>
      <c r="F415" s="303"/>
      <c r="G415" s="304" t="e">
        <f t="array" ref="G415">_xlfn.XLOOKUP($B415,$B$114:$B$212,_xlfn.XLOOKUP(G$219,$D$5:$AO$5,$D$114:$AO$212))</f>
        <v>#REF!</v>
      </c>
      <c r="H415" s="304" t="e">
        <f t="array" ref="H415">_xlfn.XLOOKUP($B415,$B$114:$B$212,_xlfn.XLOOKUP(H$219,$D$5:$AO$5,$D$114:$AO$212))</f>
        <v>#REF!</v>
      </c>
      <c r="I415" s="304" t="e">
        <f t="array" ref="I415">_xlfn.XLOOKUP($B415,$B$114:$B$212,_xlfn.XLOOKUP(I$219,$D$5:$AO$5,$D$114:$AO$212))</f>
        <v>#REF!</v>
      </c>
      <c r="J415" s="304" t="e">
        <f t="array" ref="J415">_xlfn.XLOOKUP($B415,$B$114:$B$212,_xlfn.XLOOKUP(J$219,$D$5:$AO$5,$D$114:$AO$212))</f>
        <v>#REF!</v>
      </c>
      <c r="K415" s="304" t="e">
        <f t="array" ref="K415">_xlfn.XLOOKUP($B415,$B$114:$B$212,_xlfn.XLOOKUP(K$219,$D$5:$AO$5,$D$114:$AO$212))</f>
        <v>#REF!</v>
      </c>
      <c r="L415" s="304" t="e">
        <f t="array" ref="L415">_xlfn.XLOOKUP($B415,$B$114:$B$212,_xlfn.XLOOKUP(L$219,$D$5:$AO$5,$D$114:$AO$212))</f>
        <v>#REF!</v>
      </c>
      <c r="M415" s="304" t="e">
        <f t="array" ref="M415">_xlfn.XLOOKUP($B415,$B$114:$B$212,_xlfn.XLOOKUP(M$219,$D$5:$AO$5,$D$114:$AO$212))</f>
        <v>#REF!</v>
      </c>
      <c r="N415" s="304" t="e">
        <f t="array" ref="N415">_xlfn.XLOOKUP($B415,$B$114:$B$212,_xlfn.XLOOKUP(N$219,$D$5:$AO$5,$D$114:$AO$212))</f>
        <v>#REF!</v>
      </c>
      <c r="O415" s="304" t="e">
        <f t="array" ref="O415">_xlfn.XLOOKUP($B415,$B$114:$B$212,_xlfn.XLOOKUP(O$219,$D$5:$AO$5,$D$114:$AO$212))</f>
        <v>#REF!</v>
      </c>
      <c r="P415" s="304" t="e">
        <f t="array" ref="P415">_xlfn.XLOOKUP($B415,$B$114:$B$212,_xlfn.XLOOKUP(P$219,$D$5:$AO$5,$D$114:$AO$212))</f>
        <v>#REF!</v>
      </c>
      <c r="Q415" s="304" t="e">
        <f t="array" ref="Q415">_xlfn.XLOOKUP($B415,$B$114:$B$212,_xlfn.XLOOKUP(Q$219,$D$5:$AO$5,$D$114:$AO$212))</f>
        <v>#REF!</v>
      </c>
      <c r="R415" s="304" t="e">
        <f t="array" ref="R415">_xlfn.XLOOKUP($B415,$B$114:$B$212,_xlfn.XLOOKUP(R$219,$D$5:$AO$5,$D$114:$AO$212))</f>
        <v>#REF!</v>
      </c>
      <c r="S415" s="304" t="e">
        <f t="array" ref="S415">_xlfn.XLOOKUP($B415,$B$114:$B$212,_xlfn.XLOOKUP(S$219,$D$5:$AO$5,$D$114:$AO$212))</f>
        <v>#REF!</v>
      </c>
      <c r="T415" s="304" t="e">
        <f t="array" ref="T415">_xlfn.XLOOKUP($B415,$B$114:$B$212,_xlfn.XLOOKUP(T$219,$D$5:$AO$5,$D$114:$AO$212))</f>
        <v>#REF!</v>
      </c>
      <c r="U415" s="304" t="e">
        <f t="array" ref="U415">_xlfn.XLOOKUP($B415,$B$114:$B$212,_xlfn.XLOOKUP(U$219,$D$5:$AO$5,$D$114:$AO$212))</f>
        <v>#REF!</v>
      </c>
      <c r="V415" s="304" t="e">
        <f t="array" ref="V415">_xlfn.XLOOKUP($B415,$B$114:$B$212,_xlfn.XLOOKUP(V$219,$D$5:$AO$5,$D$114:$AO$212))</f>
        <v>#REF!</v>
      </c>
      <c r="W415" s="304" t="e">
        <f t="array" ref="W415">_xlfn.XLOOKUP($B415,$B$114:$B$212,_xlfn.XLOOKUP(W$219,$D$5:$AO$5,$D$114:$AO$212))</f>
        <v>#REF!</v>
      </c>
      <c r="X415" s="304" t="e">
        <f t="array" ref="X415">_xlfn.XLOOKUP($B415,$B$114:$B$212,_xlfn.XLOOKUP(X$219,$D$5:$AO$5,$D$114:$AO$212))</f>
        <v>#REF!</v>
      </c>
      <c r="Y415" s="304" t="e">
        <f t="array" ref="Y415">_xlfn.XLOOKUP($B415,$B$114:$B$212,_xlfn.XLOOKUP(Y$219,$D$5:$AO$5,$D$114:$AO$212))</f>
        <v>#REF!</v>
      </c>
      <c r="Z415" s="304" t="e">
        <f t="array" ref="Z415">_xlfn.XLOOKUP($B415,$B$114:$B$212,_xlfn.XLOOKUP(Z$219,$D$5:$AO$5,$D$114:$AO$212))</f>
        <v>#REF!</v>
      </c>
      <c r="AA415" s="305"/>
      <c r="AB415" s="302" t="str">
        <f t="shared" si="196"/>
        <v>Total Normalised Revenue - old</v>
      </c>
      <c r="AC415" s="303" t="str">
        <f t="shared" si="197"/>
        <v>NZ$m</v>
      </c>
      <c r="AD415" s="303"/>
      <c r="AE415" s="303"/>
      <c r="AF415" s="304" t="e">
        <f t="array" ref="AF415">_xlfn.XLOOKUP($B415,$B$114:$B$212,_xlfn.XLOOKUP(AF$219,$D$5:$AO$5,$D$114:$AO$212))</f>
        <v>#REF!</v>
      </c>
      <c r="AG415" s="304" t="e">
        <f t="array" ref="AG415">_xlfn.XLOOKUP($B415,$B$114:$B$212,_xlfn.XLOOKUP(AG$219,$D$5:$AO$5,$D$114:$AO$212))</f>
        <v>#REF!</v>
      </c>
      <c r="AH415" s="304" t="e">
        <f t="array" ref="AH415">_xlfn.XLOOKUP($B415,$B$114:$B$212,_xlfn.XLOOKUP(AH$219,$D$5:$AO$5,$D$114:$AO$212))</f>
        <v>#REF!</v>
      </c>
      <c r="AI415" s="304" t="e">
        <f t="array" ref="AI415">_xlfn.XLOOKUP($B415,$B$114:$B$212,_xlfn.XLOOKUP(AI$219,$D$5:$AO$5,$D$114:$AO$212))</f>
        <v>#REF!</v>
      </c>
      <c r="AJ415" s="304" t="e">
        <f t="array" ref="AJ415">_xlfn.XLOOKUP($B415,$B$114:$B$212,_xlfn.XLOOKUP(AJ$219,$D$5:$AO$5,$D$114:$AO$212))</f>
        <v>#REF!</v>
      </c>
      <c r="AK415" s="304" t="e">
        <f t="array" ref="AK415">_xlfn.XLOOKUP($B415,$B$114:$B$212,_xlfn.XLOOKUP(AK$219,$D$5:$AO$5,$D$114:$AO$212))</f>
        <v>#REF!</v>
      </c>
      <c r="AL415" s="304" t="e">
        <f t="array" ref="AL415">_xlfn.XLOOKUP($B415,$B$114:$B$212,_xlfn.XLOOKUP(AL$219,$D$5:$AO$5,$D$114:$AO$212))</f>
        <v>#REF!</v>
      </c>
      <c r="AM415" s="304" t="e">
        <f t="array" ref="AM415">_xlfn.XLOOKUP($B415,$B$114:$B$212,_xlfn.XLOOKUP(AM$219,$D$5:$AO$5,$D$114:$AO$212))</f>
        <v>#REF!</v>
      </c>
      <c r="AN415" s="304" t="e">
        <f t="array" ref="AN415">_xlfn.XLOOKUP($B415,$B$114:$B$212,_xlfn.XLOOKUP(AN$219,$D$5:$AO$5,$D$114:$AO$212))</f>
        <v>#REF!</v>
      </c>
      <c r="AO415" s="304" t="e">
        <f t="array" ref="AO415">_xlfn.XLOOKUP($B415,$B$114:$B$212,_xlfn.XLOOKUP(AO$219,$D$5:$AO$5,$D$114:$AO$212))</f>
        <v>#REF!</v>
      </c>
    </row>
    <row r="416" spans="2:41">
      <c r="B416" s="301" t="s">
        <v>1471</v>
      </c>
      <c r="C416" s="306" t="s">
        <v>1557</v>
      </c>
      <c r="D416" s="307" t="str">
        <f t="array" ref="D416">_xlfn.XLOOKUP($B416,$B$11:$B$109,_xlfn.XLOOKUP(D$219,$D$5:$AO$5,$D$11:$AO$109))</f>
        <v>NZ$m</v>
      </c>
      <c r="E416" s="307"/>
      <c r="F416" s="307"/>
      <c r="G416" s="308" t="e">
        <f t="array" ref="G416">_xlfn.XLOOKUP($B416,$B$11:$B$109,_xlfn.XLOOKUP(G$219,$D$5:$AO$5,$D$11:$AO$109))</f>
        <v>#REF!</v>
      </c>
      <c r="H416" s="308" t="e">
        <f t="array" ref="H416">_xlfn.XLOOKUP($B416,$B$11:$B$109,_xlfn.XLOOKUP(H$219,$D$5:$AO$5,$D$11:$AO$109))</f>
        <v>#REF!</v>
      </c>
      <c r="I416" s="308" t="e">
        <f t="array" ref="I416">_xlfn.XLOOKUP($B416,$B$11:$B$109,_xlfn.XLOOKUP(I$219,$D$5:$AO$5,$D$11:$AO$109))</f>
        <v>#REF!</v>
      </c>
      <c r="J416" s="308" t="e">
        <f t="array" ref="J416">_xlfn.XLOOKUP($B416,$B$11:$B$109,_xlfn.XLOOKUP(J$219,$D$5:$AO$5,$D$11:$AO$109))</f>
        <v>#REF!</v>
      </c>
      <c r="K416" s="308" t="e">
        <f t="array" ref="K416">_xlfn.XLOOKUP($B416,$B$11:$B$109,_xlfn.XLOOKUP(K$219,$D$5:$AO$5,$D$11:$AO$109))</f>
        <v>#REF!</v>
      </c>
      <c r="L416" s="308" t="e">
        <f t="array" ref="L416">_xlfn.XLOOKUP($B416,$B$11:$B$109,_xlfn.XLOOKUP(L$219,$D$5:$AO$5,$D$11:$AO$109))</f>
        <v>#REF!</v>
      </c>
      <c r="M416" s="308" t="e">
        <f t="array" ref="M416">_xlfn.XLOOKUP($B416,$B$11:$B$109,_xlfn.XLOOKUP(M$219,$D$5:$AO$5,$D$11:$AO$109))</f>
        <v>#REF!</v>
      </c>
      <c r="N416" s="308" t="e">
        <f t="array" ref="N416">_xlfn.XLOOKUP($B416,$B$11:$B$109,_xlfn.XLOOKUP(N$219,$D$5:$AO$5,$D$11:$AO$109))</f>
        <v>#REF!</v>
      </c>
      <c r="O416" s="308" t="e">
        <f t="array" ref="O416">_xlfn.XLOOKUP($B416,$B$11:$B$109,_xlfn.XLOOKUP(O$219,$D$5:$AO$5,$D$11:$AO$109))</f>
        <v>#REF!</v>
      </c>
      <c r="P416" s="308" t="e">
        <f t="array" ref="P416">_xlfn.XLOOKUP($B416,$B$11:$B$109,_xlfn.XLOOKUP(P$219,$D$5:$AO$5,$D$11:$AO$109))</f>
        <v>#REF!</v>
      </c>
      <c r="Q416" s="308" t="e">
        <f t="array" ref="Q416">_xlfn.XLOOKUP($B416,$B$11:$B$109,_xlfn.XLOOKUP(Q$219,$D$5:$AO$5,$D$11:$AO$109))</f>
        <v>#REF!</v>
      </c>
      <c r="R416" s="308" t="e">
        <f t="array" ref="R416">_xlfn.XLOOKUP($B416,$B$11:$B$109,_xlfn.XLOOKUP(R$219,$D$5:$AO$5,$D$11:$AO$109))</f>
        <v>#REF!</v>
      </c>
      <c r="S416" s="308" t="e">
        <f t="array" ref="S416">_xlfn.XLOOKUP($B416,$B$11:$B$109,_xlfn.XLOOKUP(S$219,$D$5:$AO$5,$D$11:$AO$109))</f>
        <v>#REF!</v>
      </c>
      <c r="T416" s="308" t="e">
        <f t="array" ref="T416">_xlfn.XLOOKUP($B416,$B$11:$B$109,_xlfn.XLOOKUP(T$219,$D$5:$AO$5,$D$11:$AO$109))</f>
        <v>#REF!</v>
      </c>
      <c r="U416" s="308" t="e">
        <f t="array" ref="U416">_xlfn.XLOOKUP($B416,$B$11:$B$109,_xlfn.XLOOKUP(U$219,$D$5:$AO$5,$D$11:$AO$109))</f>
        <v>#REF!</v>
      </c>
      <c r="V416" s="308" t="e">
        <f t="array" ref="V416">_xlfn.XLOOKUP($B416,$B$11:$B$109,_xlfn.XLOOKUP(V$219,$D$5:$AO$5,$D$11:$AO$109))</f>
        <v>#REF!</v>
      </c>
      <c r="W416" s="308" t="e">
        <f t="array" ref="W416">_xlfn.XLOOKUP($B416,$B$11:$B$109,_xlfn.XLOOKUP(W$219,$D$5:$AO$5,$D$11:$AO$109))</f>
        <v>#REF!</v>
      </c>
      <c r="X416" s="308" t="e">
        <f t="array" ref="X416">_xlfn.XLOOKUP($B416,$B$11:$B$109,_xlfn.XLOOKUP(X$219,$D$5:$AO$5,$D$11:$AO$109))</f>
        <v>#REF!</v>
      </c>
      <c r="Y416" s="308" t="e">
        <f t="array" ref="Y416">_xlfn.XLOOKUP($B416,$B$11:$B$109,_xlfn.XLOOKUP(Y$219,$D$5:$AO$5,$D$11:$AO$109))</f>
        <v>#REF!</v>
      </c>
      <c r="Z416" s="308" t="e">
        <f t="array" ref="Z416">_xlfn.XLOOKUP($B416,$B$11:$B$109,_xlfn.XLOOKUP(Z$219,$D$5:$AO$5,$D$11:$AO$109))</f>
        <v>#REF!</v>
      </c>
      <c r="AA416" s="308"/>
      <c r="AB416" s="306" t="str">
        <f t="shared" si="196"/>
        <v>Total Normalised Revenue - New</v>
      </c>
      <c r="AC416" s="307" t="str">
        <f t="shared" si="197"/>
        <v>NZ$m</v>
      </c>
      <c r="AD416" s="307"/>
      <c r="AE416" s="307"/>
      <c r="AF416" s="308" t="e">
        <f t="array" ref="AF416">_xlfn.XLOOKUP($B416,$B$11:$B$109,_xlfn.XLOOKUP(AF$219,$D$5:$AO$5,$D$11:$AO$109))</f>
        <v>#REF!</v>
      </c>
      <c r="AG416" s="308" t="e">
        <f t="array" ref="AG416">_xlfn.XLOOKUP($B416,$B$11:$B$109,_xlfn.XLOOKUP(AG$219,$D$5:$AO$5,$D$11:$AO$109))</f>
        <v>#REF!</v>
      </c>
      <c r="AH416" s="308" t="e">
        <f t="array" ref="AH416">_xlfn.XLOOKUP($B416,$B$11:$B$109,_xlfn.XLOOKUP(AH$219,$D$5:$AO$5,$D$11:$AO$109))</f>
        <v>#REF!</v>
      </c>
      <c r="AI416" s="308" t="e">
        <f t="array" ref="AI416">_xlfn.XLOOKUP($B416,$B$11:$B$109,_xlfn.XLOOKUP(AI$219,$D$5:$AO$5,$D$11:$AO$109))</f>
        <v>#REF!</v>
      </c>
      <c r="AJ416" s="308" t="e">
        <f t="array" ref="AJ416">_xlfn.XLOOKUP($B416,$B$11:$B$109,_xlfn.XLOOKUP(AJ$219,$D$5:$AO$5,$D$11:$AO$109))</f>
        <v>#REF!</v>
      </c>
      <c r="AK416" s="308" t="e">
        <f t="array" ref="AK416">_xlfn.XLOOKUP($B416,$B$11:$B$109,_xlfn.XLOOKUP(AK$219,$D$5:$AO$5,$D$11:$AO$109))</f>
        <v>#REF!</v>
      </c>
      <c r="AL416" s="308" t="e">
        <f t="array" ref="AL416">_xlfn.XLOOKUP($B416,$B$11:$B$109,_xlfn.XLOOKUP(AL$219,$D$5:$AO$5,$D$11:$AO$109))</f>
        <v>#REF!</v>
      </c>
      <c r="AM416" s="308" t="e">
        <f t="array" ref="AM416">_xlfn.XLOOKUP($B416,$B$11:$B$109,_xlfn.XLOOKUP(AM$219,$D$5:$AO$5,$D$11:$AO$109))</f>
        <v>#REF!</v>
      </c>
      <c r="AN416" s="308" t="e">
        <f t="array" ref="AN416">_xlfn.XLOOKUP($B416,$B$11:$B$109,_xlfn.XLOOKUP(AN$219,$D$5:$AO$5,$D$11:$AO$109))</f>
        <v>#REF!</v>
      </c>
      <c r="AO416" s="308" t="e">
        <f t="array" ref="AO416">_xlfn.XLOOKUP($B416,$B$11:$B$109,_xlfn.XLOOKUP(AO$219,$D$5:$AO$5,$D$11:$AO$109))</f>
        <v>#REF!</v>
      </c>
    </row>
    <row r="417" spans="1:41" hidden="1" outlineLevel="1">
      <c r="B417" s="301"/>
      <c r="C417" s="309" t="s">
        <v>1510</v>
      </c>
      <c r="D417" s="303" t="s">
        <v>88</v>
      </c>
      <c r="E417" s="303"/>
      <c r="F417" s="303"/>
      <c r="G417" s="310" t="s">
        <v>967</v>
      </c>
      <c r="H417" s="310" t="s">
        <v>967</v>
      </c>
      <c r="I417" s="310" t="e">
        <f t="shared" ref="I417:Z417" si="226">I416/G416-1</f>
        <v>#REF!</v>
      </c>
      <c r="J417" s="310" t="e">
        <f t="shared" si="226"/>
        <v>#REF!</v>
      </c>
      <c r="K417" s="310" t="e">
        <f t="shared" si="226"/>
        <v>#REF!</v>
      </c>
      <c r="L417" s="310" t="e">
        <f t="shared" si="226"/>
        <v>#REF!</v>
      </c>
      <c r="M417" s="310" t="e">
        <f t="shared" si="226"/>
        <v>#REF!</v>
      </c>
      <c r="N417" s="310" t="e">
        <f t="shared" si="226"/>
        <v>#REF!</v>
      </c>
      <c r="O417" s="310" t="e">
        <f t="shared" si="226"/>
        <v>#REF!</v>
      </c>
      <c r="P417" s="310" t="e">
        <f t="shared" si="226"/>
        <v>#REF!</v>
      </c>
      <c r="Q417" s="310" t="e">
        <f t="shared" si="226"/>
        <v>#REF!</v>
      </c>
      <c r="R417" s="310" t="e">
        <f t="shared" si="226"/>
        <v>#REF!</v>
      </c>
      <c r="S417" s="310" t="e">
        <f t="shared" si="226"/>
        <v>#REF!</v>
      </c>
      <c r="T417" s="310" t="e">
        <f t="shared" si="226"/>
        <v>#REF!</v>
      </c>
      <c r="U417" s="310" t="e">
        <f t="shared" si="226"/>
        <v>#REF!</v>
      </c>
      <c r="V417" s="310" t="e">
        <f t="shared" si="226"/>
        <v>#REF!</v>
      </c>
      <c r="W417" s="310" t="e">
        <f t="shared" si="226"/>
        <v>#REF!</v>
      </c>
      <c r="X417" s="310" t="e">
        <f t="shared" si="226"/>
        <v>#REF!</v>
      </c>
      <c r="Y417" s="310" t="e">
        <f t="shared" si="226"/>
        <v>#REF!</v>
      </c>
      <c r="Z417" s="310" t="e">
        <f t="shared" si="226"/>
        <v>#REF!</v>
      </c>
      <c r="AA417" s="311"/>
      <c r="AB417" s="309" t="str">
        <f t="shared" si="196"/>
        <v>- Growth</v>
      </c>
      <c r="AC417" s="303" t="str">
        <f t="shared" si="197"/>
        <v>%</v>
      </c>
      <c r="AD417" s="303"/>
      <c r="AE417" s="303"/>
      <c r="AF417" s="310" t="s">
        <v>967</v>
      </c>
      <c r="AG417" s="310" t="e">
        <f t="shared" ref="AG417:AO417" si="227">AG416/AF416-1</f>
        <v>#REF!</v>
      </c>
      <c r="AH417" s="310" t="e">
        <f t="shared" si="227"/>
        <v>#REF!</v>
      </c>
      <c r="AI417" s="310" t="e">
        <f t="shared" si="227"/>
        <v>#REF!</v>
      </c>
      <c r="AJ417" s="310" t="e">
        <f t="shared" si="227"/>
        <v>#REF!</v>
      </c>
      <c r="AK417" s="310" t="e">
        <f t="shared" si="227"/>
        <v>#REF!</v>
      </c>
      <c r="AL417" s="310" t="e">
        <f t="shared" si="227"/>
        <v>#REF!</v>
      </c>
      <c r="AM417" s="310" t="e">
        <f t="shared" si="227"/>
        <v>#REF!</v>
      </c>
      <c r="AN417" s="310" t="e">
        <f t="shared" si="227"/>
        <v>#REF!</v>
      </c>
      <c r="AO417" s="310" t="e">
        <f t="shared" si="227"/>
        <v>#REF!</v>
      </c>
    </row>
    <row r="418" spans="1:41" collapsed="1">
      <c r="B418" s="301"/>
      <c r="C418" s="309" t="s">
        <v>1511</v>
      </c>
      <c r="D418" s="303" t="s">
        <v>88</v>
      </c>
      <c r="E418" s="303"/>
      <c r="F418" s="303"/>
      <c r="G418" s="310">
        <f t="shared" ref="G418:Z418" si="228">IFERROR(ROUND( G416 / G415,2) - 1, 0)</f>
        <v>0</v>
      </c>
      <c r="H418" s="310">
        <f t="shared" si="228"/>
        <v>0</v>
      </c>
      <c r="I418" s="310">
        <f t="shared" si="228"/>
        <v>0</v>
      </c>
      <c r="J418" s="310">
        <f t="shared" si="228"/>
        <v>0</v>
      </c>
      <c r="K418" s="310">
        <f t="shared" si="228"/>
        <v>0</v>
      </c>
      <c r="L418" s="310">
        <f t="shared" si="228"/>
        <v>0</v>
      </c>
      <c r="M418" s="310">
        <f t="shared" si="228"/>
        <v>0</v>
      </c>
      <c r="N418" s="310">
        <f t="shared" si="228"/>
        <v>0</v>
      </c>
      <c r="O418" s="310">
        <f t="shared" si="228"/>
        <v>0</v>
      </c>
      <c r="P418" s="310">
        <f t="shared" si="228"/>
        <v>0</v>
      </c>
      <c r="Q418" s="310">
        <f t="shared" si="228"/>
        <v>0</v>
      </c>
      <c r="R418" s="310">
        <f t="shared" si="228"/>
        <v>0</v>
      </c>
      <c r="S418" s="310">
        <f t="shared" si="228"/>
        <v>0</v>
      </c>
      <c r="T418" s="310">
        <f t="shared" si="228"/>
        <v>0</v>
      </c>
      <c r="U418" s="310">
        <f t="shared" si="228"/>
        <v>0</v>
      </c>
      <c r="V418" s="310">
        <f t="shared" si="228"/>
        <v>0</v>
      </c>
      <c r="W418" s="310">
        <f t="shared" si="228"/>
        <v>0</v>
      </c>
      <c r="X418" s="310">
        <f t="shared" si="228"/>
        <v>0</v>
      </c>
      <c r="Y418" s="310">
        <f t="shared" si="228"/>
        <v>0</v>
      </c>
      <c r="Z418" s="310">
        <f t="shared" si="228"/>
        <v>0</v>
      </c>
      <c r="AA418" s="310"/>
      <c r="AB418" s="309" t="str">
        <f t="shared" si="196"/>
        <v>- Revision</v>
      </c>
      <c r="AC418" s="303" t="str">
        <f t="shared" si="197"/>
        <v>%</v>
      </c>
      <c r="AD418" s="303"/>
      <c r="AE418" s="303"/>
      <c r="AF418" s="310">
        <f t="shared" ref="AF418:AO418" si="229">IFERROR(ROUND( AF416 / AF415,2) - 1, 0)</f>
        <v>0</v>
      </c>
      <c r="AG418" s="310">
        <f t="shared" si="229"/>
        <v>0</v>
      </c>
      <c r="AH418" s="310">
        <f t="shared" si="229"/>
        <v>0</v>
      </c>
      <c r="AI418" s="310">
        <f t="shared" si="229"/>
        <v>0</v>
      </c>
      <c r="AJ418" s="310">
        <f t="shared" si="229"/>
        <v>0</v>
      </c>
      <c r="AK418" s="310">
        <f t="shared" si="229"/>
        <v>0</v>
      </c>
      <c r="AL418" s="310">
        <f t="shared" si="229"/>
        <v>0</v>
      </c>
      <c r="AM418" s="310">
        <f t="shared" si="229"/>
        <v>0</v>
      </c>
      <c r="AN418" s="310">
        <f t="shared" si="229"/>
        <v>0</v>
      </c>
      <c r="AO418" s="310">
        <f t="shared" si="229"/>
        <v>0</v>
      </c>
    </row>
    <row r="419" spans="1:41">
      <c r="B419" s="301"/>
      <c r="C419" s="309"/>
      <c r="D419" s="303"/>
      <c r="E419" s="303"/>
      <c r="F419" s="303"/>
      <c r="G419" s="310"/>
      <c r="H419" s="310"/>
      <c r="I419" s="310"/>
      <c r="J419" s="310"/>
      <c r="K419" s="310"/>
      <c r="L419" s="310"/>
      <c r="M419" s="310"/>
      <c r="N419" s="310"/>
      <c r="O419" s="310"/>
      <c r="P419" s="310"/>
      <c r="Q419" s="310"/>
      <c r="R419" s="310"/>
      <c r="S419" s="310"/>
      <c r="T419" s="310"/>
      <c r="U419" s="310"/>
      <c r="V419" s="310"/>
      <c r="W419" s="310"/>
      <c r="X419" s="310"/>
      <c r="Y419" s="310"/>
      <c r="Z419" s="310"/>
      <c r="AA419" s="310"/>
      <c r="AB419" s="309"/>
      <c r="AC419" s="303"/>
      <c r="AD419" s="303"/>
      <c r="AE419" s="303"/>
      <c r="AF419" s="310"/>
      <c r="AG419" s="310"/>
      <c r="AH419" s="310"/>
      <c r="AI419" s="310"/>
      <c r="AJ419" s="310"/>
      <c r="AK419" s="310"/>
      <c r="AL419" s="310"/>
      <c r="AM419" s="310"/>
      <c r="AN419" s="310"/>
      <c r="AO419" s="310"/>
    </row>
    <row r="420" spans="1:41">
      <c r="A420" t="s">
        <v>7</v>
      </c>
      <c r="B420" s="301"/>
      <c r="C420" s="285" t="s">
        <v>1421</v>
      </c>
      <c r="D420" s="303"/>
      <c r="E420" s="303"/>
      <c r="F420" s="303"/>
      <c r="G420" s="310"/>
      <c r="H420" s="310"/>
      <c r="I420" s="310"/>
      <c r="J420" s="310"/>
      <c r="K420" s="310"/>
      <c r="L420" s="310"/>
      <c r="M420" s="310"/>
      <c r="N420" s="310"/>
      <c r="O420" s="310"/>
      <c r="P420" s="310"/>
      <c r="Q420" s="310"/>
      <c r="R420" s="310"/>
      <c r="S420" s="310"/>
      <c r="T420" s="310"/>
      <c r="U420" s="310"/>
      <c r="V420" s="310"/>
      <c r="W420" s="310"/>
      <c r="X420" s="310"/>
      <c r="Y420" s="310"/>
      <c r="Z420" s="310"/>
      <c r="AA420" s="310"/>
      <c r="AB420" s="309"/>
      <c r="AC420" s="303"/>
      <c r="AD420" s="303"/>
      <c r="AE420" s="303"/>
      <c r="AF420" s="310"/>
      <c r="AG420" s="310"/>
      <c r="AH420" s="310"/>
      <c r="AI420" s="310"/>
      <c r="AJ420" s="310"/>
      <c r="AK420" s="310"/>
      <c r="AL420" s="310"/>
      <c r="AM420" s="310"/>
      <c r="AN420" s="310"/>
      <c r="AO420" s="310"/>
    </row>
    <row r="421" spans="1:41">
      <c r="B421" s="301"/>
      <c r="C421" s="309"/>
      <c r="D421" s="303"/>
      <c r="E421" s="303"/>
      <c r="F421" s="303"/>
      <c r="G421" s="310"/>
      <c r="H421" s="310"/>
      <c r="I421" s="310"/>
      <c r="J421" s="310"/>
      <c r="K421" s="310"/>
      <c r="L421" s="310"/>
      <c r="M421" s="310"/>
      <c r="N421" s="310"/>
      <c r="O421" s="310"/>
      <c r="P421" s="310"/>
      <c r="Q421" s="310"/>
      <c r="R421" s="310"/>
      <c r="S421" s="310"/>
      <c r="T421" s="310"/>
      <c r="U421" s="310"/>
      <c r="V421" s="310"/>
      <c r="W421" s="310"/>
      <c r="X421" s="310"/>
      <c r="Y421" s="310"/>
      <c r="Z421" s="310"/>
      <c r="AA421" s="310"/>
      <c r="AB421" s="309"/>
      <c r="AC421" s="303"/>
      <c r="AD421" s="303"/>
      <c r="AE421" s="303"/>
      <c r="AF421" s="310"/>
      <c r="AG421" s="310"/>
      <c r="AH421" s="310"/>
      <c r="AI421" s="310"/>
      <c r="AJ421" s="310"/>
      <c r="AK421" s="310"/>
      <c r="AL421" s="310"/>
      <c r="AM421" s="310"/>
      <c r="AN421" s="310"/>
      <c r="AO421" s="310"/>
    </row>
    <row r="422" spans="1:41">
      <c r="B422" s="301"/>
      <c r="C422" s="291"/>
      <c r="D422" s="291" t="s">
        <v>1329</v>
      </c>
      <c r="E422" s="291"/>
      <c r="F422" s="291" t="str">
        <f t="shared" ref="F422:Z422" si="230">F$5</f>
        <v>VAL</v>
      </c>
      <c r="G422" s="292" t="str">
        <f t="shared" si="230"/>
        <v>1H21A</v>
      </c>
      <c r="H422" s="293" t="str">
        <f t="shared" si="230"/>
        <v>2H21A</v>
      </c>
      <c r="I422" s="292" t="str">
        <f t="shared" si="230"/>
        <v>1H22A</v>
      </c>
      <c r="J422" s="293" t="str">
        <f t="shared" si="230"/>
        <v>2H22A</v>
      </c>
      <c r="K422" s="292" t="str">
        <f t="shared" si="230"/>
        <v>1H23A</v>
      </c>
      <c r="L422" s="293" t="str">
        <f t="shared" si="230"/>
        <v>2H23A</v>
      </c>
      <c r="M422" s="292" t="str">
        <f t="shared" si="230"/>
        <v>1H24E</v>
      </c>
      <c r="N422" s="293" t="str">
        <f t="shared" si="230"/>
        <v>2H24E</v>
      </c>
      <c r="O422" s="292" t="str">
        <f t="shared" si="230"/>
        <v>1H25E</v>
      </c>
      <c r="P422" s="293" t="str">
        <f t="shared" si="230"/>
        <v>2H25E</v>
      </c>
      <c r="Q422" s="292" t="str">
        <f t="shared" si="230"/>
        <v>1H26E</v>
      </c>
      <c r="R422" s="293" t="str">
        <f t="shared" si="230"/>
        <v>2H26E</v>
      </c>
      <c r="S422" s="292" t="str">
        <f t="shared" si="230"/>
        <v>1H27E</v>
      </c>
      <c r="T422" s="293" t="str">
        <f t="shared" si="230"/>
        <v>2H27E</v>
      </c>
      <c r="U422" s="292" t="str">
        <f t="shared" si="230"/>
        <v>1H28E</v>
      </c>
      <c r="V422" s="293" t="str">
        <f t="shared" si="230"/>
        <v>2H28E</v>
      </c>
      <c r="W422" s="292" t="str">
        <f t="shared" si="230"/>
        <v>1H29E</v>
      </c>
      <c r="X422" s="293" t="str">
        <f t="shared" si="230"/>
        <v>2H29E</v>
      </c>
      <c r="Y422" s="292" t="str">
        <f t="shared" si="230"/>
        <v>1H30E</v>
      </c>
      <c r="Z422" s="293" t="str">
        <f t="shared" si="230"/>
        <v>2H30E</v>
      </c>
      <c r="AA422" s="294"/>
      <c r="AB422" s="291"/>
      <c r="AC422" s="291" t="s">
        <v>1329</v>
      </c>
      <c r="AD422" s="291"/>
      <c r="AE422" s="291" t="str">
        <f t="shared" ref="AE422:AO422" si="231">AE$5</f>
        <v>VAL</v>
      </c>
      <c r="AF422" s="295" t="str">
        <f t="shared" si="231"/>
        <v>FY21A</v>
      </c>
      <c r="AG422" s="295" t="str">
        <f t="shared" si="231"/>
        <v>FY22A</v>
      </c>
      <c r="AH422" s="295" t="str">
        <f t="shared" si="231"/>
        <v>FY23A</v>
      </c>
      <c r="AI422" s="295" t="str">
        <f t="shared" si="231"/>
        <v>FY24A</v>
      </c>
      <c r="AJ422" s="295" t="str">
        <f t="shared" si="231"/>
        <v>FY25A</v>
      </c>
      <c r="AK422" s="295" t="str">
        <f t="shared" si="231"/>
        <v>FY26A</v>
      </c>
      <c r="AL422" s="295" t="str">
        <f t="shared" si="231"/>
        <v>FY27A</v>
      </c>
      <c r="AM422" s="295" t="str">
        <f t="shared" si="231"/>
        <v>FY28A</v>
      </c>
      <c r="AN422" s="295" t="str">
        <f t="shared" si="231"/>
        <v>FY29A</v>
      </c>
      <c r="AO422" s="295" t="str">
        <f t="shared" si="231"/>
        <v>FY30A</v>
      </c>
    </row>
    <row r="423" spans="1:41">
      <c r="B423" s="301"/>
      <c r="C423" s="296"/>
      <c r="D423" s="296"/>
      <c r="E423" s="296"/>
      <c r="F423" s="296"/>
      <c r="G423" s="297">
        <f t="shared" ref="G423:Z423" si="232">G$6</f>
        <v>44196</v>
      </c>
      <c r="H423" s="298">
        <f t="shared" si="232"/>
        <v>44377</v>
      </c>
      <c r="I423" s="297">
        <f t="shared" si="232"/>
        <v>44561</v>
      </c>
      <c r="J423" s="298">
        <f t="shared" si="232"/>
        <v>44742</v>
      </c>
      <c r="K423" s="297">
        <f t="shared" si="232"/>
        <v>44926</v>
      </c>
      <c r="L423" s="298">
        <f t="shared" si="232"/>
        <v>45107</v>
      </c>
      <c r="M423" s="297">
        <f t="shared" si="232"/>
        <v>45291</v>
      </c>
      <c r="N423" s="298">
        <f t="shared" si="232"/>
        <v>45473</v>
      </c>
      <c r="O423" s="297">
        <f t="shared" si="232"/>
        <v>45657</v>
      </c>
      <c r="P423" s="298">
        <f t="shared" si="232"/>
        <v>45838</v>
      </c>
      <c r="Q423" s="297">
        <f t="shared" si="232"/>
        <v>46022</v>
      </c>
      <c r="R423" s="298">
        <f t="shared" si="232"/>
        <v>46203</v>
      </c>
      <c r="S423" s="297">
        <f t="shared" si="232"/>
        <v>46387</v>
      </c>
      <c r="T423" s="298">
        <f t="shared" si="232"/>
        <v>46568</v>
      </c>
      <c r="U423" s="297">
        <f t="shared" si="232"/>
        <v>46752</v>
      </c>
      <c r="V423" s="298">
        <f t="shared" si="232"/>
        <v>46934</v>
      </c>
      <c r="W423" s="297">
        <f t="shared" si="232"/>
        <v>47118</v>
      </c>
      <c r="X423" s="298">
        <f t="shared" si="232"/>
        <v>47299</v>
      </c>
      <c r="Y423" s="297">
        <f t="shared" si="232"/>
        <v>47483</v>
      </c>
      <c r="Z423" s="296">
        <f t="shared" si="232"/>
        <v>47664</v>
      </c>
      <c r="AA423" s="299"/>
      <c r="AB423" s="296"/>
      <c r="AC423" s="296"/>
      <c r="AD423" s="296"/>
      <c r="AE423" s="296"/>
      <c r="AF423" s="300">
        <f t="shared" ref="AF423:AO423" si="233">AF$6</f>
        <v>44377</v>
      </c>
      <c r="AG423" s="300">
        <f t="shared" si="233"/>
        <v>44742</v>
      </c>
      <c r="AH423" s="300">
        <f t="shared" si="233"/>
        <v>45107</v>
      </c>
      <c r="AI423" s="300">
        <f t="shared" si="233"/>
        <v>45473</v>
      </c>
      <c r="AJ423" s="300">
        <f t="shared" si="233"/>
        <v>45838</v>
      </c>
      <c r="AK423" s="300">
        <f t="shared" si="233"/>
        <v>46203</v>
      </c>
      <c r="AL423" s="300">
        <f t="shared" si="233"/>
        <v>46568</v>
      </c>
      <c r="AM423" s="300">
        <f t="shared" si="233"/>
        <v>46934</v>
      </c>
      <c r="AN423" s="300">
        <f t="shared" si="233"/>
        <v>47299</v>
      </c>
      <c r="AO423" s="300">
        <f t="shared" si="233"/>
        <v>47664</v>
      </c>
    </row>
    <row r="424" spans="1:41">
      <c r="B424" s="301" t="s">
        <v>1472</v>
      </c>
      <c r="C424" s="302" t="s">
        <v>1542</v>
      </c>
      <c r="D424" s="303" t="str">
        <f t="array" ref="D424">_xlfn.XLOOKUP($B424,$B$114:$B$212,_xlfn.XLOOKUP(D$219,$D$5:$AO$5,$D$114:$AO$212))</f>
        <v>NZ$m</v>
      </c>
      <c r="E424" s="303"/>
      <c r="F424" s="303"/>
      <c r="G424" s="304" t="e">
        <f t="array" ref="G424">_xlfn.XLOOKUP($B424,$B$114:$B$212,_xlfn.XLOOKUP(G$219,$D$5:$AO$5,$D$114:$AO$212))</f>
        <v>#REF!</v>
      </c>
      <c r="H424" s="304" t="e">
        <f t="array" ref="H424">_xlfn.XLOOKUP($B424,$B$114:$B$212,_xlfn.XLOOKUP(H$219,$D$5:$AO$5,$D$114:$AO$212))</f>
        <v>#REF!</v>
      </c>
      <c r="I424" s="304" t="e">
        <f t="array" ref="I424">_xlfn.XLOOKUP($B424,$B$114:$B$212,_xlfn.XLOOKUP(I$219,$D$5:$AO$5,$D$114:$AO$212))</f>
        <v>#REF!</v>
      </c>
      <c r="J424" s="304" t="e">
        <f t="array" ref="J424">_xlfn.XLOOKUP($B424,$B$114:$B$212,_xlfn.XLOOKUP(J$219,$D$5:$AO$5,$D$114:$AO$212))</f>
        <v>#REF!</v>
      </c>
      <c r="K424" s="304" t="e">
        <f t="array" ref="K424">_xlfn.XLOOKUP($B424,$B$114:$B$212,_xlfn.XLOOKUP(K$219,$D$5:$AO$5,$D$114:$AO$212))</f>
        <v>#REF!</v>
      </c>
      <c r="L424" s="304" t="e">
        <f t="array" ref="L424">_xlfn.XLOOKUP($B424,$B$114:$B$212,_xlfn.XLOOKUP(L$219,$D$5:$AO$5,$D$114:$AO$212))</f>
        <v>#REF!</v>
      </c>
      <c r="M424" s="304" t="e">
        <f t="array" ref="M424">_xlfn.XLOOKUP($B424,$B$114:$B$212,_xlfn.XLOOKUP(M$219,$D$5:$AO$5,$D$114:$AO$212))</f>
        <v>#REF!</v>
      </c>
      <c r="N424" s="304" t="e">
        <f t="array" ref="N424">_xlfn.XLOOKUP($B424,$B$114:$B$212,_xlfn.XLOOKUP(N$219,$D$5:$AO$5,$D$114:$AO$212))</f>
        <v>#REF!</v>
      </c>
      <c r="O424" s="304" t="e">
        <f t="array" ref="O424">_xlfn.XLOOKUP($B424,$B$114:$B$212,_xlfn.XLOOKUP(O$219,$D$5:$AO$5,$D$114:$AO$212))</f>
        <v>#REF!</v>
      </c>
      <c r="P424" s="304" t="e">
        <f t="array" ref="P424">_xlfn.XLOOKUP($B424,$B$114:$B$212,_xlfn.XLOOKUP(P$219,$D$5:$AO$5,$D$114:$AO$212))</f>
        <v>#REF!</v>
      </c>
      <c r="Q424" s="304" t="e">
        <f t="array" ref="Q424">_xlfn.XLOOKUP($B424,$B$114:$B$212,_xlfn.XLOOKUP(Q$219,$D$5:$AO$5,$D$114:$AO$212))</f>
        <v>#REF!</v>
      </c>
      <c r="R424" s="304" t="e">
        <f t="array" ref="R424">_xlfn.XLOOKUP($B424,$B$114:$B$212,_xlfn.XLOOKUP(R$219,$D$5:$AO$5,$D$114:$AO$212))</f>
        <v>#REF!</v>
      </c>
      <c r="S424" s="304" t="e">
        <f t="array" ref="S424">_xlfn.XLOOKUP($B424,$B$114:$B$212,_xlfn.XLOOKUP(S$219,$D$5:$AO$5,$D$114:$AO$212))</f>
        <v>#REF!</v>
      </c>
      <c r="T424" s="304" t="e">
        <f t="array" ref="T424">_xlfn.XLOOKUP($B424,$B$114:$B$212,_xlfn.XLOOKUP(T$219,$D$5:$AO$5,$D$114:$AO$212))</f>
        <v>#REF!</v>
      </c>
      <c r="U424" s="304" t="e">
        <f t="array" ref="U424">_xlfn.XLOOKUP($B424,$B$114:$B$212,_xlfn.XLOOKUP(U$219,$D$5:$AO$5,$D$114:$AO$212))</f>
        <v>#REF!</v>
      </c>
      <c r="V424" s="304" t="e">
        <f t="array" ref="V424">_xlfn.XLOOKUP($B424,$B$114:$B$212,_xlfn.XLOOKUP(V$219,$D$5:$AO$5,$D$114:$AO$212))</f>
        <v>#REF!</v>
      </c>
      <c r="W424" s="304" t="e">
        <f t="array" ref="W424">_xlfn.XLOOKUP($B424,$B$114:$B$212,_xlfn.XLOOKUP(W$219,$D$5:$AO$5,$D$114:$AO$212))</f>
        <v>#REF!</v>
      </c>
      <c r="X424" s="304" t="e">
        <f t="array" ref="X424">_xlfn.XLOOKUP($B424,$B$114:$B$212,_xlfn.XLOOKUP(X$219,$D$5:$AO$5,$D$114:$AO$212))</f>
        <v>#REF!</v>
      </c>
      <c r="Y424" s="304" t="e">
        <f t="array" ref="Y424">_xlfn.XLOOKUP($B424,$B$114:$B$212,_xlfn.XLOOKUP(Y$219,$D$5:$AO$5,$D$114:$AO$212))</f>
        <v>#REF!</v>
      </c>
      <c r="Z424" s="304" t="e">
        <f t="array" ref="Z424">_xlfn.XLOOKUP($B424,$B$114:$B$212,_xlfn.XLOOKUP(Z$219,$D$5:$AO$5,$D$114:$AO$212))</f>
        <v>#REF!</v>
      </c>
      <c r="AA424" s="305"/>
      <c r="AB424" s="302" t="str">
        <f t="shared" ref="AB424:AB463" si="234">C424</f>
        <v>Auckland - old</v>
      </c>
      <c r="AC424" s="303" t="str">
        <f t="shared" ref="AC424:AC463" si="235">D424</f>
        <v>NZ$m</v>
      </c>
      <c r="AD424" s="303"/>
      <c r="AE424" s="303"/>
      <c r="AF424" s="304" t="e">
        <f t="array" ref="AF424">_xlfn.XLOOKUP($B424,$B$114:$B$212,_xlfn.XLOOKUP(AF$219,$D$5:$AO$5,$D$114:$AO$212))</f>
        <v>#REF!</v>
      </c>
      <c r="AG424" s="304" t="e">
        <f t="array" ref="AG424">_xlfn.XLOOKUP($B424,$B$114:$B$212,_xlfn.XLOOKUP(AG$219,$D$5:$AO$5,$D$114:$AO$212))</f>
        <v>#REF!</v>
      </c>
      <c r="AH424" s="304" t="e">
        <f t="array" ref="AH424">_xlfn.XLOOKUP($B424,$B$114:$B$212,_xlfn.XLOOKUP(AH$219,$D$5:$AO$5,$D$114:$AO$212))</f>
        <v>#REF!</v>
      </c>
      <c r="AI424" s="304" t="e">
        <f t="array" ref="AI424">_xlfn.XLOOKUP($B424,$B$114:$B$212,_xlfn.XLOOKUP(AI$219,$D$5:$AO$5,$D$114:$AO$212))</f>
        <v>#REF!</v>
      </c>
      <c r="AJ424" s="304" t="e">
        <f t="array" ref="AJ424">_xlfn.XLOOKUP($B424,$B$114:$B$212,_xlfn.XLOOKUP(AJ$219,$D$5:$AO$5,$D$114:$AO$212))</f>
        <v>#REF!</v>
      </c>
      <c r="AK424" s="304" t="e">
        <f t="array" ref="AK424">_xlfn.XLOOKUP($B424,$B$114:$B$212,_xlfn.XLOOKUP(AK$219,$D$5:$AO$5,$D$114:$AO$212))</f>
        <v>#REF!</v>
      </c>
      <c r="AL424" s="304" t="e">
        <f t="array" ref="AL424">_xlfn.XLOOKUP($B424,$B$114:$B$212,_xlfn.XLOOKUP(AL$219,$D$5:$AO$5,$D$114:$AO$212))</f>
        <v>#REF!</v>
      </c>
      <c r="AM424" s="304" t="e">
        <f t="array" ref="AM424">_xlfn.XLOOKUP($B424,$B$114:$B$212,_xlfn.XLOOKUP(AM$219,$D$5:$AO$5,$D$114:$AO$212))</f>
        <v>#REF!</v>
      </c>
      <c r="AN424" s="304" t="e">
        <f t="array" ref="AN424">_xlfn.XLOOKUP($B424,$B$114:$B$212,_xlfn.XLOOKUP(AN$219,$D$5:$AO$5,$D$114:$AO$212))</f>
        <v>#REF!</v>
      </c>
      <c r="AO424" s="304" t="e">
        <f t="array" ref="AO424">_xlfn.XLOOKUP($B424,$B$114:$B$212,_xlfn.XLOOKUP(AO$219,$D$5:$AO$5,$D$114:$AO$212))</f>
        <v>#REF!</v>
      </c>
    </row>
    <row r="425" spans="1:41">
      <c r="B425" s="301" t="s">
        <v>1472</v>
      </c>
      <c r="C425" s="306" t="s">
        <v>1543</v>
      </c>
      <c r="D425" s="307" t="str">
        <f t="array" ref="D425">_xlfn.XLOOKUP($B425,$B$11:$B$109,_xlfn.XLOOKUP(D$219,$D$5:$AO$5,$D$11:$AO$109))</f>
        <v>NZ$m</v>
      </c>
      <c r="E425" s="307"/>
      <c r="F425" s="307"/>
      <c r="G425" s="308" t="e">
        <f t="array" ref="G425">_xlfn.XLOOKUP($B425,$B$11:$B$109,_xlfn.XLOOKUP(G$219,$D$5:$AO$5,$D$11:$AO$109))</f>
        <v>#REF!</v>
      </c>
      <c r="H425" s="308" t="e">
        <f t="array" ref="H425">_xlfn.XLOOKUP($B425,$B$11:$B$109,_xlfn.XLOOKUP(H$219,$D$5:$AO$5,$D$11:$AO$109))</f>
        <v>#REF!</v>
      </c>
      <c r="I425" s="308" t="e">
        <f t="array" ref="I425">_xlfn.XLOOKUP($B425,$B$11:$B$109,_xlfn.XLOOKUP(I$219,$D$5:$AO$5,$D$11:$AO$109))</f>
        <v>#REF!</v>
      </c>
      <c r="J425" s="308" t="e">
        <f t="array" ref="J425">_xlfn.XLOOKUP($B425,$B$11:$B$109,_xlfn.XLOOKUP(J$219,$D$5:$AO$5,$D$11:$AO$109))</f>
        <v>#REF!</v>
      </c>
      <c r="K425" s="308" t="e">
        <f t="array" ref="K425">_xlfn.XLOOKUP($B425,$B$11:$B$109,_xlfn.XLOOKUP(K$219,$D$5:$AO$5,$D$11:$AO$109))</f>
        <v>#REF!</v>
      </c>
      <c r="L425" s="308" t="e">
        <f t="array" ref="L425">_xlfn.XLOOKUP($B425,$B$11:$B$109,_xlfn.XLOOKUP(L$219,$D$5:$AO$5,$D$11:$AO$109))</f>
        <v>#REF!</v>
      </c>
      <c r="M425" s="308" t="e">
        <f t="array" ref="M425">_xlfn.XLOOKUP($B425,$B$11:$B$109,_xlfn.XLOOKUP(M$219,$D$5:$AO$5,$D$11:$AO$109))</f>
        <v>#REF!</v>
      </c>
      <c r="N425" s="308" t="e">
        <f t="array" ref="N425">_xlfn.XLOOKUP($B425,$B$11:$B$109,_xlfn.XLOOKUP(N$219,$D$5:$AO$5,$D$11:$AO$109))</f>
        <v>#REF!</v>
      </c>
      <c r="O425" s="308" t="e">
        <f t="array" ref="O425">_xlfn.XLOOKUP($B425,$B$11:$B$109,_xlfn.XLOOKUP(O$219,$D$5:$AO$5,$D$11:$AO$109))</f>
        <v>#REF!</v>
      </c>
      <c r="P425" s="308" t="e">
        <f t="array" ref="P425">_xlfn.XLOOKUP($B425,$B$11:$B$109,_xlfn.XLOOKUP(P$219,$D$5:$AO$5,$D$11:$AO$109))</f>
        <v>#REF!</v>
      </c>
      <c r="Q425" s="308" t="e">
        <f t="array" ref="Q425">_xlfn.XLOOKUP($B425,$B$11:$B$109,_xlfn.XLOOKUP(Q$219,$D$5:$AO$5,$D$11:$AO$109))</f>
        <v>#REF!</v>
      </c>
      <c r="R425" s="308" t="e">
        <f t="array" ref="R425">_xlfn.XLOOKUP($B425,$B$11:$B$109,_xlfn.XLOOKUP(R$219,$D$5:$AO$5,$D$11:$AO$109))</f>
        <v>#REF!</v>
      </c>
      <c r="S425" s="308" t="e">
        <f t="array" ref="S425">_xlfn.XLOOKUP($B425,$B$11:$B$109,_xlfn.XLOOKUP(S$219,$D$5:$AO$5,$D$11:$AO$109))</f>
        <v>#REF!</v>
      </c>
      <c r="T425" s="308" t="e">
        <f t="array" ref="T425">_xlfn.XLOOKUP($B425,$B$11:$B$109,_xlfn.XLOOKUP(T$219,$D$5:$AO$5,$D$11:$AO$109))</f>
        <v>#REF!</v>
      </c>
      <c r="U425" s="308" t="e">
        <f t="array" ref="U425">_xlfn.XLOOKUP($B425,$B$11:$B$109,_xlfn.XLOOKUP(U$219,$D$5:$AO$5,$D$11:$AO$109))</f>
        <v>#REF!</v>
      </c>
      <c r="V425" s="308" t="e">
        <f t="array" ref="V425">_xlfn.XLOOKUP($B425,$B$11:$B$109,_xlfn.XLOOKUP(V$219,$D$5:$AO$5,$D$11:$AO$109))</f>
        <v>#REF!</v>
      </c>
      <c r="W425" s="308" t="e">
        <f t="array" ref="W425">_xlfn.XLOOKUP($B425,$B$11:$B$109,_xlfn.XLOOKUP(W$219,$D$5:$AO$5,$D$11:$AO$109))</f>
        <v>#REF!</v>
      </c>
      <c r="X425" s="308" t="e">
        <f t="array" ref="X425">_xlfn.XLOOKUP($B425,$B$11:$B$109,_xlfn.XLOOKUP(X$219,$D$5:$AO$5,$D$11:$AO$109))</f>
        <v>#REF!</v>
      </c>
      <c r="Y425" s="308" t="e">
        <f t="array" ref="Y425">_xlfn.XLOOKUP($B425,$B$11:$B$109,_xlfn.XLOOKUP(Y$219,$D$5:$AO$5,$D$11:$AO$109))</f>
        <v>#REF!</v>
      </c>
      <c r="Z425" s="308" t="e">
        <f t="array" ref="Z425">_xlfn.XLOOKUP($B425,$B$11:$B$109,_xlfn.XLOOKUP(Z$219,$D$5:$AO$5,$D$11:$AO$109))</f>
        <v>#REF!</v>
      </c>
      <c r="AA425" s="308"/>
      <c r="AB425" s="306" t="str">
        <f t="shared" si="234"/>
        <v>Auckland - New</v>
      </c>
      <c r="AC425" s="307" t="str">
        <f t="shared" si="235"/>
        <v>NZ$m</v>
      </c>
      <c r="AD425" s="307"/>
      <c r="AE425" s="307"/>
      <c r="AF425" s="308" t="e">
        <f t="array" ref="AF425">_xlfn.XLOOKUP($B425,$B$11:$B$109,_xlfn.XLOOKUP(AF$219,$D$5:$AO$5,$D$11:$AO$109))</f>
        <v>#REF!</v>
      </c>
      <c r="AG425" s="308" t="e">
        <f t="array" ref="AG425">_xlfn.XLOOKUP($B425,$B$11:$B$109,_xlfn.XLOOKUP(AG$219,$D$5:$AO$5,$D$11:$AO$109))</f>
        <v>#REF!</v>
      </c>
      <c r="AH425" s="308" t="e">
        <f t="array" ref="AH425">_xlfn.XLOOKUP($B425,$B$11:$B$109,_xlfn.XLOOKUP(AH$219,$D$5:$AO$5,$D$11:$AO$109))</f>
        <v>#REF!</v>
      </c>
      <c r="AI425" s="308" t="e">
        <f t="array" ref="AI425">_xlfn.XLOOKUP($B425,$B$11:$B$109,_xlfn.XLOOKUP(AI$219,$D$5:$AO$5,$D$11:$AO$109))</f>
        <v>#REF!</v>
      </c>
      <c r="AJ425" s="308" t="e">
        <f t="array" ref="AJ425">_xlfn.XLOOKUP($B425,$B$11:$B$109,_xlfn.XLOOKUP(AJ$219,$D$5:$AO$5,$D$11:$AO$109))</f>
        <v>#REF!</v>
      </c>
      <c r="AK425" s="308" t="e">
        <f t="array" ref="AK425">_xlfn.XLOOKUP($B425,$B$11:$B$109,_xlfn.XLOOKUP(AK$219,$D$5:$AO$5,$D$11:$AO$109))</f>
        <v>#REF!</v>
      </c>
      <c r="AL425" s="308" t="e">
        <f t="array" ref="AL425">_xlfn.XLOOKUP($B425,$B$11:$B$109,_xlfn.XLOOKUP(AL$219,$D$5:$AO$5,$D$11:$AO$109))</f>
        <v>#REF!</v>
      </c>
      <c r="AM425" s="308" t="e">
        <f t="array" ref="AM425">_xlfn.XLOOKUP($B425,$B$11:$B$109,_xlfn.XLOOKUP(AM$219,$D$5:$AO$5,$D$11:$AO$109))</f>
        <v>#REF!</v>
      </c>
      <c r="AN425" s="308" t="e">
        <f t="array" ref="AN425">_xlfn.XLOOKUP($B425,$B$11:$B$109,_xlfn.XLOOKUP(AN$219,$D$5:$AO$5,$D$11:$AO$109))</f>
        <v>#REF!</v>
      </c>
      <c r="AO425" s="308" t="e">
        <f t="array" ref="AO425">_xlfn.XLOOKUP($B425,$B$11:$B$109,_xlfn.XLOOKUP(AO$219,$D$5:$AO$5,$D$11:$AO$109))</f>
        <v>#REF!</v>
      </c>
    </row>
    <row r="426" spans="1:41" hidden="1" outlineLevel="1">
      <c r="B426" s="301"/>
      <c r="C426" s="309" t="s">
        <v>1510</v>
      </c>
      <c r="D426" s="303" t="s">
        <v>88</v>
      </c>
      <c r="E426" s="303"/>
      <c r="F426" s="303"/>
      <c r="G426" s="310" t="s">
        <v>967</v>
      </c>
      <c r="H426" s="310" t="s">
        <v>967</v>
      </c>
      <c r="I426" s="310" t="e">
        <f t="shared" ref="I426:Z426" si="236">I425/G425-1</f>
        <v>#REF!</v>
      </c>
      <c r="J426" s="310" t="e">
        <f t="shared" si="236"/>
        <v>#REF!</v>
      </c>
      <c r="K426" s="310" t="e">
        <f t="shared" si="236"/>
        <v>#REF!</v>
      </c>
      <c r="L426" s="310" t="e">
        <f t="shared" si="236"/>
        <v>#REF!</v>
      </c>
      <c r="M426" s="310" t="e">
        <f t="shared" si="236"/>
        <v>#REF!</v>
      </c>
      <c r="N426" s="310" t="e">
        <f t="shared" si="236"/>
        <v>#REF!</v>
      </c>
      <c r="O426" s="310" t="e">
        <f t="shared" si="236"/>
        <v>#REF!</v>
      </c>
      <c r="P426" s="310" t="e">
        <f t="shared" si="236"/>
        <v>#REF!</v>
      </c>
      <c r="Q426" s="310" t="e">
        <f t="shared" si="236"/>
        <v>#REF!</v>
      </c>
      <c r="R426" s="310" t="e">
        <f t="shared" si="236"/>
        <v>#REF!</v>
      </c>
      <c r="S426" s="310" t="e">
        <f t="shared" si="236"/>
        <v>#REF!</v>
      </c>
      <c r="T426" s="310" t="e">
        <f t="shared" si="236"/>
        <v>#REF!</v>
      </c>
      <c r="U426" s="310" t="e">
        <f t="shared" si="236"/>
        <v>#REF!</v>
      </c>
      <c r="V426" s="310" t="e">
        <f t="shared" si="236"/>
        <v>#REF!</v>
      </c>
      <c r="W426" s="310" t="e">
        <f t="shared" si="236"/>
        <v>#REF!</v>
      </c>
      <c r="X426" s="310" t="e">
        <f t="shared" si="236"/>
        <v>#REF!</v>
      </c>
      <c r="Y426" s="310" t="e">
        <f t="shared" si="236"/>
        <v>#REF!</v>
      </c>
      <c r="Z426" s="310" t="e">
        <f t="shared" si="236"/>
        <v>#REF!</v>
      </c>
      <c r="AA426" s="311"/>
      <c r="AB426" s="309" t="str">
        <f t="shared" si="234"/>
        <v>- Growth</v>
      </c>
      <c r="AC426" s="303" t="str">
        <f t="shared" si="235"/>
        <v>%</v>
      </c>
      <c r="AD426" s="303"/>
      <c r="AE426" s="303"/>
      <c r="AF426" s="310" t="s">
        <v>967</v>
      </c>
      <c r="AG426" s="310" t="e">
        <f t="shared" ref="AG426:AO426" si="237">AG425/AF425-1</f>
        <v>#REF!</v>
      </c>
      <c r="AH426" s="310" t="e">
        <f t="shared" si="237"/>
        <v>#REF!</v>
      </c>
      <c r="AI426" s="310" t="e">
        <f t="shared" si="237"/>
        <v>#REF!</v>
      </c>
      <c r="AJ426" s="310" t="e">
        <f t="shared" si="237"/>
        <v>#REF!</v>
      </c>
      <c r="AK426" s="310" t="e">
        <f t="shared" si="237"/>
        <v>#REF!</v>
      </c>
      <c r="AL426" s="310" t="e">
        <f t="shared" si="237"/>
        <v>#REF!</v>
      </c>
      <c r="AM426" s="310" t="e">
        <f t="shared" si="237"/>
        <v>#REF!</v>
      </c>
      <c r="AN426" s="310" t="e">
        <f t="shared" si="237"/>
        <v>#REF!</v>
      </c>
      <c r="AO426" s="310" t="e">
        <f t="shared" si="237"/>
        <v>#REF!</v>
      </c>
    </row>
    <row r="427" spans="1:41" collapsed="1">
      <c r="B427" s="301"/>
      <c r="C427" s="309" t="s">
        <v>1511</v>
      </c>
      <c r="D427" s="303" t="s">
        <v>88</v>
      </c>
      <c r="E427" s="303"/>
      <c r="F427" s="303"/>
      <c r="G427" s="310">
        <f t="shared" ref="G427:Z427" si="238">IFERROR(ROUND( G425 / G424,2) - 1, 0)</f>
        <v>0</v>
      </c>
      <c r="H427" s="310">
        <f t="shared" si="238"/>
        <v>0</v>
      </c>
      <c r="I427" s="310">
        <f t="shared" si="238"/>
        <v>0</v>
      </c>
      <c r="J427" s="310">
        <f t="shared" si="238"/>
        <v>0</v>
      </c>
      <c r="K427" s="310">
        <f t="shared" si="238"/>
        <v>0</v>
      </c>
      <c r="L427" s="310">
        <f t="shared" si="238"/>
        <v>0</v>
      </c>
      <c r="M427" s="310">
        <f t="shared" si="238"/>
        <v>0</v>
      </c>
      <c r="N427" s="310">
        <f t="shared" si="238"/>
        <v>0</v>
      </c>
      <c r="O427" s="310">
        <f t="shared" si="238"/>
        <v>0</v>
      </c>
      <c r="P427" s="310">
        <f t="shared" si="238"/>
        <v>0</v>
      </c>
      <c r="Q427" s="310">
        <f t="shared" si="238"/>
        <v>0</v>
      </c>
      <c r="R427" s="310">
        <f t="shared" si="238"/>
        <v>0</v>
      </c>
      <c r="S427" s="310">
        <f t="shared" si="238"/>
        <v>0</v>
      </c>
      <c r="T427" s="310">
        <f t="shared" si="238"/>
        <v>0</v>
      </c>
      <c r="U427" s="310">
        <f t="shared" si="238"/>
        <v>0</v>
      </c>
      <c r="V427" s="310">
        <f t="shared" si="238"/>
        <v>0</v>
      </c>
      <c r="W427" s="310">
        <f t="shared" si="238"/>
        <v>0</v>
      </c>
      <c r="X427" s="310">
        <f t="shared" si="238"/>
        <v>0</v>
      </c>
      <c r="Y427" s="310">
        <f t="shared" si="238"/>
        <v>0</v>
      </c>
      <c r="Z427" s="310">
        <f t="shared" si="238"/>
        <v>0</v>
      </c>
      <c r="AA427" s="310"/>
      <c r="AB427" s="309" t="str">
        <f t="shared" si="234"/>
        <v>- Revision</v>
      </c>
      <c r="AC427" s="303" t="str">
        <f t="shared" si="235"/>
        <v>%</v>
      </c>
      <c r="AD427" s="303"/>
      <c r="AE427" s="303"/>
      <c r="AF427" s="310">
        <f t="shared" ref="AF427:AO427" si="239">IFERROR(ROUND( AF425 / AF424,2) - 1, 0)</f>
        <v>0</v>
      </c>
      <c r="AG427" s="310">
        <f t="shared" si="239"/>
        <v>0</v>
      </c>
      <c r="AH427" s="310">
        <f t="shared" si="239"/>
        <v>0</v>
      </c>
      <c r="AI427" s="310">
        <f t="shared" si="239"/>
        <v>0</v>
      </c>
      <c r="AJ427" s="310">
        <f t="shared" si="239"/>
        <v>0</v>
      </c>
      <c r="AK427" s="310">
        <f t="shared" si="239"/>
        <v>0</v>
      </c>
      <c r="AL427" s="310">
        <f t="shared" si="239"/>
        <v>0</v>
      </c>
      <c r="AM427" s="310">
        <f t="shared" si="239"/>
        <v>0</v>
      </c>
      <c r="AN427" s="310">
        <f t="shared" si="239"/>
        <v>0</v>
      </c>
      <c r="AO427" s="310">
        <f t="shared" si="239"/>
        <v>0</v>
      </c>
    </row>
    <row r="428" spans="1:41">
      <c r="B428" s="301" t="s">
        <v>1473</v>
      </c>
      <c r="C428" s="302" t="s">
        <v>1544</v>
      </c>
      <c r="D428" s="303" t="str">
        <f t="array" ref="D428">_xlfn.XLOOKUP($B428,$B$114:$B$212,_xlfn.XLOOKUP(D$219,$D$5:$AO$5,$D$114:$AO$212))</f>
        <v>NZ$m</v>
      </c>
      <c r="E428" s="303"/>
      <c r="F428" s="303"/>
      <c r="G428" s="304" t="e">
        <f t="array" ref="G428">_xlfn.XLOOKUP($B428,$B$114:$B$212,_xlfn.XLOOKUP(G$219,$D$5:$AO$5,$D$114:$AO$212))</f>
        <v>#REF!</v>
      </c>
      <c r="H428" s="304" t="e">
        <f t="array" ref="H428">_xlfn.XLOOKUP($B428,$B$114:$B$212,_xlfn.XLOOKUP(H$219,$D$5:$AO$5,$D$114:$AO$212))</f>
        <v>#REF!</v>
      </c>
      <c r="I428" s="304" t="e">
        <f t="array" ref="I428">_xlfn.XLOOKUP($B428,$B$114:$B$212,_xlfn.XLOOKUP(I$219,$D$5:$AO$5,$D$114:$AO$212))</f>
        <v>#REF!</v>
      </c>
      <c r="J428" s="304" t="e">
        <f t="array" ref="J428">_xlfn.XLOOKUP($B428,$B$114:$B$212,_xlfn.XLOOKUP(J$219,$D$5:$AO$5,$D$114:$AO$212))</f>
        <v>#REF!</v>
      </c>
      <c r="K428" s="304" t="e">
        <f t="array" ref="K428">_xlfn.XLOOKUP($B428,$B$114:$B$212,_xlfn.XLOOKUP(K$219,$D$5:$AO$5,$D$114:$AO$212))</f>
        <v>#REF!</v>
      </c>
      <c r="L428" s="304" t="e">
        <f t="array" ref="L428">_xlfn.XLOOKUP($B428,$B$114:$B$212,_xlfn.XLOOKUP(L$219,$D$5:$AO$5,$D$114:$AO$212))</f>
        <v>#REF!</v>
      </c>
      <c r="M428" s="304" t="e">
        <f t="array" ref="M428">_xlfn.XLOOKUP($B428,$B$114:$B$212,_xlfn.XLOOKUP(M$219,$D$5:$AO$5,$D$114:$AO$212))</f>
        <v>#REF!</v>
      </c>
      <c r="N428" s="304" t="e">
        <f t="array" ref="N428">_xlfn.XLOOKUP($B428,$B$114:$B$212,_xlfn.XLOOKUP(N$219,$D$5:$AO$5,$D$114:$AO$212))</f>
        <v>#REF!</v>
      </c>
      <c r="O428" s="304" t="e">
        <f t="array" ref="O428">_xlfn.XLOOKUP($B428,$B$114:$B$212,_xlfn.XLOOKUP(O$219,$D$5:$AO$5,$D$114:$AO$212))</f>
        <v>#REF!</v>
      </c>
      <c r="P428" s="304" t="e">
        <f t="array" ref="P428">_xlfn.XLOOKUP($B428,$B$114:$B$212,_xlfn.XLOOKUP(P$219,$D$5:$AO$5,$D$114:$AO$212))</f>
        <v>#REF!</v>
      </c>
      <c r="Q428" s="304" t="e">
        <f t="array" ref="Q428">_xlfn.XLOOKUP($B428,$B$114:$B$212,_xlfn.XLOOKUP(Q$219,$D$5:$AO$5,$D$114:$AO$212))</f>
        <v>#REF!</v>
      </c>
      <c r="R428" s="304" t="e">
        <f t="array" ref="R428">_xlfn.XLOOKUP($B428,$B$114:$B$212,_xlfn.XLOOKUP(R$219,$D$5:$AO$5,$D$114:$AO$212))</f>
        <v>#REF!</v>
      </c>
      <c r="S428" s="304" t="e">
        <f t="array" ref="S428">_xlfn.XLOOKUP($B428,$B$114:$B$212,_xlfn.XLOOKUP(S$219,$D$5:$AO$5,$D$114:$AO$212))</f>
        <v>#REF!</v>
      </c>
      <c r="T428" s="304" t="e">
        <f t="array" ref="T428">_xlfn.XLOOKUP($B428,$B$114:$B$212,_xlfn.XLOOKUP(T$219,$D$5:$AO$5,$D$114:$AO$212))</f>
        <v>#REF!</v>
      </c>
      <c r="U428" s="304" t="e">
        <f t="array" ref="U428">_xlfn.XLOOKUP($B428,$B$114:$B$212,_xlfn.XLOOKUP(U$219,$D$5:$AO$5,$D$114:$AO$212))</f>
        <v>#REF!</v>
      </c>
      <c r="V428" s="304" t="e">
        <f t="array" ref="V428">_xlfn.XLOOKUP($B428,$B$114:$B$212,_xlfn.XLOOKUP(V$219,$D$5:$AO$5,$D$114:$AO$212))</f>
        <v>#REF!</v>
      </c>
      <c r="W428" s="304" t="e">
        <f t="array" ref="W428">_xlfn.XLOOKUP($B428,$B$114:$B$212,_xlfn.XLOOKUP(W$219,$D$5:$AO$5,$D$114:$AO$212))</f>
        <v>#REF!</v>
      </c>
      <c r="X428" s="304" t="e">
        <f t="array" ref="X428">_xlfn.XLOOKUP($B428,$B$114:$B$212,_xlfn.XLOOKUP(X$219,$D$5:$AO$5,$D$114:$AO$212))</f>
        <v>#REF!</v>
      </c>
      <c r="Y428" s="304" t="e">
        <f t="array" ref="Y428">_xlfn.XLOOKUP($B428,$B$114:$B$212,_xlfn.XLOOKUP(Y$219,$D$5:$AO$5,$D$114:$AO$212))</f>
        <v>#REF!</v>
      </c>
      <c r="Z428" s="304" t="e">
        <f t="array" ref="Z428">_xlfn.XLOOKUP($B428,$B$114:$B$212,_xlfn.XLOOKUP(Z$219,$D$5:$AO$5,$D$114:$AO$212))</f>
        <v>#REF!</v>
      </c>
      <c r="AA428" s="305"/>
      <c r="AB428" s="302" t="str">
        <f t="shared" si="234"/>
        <v>Hamilton - old</v>
      </c>
      <c r="AC428" s="303" t="str">
        <f t="shared" si="235"/>
        <v>NZ$m</v>
      </c>
      <c r="AD428" s="303"/>
      <c r="AE428" s="303"/>
      <c r="AF428" s="304" t="e">
        <f t="array" ref="AF428">_xlfn.XLOOKUP($B428,$B$114:$B$212,_xlfn.XLOOKUP(AF$219,$D$5:$AO$5,$D$114:$AO$212))</f>
        <v>#REF!</v>
      </c>
      <c r="AG428" s="304" t="e">
        <f t="array" ref="AG428">_xlfn.XLOOKUP($B428,$B$114:$B$212,_xlfn.XLOOKUP(AG$219,$D$5:$AO$5,$D$114:$AO$212))</f>
        <v>#REF!</v>
      </c>
      <c r="AH428" s="304" t="e">
        <f t="array" ref="AH428">_xlfn.XLOOKUP($B428,$B$114:$B$212,_xlfn.XLOOKUP(AH$219,$D$5:$AO$5,$D$114:$AO$212))</f>
        <v>#REF!</v>
      </c>
      <c r="AI428" s="304" t="e">
        <f t="array" ref="AI428">_xlfn.XLOOKUP($B428,$B$114:$B$212,_xlfn.XLOOKUP(AI$219,$D$5:$AO$5,$D$114:$AO$212))</f>
        <v>#REF!</v>
      </c>
      <c r="AJ428" s="304" t="e">
        <f t="array" ref="AJ428">_xlfn.XLOOKUP($B428,$B$114:$B$212,_xlfn.XLOOKUP(AJ$219,$D$5:$AO$5,$D$114:$AO$212))</f>
        <v>#REF!</v>
      </c>
      <c r="AK428" s="304" t="e">
        <f t="array" ref="AK428">_xlfn.XLOOKUP($B428,$B$114:$B$212,_xlfn.XLOOKUP(AK$219,$D$5:$AO$5,$D$114:$AO$212))</f>
        <v>#REF!</v>
      </c>
      <c r="AL428" s="304" t="e">
        <f t="array" ref="AL428">_xlfn.XLOOKUP($B428,$B$114:$B$212,_xlfn.XLOOKUP(AL$219,$D$5:$AO$5,$D$114:$AO$212))</f>
        <v>#REF!</v>
      </c>
      <c r="AM428" s="304" t="e">
        <f t="array" ref="AM428">_xlfn.XLOOKUP($B428,$B$114:$B$212,_xlfn.XLOOKUP(AM$219,$D$5:$AO$5,$D$114:$AO$212))</f>
        <v>#REF!</v>
      </c>
      <c r="AN428" s="304" t="e">
        <f t="array" ref="AN428">_xlfn.XLOOKUP($B428,$B$114:$B$212,_xlfn.XLOOKUP(AN$219,$D$5:$AO$5,$D$114:$AO$212))</f>
        <v>#REF!</v>
      </c>
      <c r="AO428" s="304" t="e">
        <f t="array" ref="AO428">_xlfn.XLOOKUP($B428,$B$114:$B$212,_xlfn.XLOOKUP(AO$219,$D$5:$AO$5,$D$114:$AO$212))</f>
        <v>#REF!</v>
      </c>
    </row>
    <row r="429" spans="1:41">
      <c r="B429" s="301" t="s">
        <v>1473</v>
      </c>
      <c r="C429" s="306" t="s">
        <v>1545</v>
      </c>
      <c r="D429" s="307" t="str">
        <f t="array" ref="D429">_xlfn.XLOOKUP($B429,$B$11:$B$109,_xlfn.XLOOKUP(D$219,$D$5:$AO$5,$D$11:$AO$109))</f>
        <v>NZ$m</v>
      </c>
      <c r="E429" s="307"/>
      <c r="F429" s="307"/>
      <c r="G429" s="308" t="e">
        <f t="array" ref="G429">_xlfn.XLOOKUP($B429,$B$11:$B$109,_xlfn.XLOOKUP(G$219,$D$5:$AO$5,$D$11:$AO$109))</f>
        <v>#REF!</v>
      </c>
      <c r="H429" s="308" t="e">
        <f t="array" ref="H429">_xlfn.XLOOKUP($B429,$B$11:$B$109,_xlfn.XLOOKUP(H$219,$D$5:$AO$5,$D$11:$AO$109))</f>
        <v>#REF!</v>
      </c>
      <c r="I429" s="308" t="e">
        <f t="array" ref="I429">_xlfn.XLOOKUP($B429,$B$11:$B$109,_xlfn.XLOOKUP(I$219,$D$5:$AO$5,$D$11:$AO$109))</f>
        <v>#REF!</v>
      </c>
      <c r="J429" s="308" t="e">
        <f t="array" ref="J429">_xlfn.XLOOKUP($B429,$B$11:$B$109,_xlfn.XLOOKUP(J$219,$D$5:$AO$5,$D$11:$AO$109))</f>
        <v>#REF!</v>
      </c>
      <c r="K429" s="308" t="e">
        <f t="array" ref="K429">_xlfn.XLOOKUP($B429,$B$11:$B$109,_xlfn.XLOOKUP(K$219,$D$5:$AO$5,$D$11:$AO$109))</f>
        <v>#REF!</v>
      </c>
      <c r="L429" s="308" t="e">
        <f t="array" ref="L429">_xlfn.XLOOKUP($B429,$B$11:$B$109,_xlfn.XLOOKUP(L$219,$D$5:$AO$5,$D$11:$AO$109))</f>
        <v>#REF!</v>
      </c>
      <c r="M429" s="308" t="e">
        <f t="array" ref="M429">_xlfn.XLOOKUP($B429,$B$11:$B$109,_xlfn.XLOOKUP(M$219,$D$5:$AO$5,$D$11:$AO$109))</f>
        <v>#REF!</v>
      </c>
      <c r="N429" s="308" t="e">
        <f t="array" ref="N429">_xlfn.XLOOKUP($B429,$B$11:$B$109,_xlfn.XLOOKUP(N$219,$D$5:$AO$5,$D$11:$AO$109))</f>
        <v>#REF!</v>
      </c>
      <c r="O429" s="308" t="e">
        <f t="array" ref="O429">_xlfn.XLOOKUP($B429,$B$11:$B$109,_xlfn.XLOOKUP(O$219,$D$5:$AO$5,$D$11:$AO$109))</f>
        <v>#REF!</v>
      </c>
      <c r="P429" s="308" t="e">
        <f t="array" ref="P429">_xlfn.XLOOKUP($B429,$B$11:$B$109,_xlfn.XLOOKUP(P$219,$D$5:$AO$5,$D$11:$AO$109))</f>
        <v>#REF!</v>
      </c>
      <c r="Q429" s="308" t="e">
        <f t="array" ref="Q429">_xlfn.XLOOKUP($B429,$B$11:$B$109,_xlfn.XLOOKUP(Q$219,$D$5:$AO$5,$D$11:$AO$109))</f>
        <v>#REF!</v>
      </c>
      <c r="R429" s="308" t="e">
        <f t="array" ref="R429">_xlfn.XLOOKUP($B429,$B$11:$B$109,_xlfn.XLOOKUP(R$219,$D$5:$AO$5,$D$11:$AO$109))</f>
        <v>#REF!</v>
      </c>
      <c r="S429" s="308" t="e">
        <f t="array" ref="S429">_xlfn.XLOOKUP($B429,$B$11:$B$109,_xlfn.XLOOKUP(S$219,$D$5:$AO$5,$D$11:$AO$109))</f>
        <v>#REF!</v>
      </c>
      <c r="T429" s="308" t="e">
        <f t="array" ref="T429">_xlfn.XLOOKUP($B429,$B$11:$B$109,_xlfn.XLOOKUP(T$219,$D$5:$AO$5,$D$11:$AO$109))</f>
        <v>#REF!</v>
      </c>
      <c r="U429" s="308" t="e">
        <f t="array" ref="U429">_xlfn.XLOOKUP($B429,$B$11:$B$109,_xlfn.XLOOKUP(U$219,$D$5:$AO$5,$D$11:$AO$109))</f>
        <v>#REF!</v>
      </c>
      <c r="V429" s="308" t="e">
        <f t="array" ref="V429">_xlfn.XLOOKUP($B429,$B$11:$B$109,_xlfn.XLOOKUP(V$219,$D$5:$AO$5,$D$11:$AO$109))</f>
        <v>#REF!</v>
      </c>
      <c r="W429" s="308" t="e">
        <f t="array" ref="W429">_xlfn.XLOOKUP($B429,$B$11:$B$109,_xlfn.XLOOKUP(W$219,$D$5:$AO$5,$D$11:$AO$109))</f>
        <v>#REF!</v>
      </c>
      <c r="X429" s="308" t="e">
        <f t="array" ref="X429">_xlfn.XLOOKUP($B429,$B$11:$B$109,_xlfn.XLOOKUP(X$219,$D$5:$AO$5,$D$11:$AO$109))</f>
        <v>#REF!</v>
      </c>
      <c r="Y429" s="308" t="e">
        <f t="array" ref="Y429">_xlfn.XLOOKUP($B429,$B$11:$B$109,_xlfn.XLOOKUP(Y$219,$D$5:$AO$5,$D$11:$AO$109))</f>
        <v>#REF!</v>
      </c>
      <c r="Z429" s="308" t="e">
        <f t="array" ref="Z429">_xlfn.XLOOKUP($B429,$B$11:$B$109,_xlfn.XLOOKUP(Z$219,$D$5:$AO$5,$D$11:$AO$109))</f>
        <v>#REF!</v>
      </c>
      <c r="AA429" s="308"/>
      <c r="AB429" s="306" t="str">
        <f t="shared" si="234"/>
        <v>Hamilton - New</v>
      </c>
      <c r="AC429" s="307" t="str">
        <f t="shared" si="235"/>
        <v>NZ$m</v>
      </c>
      <c r="AD429" s="307"/>
      <c r="AE429" s="307"/>
      <c r="AF429" s="308" t="e">
        <f t="array" ref="AF429">_xlfn.XLOOKUP($B429,$B$11:$B$109,_xlfn.XLOOKUP(AF$219,$D$5:$AO$5,$D$11:$AO$109))</f>
        <v>#REF!</v>
      </c>
      <c r="AG429" s="308" t="e">
        <f t="array" ref="AG429">_xlfn.XLOOKUP($B429,$B$11:$B$109,_xlfn.XLOOKUP(AG$219,$D$5:$AO$5,$D$11:$AO$109))</f>
        <v>#REF!</v>
      </c>
      <c r="AH429" s="308" t="e">
        <f t="array" ref="AH429">_xlfn.XLOOKUP($B429,$B$11:$B$109,_xlfn.XLOOKUP(AH$219,$D$5:$AO$5,$D$11:$AO$109))</f>
        <v>#REF!</v>
      </c>
      <c r="AI429" s="308" t="e">
        <f t="array" ref="AI429">_xlfn.XLOOKUP($B429,$B$11:$B$109,_xlfn.XLOOKUP(AI$219,$D$5:$AO$5,$D$11:$AO$109))</f>
        <v>#REF!</v>
      </c>
      <c r="AJ429" s="308" t="e">
        <f t="array" ref="AJ429">_xlfn.XLOOKUP($B429,$B$11:$B$109,_xlfn.XLOOKUP(AJ$219,$D$5:$AO$5,$D$11:$AO$109))</f>
        <v>#REF!</v>
      </c>
      <c r="AK429" s="308" t="e">
        <f t="array" ref="AK429">_xlfn.XLOOKUP($B429,$B$11:$B$109,_xlfn.XLOOKUP(AK$219,$D$5:$AO$5,$D$11:$AO$109))</f>
        <v>#REF!</v>
      </c>
      <c r="AL429" s="308" t="e">
        <f t="array" ref="AL429">_xlfn.XLOOKUP($B429,$B$11:$B$109,_xlfn.XLOOKUP(AL$219,$D$5:$AO$5,$D$11:$AO$109))</f>
        <v>#REF!</v>
      </c>
      <c r="AM429" s="308" t="e">
        <f t="array" ref="AM429">_xlfn.XLOOKUP($B429,$B$11:$B$109,_xlfn.XLOOKUP(AM$219,$D$5:$AO$5,$D$11:$AO$109))</f>
        <v>#REF!</v>
      </c>
      <c r="AN429" s="308" t="e">
        <f t="array" ref="AN429">_xlfn.XLOOKUP($B429,$B$11:$B$109,_xlfn.XLOOKUP(AN$219,$D$5:$AO$5,$D$11:$AO$109))</f>
        <v>#REF!</v>
      </c>
      <c r="AO429" s="308" t="e">
        <f t="array" ref="AO429">_xlfn.XLOOKUP($B429,$B$11:$B$109,_xlfn.XLOOKUP(AO$219,$D$5:$AO$5,$D$11:$AO$109))</f>
        <v>#REF!</v>
      </c>
    </row>
    <row r="430" spans="1:41" hidden="1" outlineLevel="1">
      <c r="B430" s="301"/>
      <c r="C430" s="309" t="s">
        <v>1510</v>
      </c>
      <c r="D430" s="303" t="s">
        <v>88</v>
      </c>
      <c r="E430" s="303"/>
      <c r="F430" s="303"/>
      <c r="G430" s="310" t="s">
        <v>967</v>
      </c>
      <c r="H430" s="310" t="s">
        <v>967</v>
      </c>
      <c r="I430" s="310" t="e">
        <f t="shared" ref="I430:Z430" si="240">I429/G429-1</f>
        <v>#REF!</v>
      </c>
      <c r="J430" s="310" t="e">
        <f t="shared" si="240"/>
        <v>#REF!</v>
      </c>
      <c r="K430" s="310" t="e">
        <f t="shared" si="240"/>
        <v>#REF!</v>
      </c>
      <c r="L430" s="310" t="e">
        <f t="shared" si="240"/>
        <v>#REF!</v>
      </c>
      <c r="M430" s="310" t="e">
        <f t="shared" si="240"/>
        <v>#REF!</v>
      </c>
      <c r="N430" s="310" t="e">
        <f t="shared" si="240"/>
        <v>#REF!</v>
      </c>
      <c r="O430" s="310" t="e">
        <f t="shared" si="240"/>
        <v>#REF!</v>
      </c>
      <c r="P430" s="310" t="e">
        <f t="shared" si="240"/>
        <v>#REF!</v>
      </c>
      <c r="Q430" s="310" t="e">
        <f t="shared" si="240"/>
        <v>#REF!</v>
      </c>
      <c r="R430" s="310" t="e">
        <f t="shared" si="240"/>
        <v>#REF!</v>
      </c>
      <c r="S430" s="310" t="e">
        <f t="shared" si="240"/>
        <v>#REF!</v>
      </c>
      <c r="T430" s="310" t="e">
        <f t="shared" si="240"/>
        <v>#REF!</v>
      </c>
      <c r="U430" s="310" t="e">
        <f t="shared" si="240"/>
        <v>#REF!</v>
      </c>
      <c r="V430" s="310" t="e">
        <f t="shared" si="240"/>
        <v>#REF!</v>
      </c>
      <c r="W430" s="310" t="e">
        <f t="shared" si="240"/>
        <v>#REF!</v>
      </c>
      <c r="X430" s="310" t="e">
        <f t="shared" si="240"/>
        <v>#REF!</v>
      </c>
      <c r="Y430" s="310" t="e">
        <f t="shared" si="240"/>
        <v>#REF!</v>
      </c>
      <c r="Z430" s="310" t="e">
        <f t="shared" si="240"/>
        <v>#REF!</v>
      </c>
      <c r="AA430" s="311"/>
      <c r="AB430" s="309" t="str">
        <f t="shared" si="234"/>
        <v>- Growth</v>
      </c>
      <c r="AC430" s="303" t="str">
        <f t="shared" si="235"/>
        <v>%</v>
      </c>
      <c r="AD430" s="303"/>
      <c r="AE430" s="303"/>
      <c r="AF430" s="310" t="s">
        <v>967</v>
      </c>
      <c r="AG430" s="310" t="e">
        <f t="shared" ref="AG430:AO430" si="241">AG429/AF429-1</f>
        <v>#REF!</v>
      </c>
      <c r="AH430" s="310" t="e">
        <f t="shared" si="241"/>
        <v>#REF!</v>
      </c>
      <c r="AI430" s="310" t="e">
        <f t="shared" si="241"/>
        <v>#REF!</v>
      </c>
      <c r="AJ430" s="310" t="e">
        <f t="shared" si="241"/>
        <v>#REF!</v>
      </c>
      <c r="AK430" s="310" t="e">
        <f t="shared" si="241"/>
        <v>#REF!</v>
      </c>
      <c r="AL430" s="310" t="e">
        <f t="shared" si="241"/>
        <v>#REF!</v>
      </c>
      <c r="AM430" s="310" t="e">
        <f t="shared" si="241"/>
        <v>#REF!</v>
      </c>
      <c r="AN430" s="310" t="e">
        <f t="shared" si="241"/>
        <v>#REF!</v>
      </c>
      <c r="AO430" s="310" t="e">
        <f t="shared" si="241"/>
        <v>#REF!</v>
      </c>
    </row>
    <row r="431" spans="1:41" collapsed="1">
      <c r="B431" s="301"/>
      <c r="C431" s="309" t="s">
        <v>1511</v>
      </c>
      <c r="D431" s="303" t="s">
        <v>88</v>
      </c>
      <c r="E431" s="303"/>
      <c r="F431" s="303"/>
      <c r="G431" s="310">
        <f t="shared" ref="G431:Z431" si="242">IFERROR(ROUND( G429 / G428,2) - 1, 0)</f>
        <v>0</v>
      </c>
      <c r="H431" s="310">
        <f t="shared" si="242"/>
        <v>0</v>
      </c>
      <c r="I431" s="310">
        <f t="shared" si="242"/>
        <v>0</v>
      </c>
      <c r="J431" s="310">
        <f t="shared" si="242"/>
        <v>0</v>
      </c>
      <c r="K431" s="310">
        <f t="shared" si="242"/>
        <v>0</v>
      </c>
      <c r="L431" s="310">
        <f t="shared" si="242"/>
        <v>0</v>
      </c>
      <c r="M431" s="310">
        <f t="shared" si="242"/>
        <v>0</v>
      </c>
      <c r="N431" s="310">
        <f t="shared" si="242"/>
        <v>0</v>
      </c>
      <c r="O431" s="310">
        <f t="shared" si="242"/>
        <v>0</v>
      </c>
      <c r="P431" s="310">
        <f t="shared" si="242"/>
        <v>0</v>
      </c>
      <c r="Q431" s="310">
        <f t="shared" si="242"/>
        <v>0</v>
      </c>
      <c r="R431" s="310">
        <f t="shared" si="242"/>
        <v>0</v>
      </c>
      <c r="S431" s="310">
        <f t="shared" si="242"/>
        <v>0</v>
      </c>
      <c r="T431" s="310">
        <f t="shared" si="242"/>
        <v>0</v>
      </c>
      <c r="U431" s="310">
        <f t="shared" si="242"/>
        <v>0</v>
      </c>
      <c r="V431" s="310">
        <f t="shared" si="242"/>
        <v>0</v>
      </c>
      <c r="W431" s="310">
        <f t="shared" si="242"/>
        <v>0</v>
      </c>
      <c r="X431" s="310">
        <f t="shared" si="242"/>
        <v>0</v>
      </c>
      <c r="Y431" s="310">
        <f t="shared" si="242"/>
        <v>0</v>
      </c>
      <c r="Z431" s="310">
        <f t="shared" si="242"/>
        <v>0</v>
      </c>
      <c r="AA431" s="310"/>
      <c r="AB431" s="309" t="str">
        <f t="shared" si="234"/>
        <v>- Revision</v>
      </c>
      <c r="AC431" s="303" t="str">
        <f t="shared" si="235"/>
        <v>%</v>
      </c>
      <c r="AD431" s="303"/>
      <c r="AE431" s="303"/>
      <c r="AF431" s="310">
        <f t="shared" ref="AF431:AO431" si="243">IFERROR(ROUND( AF429 / AF428,2) - 1, 0)</f>
        <v>0</v>
      </c>
      <c r="AG431" s="310">
        <f t="shared" si="243"/>
        <v>0</v>
      </c>
      <c r="AH431" s="310">
        <f t="shared" si="243"/>
        <v>0</v>
      </c>
      <c r="AI431" s="310">
        <f t="shared" si="243"/>
        <v>0</v>
      </c>
      <c r="AJ431" s="310">
        <f t="shared" si="243"/>
        <v>0</v>
      </c>
      <c r="AK431" s="310">
        <f t="shared" si="243"/>
        <v>0</v>
      </c>
      <c r="AL431" s="310">
        <f t="shared" si="243"/>
        <v>0</v>
      </c>
      <c r="AM431" s="310">
        <f t="shared" si="243"/>
        <v>0</v>
      </c>
      <c r="AN431" s="310">
        <f t="shared" si="243"/>
        <v>0</v>
      </c>
      <c r="AO431" s="310">
        <f t="shared" si="243"/>
        <v>0</v>
      </c>
    </row>
    <row r="432" spans="1:41">
      <c r="B432" s="301" t="s">
        <v>1474</v>
      </c>
      <c r="C432" s="302" t="s">
        <v>1546</v>
      </c>
      <c r="D432" s="303" t="str">
        <f t="array" ref="D432">_xlfn.XLOOKUP($B432,$B$114:$B$212,_xlfn.XLOOKUP(D$219,$D$5:$AO$5,$D$114:$AO$212))</f>
        <v>NZ$m</v>
      </c>
      <c r="E432" s="303"/>
      <c r="F432" s="303"/>
      <c r="G432" s="304" t="e">
        <f t="array" ref="G432">_xlfn.XLOOKUP($B432,$B$114:$B$212,_xlfn.XLOOKUP(G$219,$D$5:$AO$5,$D$114:$AO$212))</f>
        <v>#REF!</v>
      </c>
      <c r="H432" s="304" t="e">
        <f t="array" ref="H432">_xlfn.XLOOKUP($B432,$B$114:$B$212,_xlfn.XLOOKUP(H$219,$D$5:$AO$5,$D$114:$AO$212))</f>
        <v>#REF!</v>
      </c>
      <c r="I432" s="304" t="e">
        <f t="array" ref="I432">_xlfn.XLOOKUP($B432,$B$114:$B$212,_xlfn.XLOOKUP(I$219,$D$5:$AO$5,$D$114:$AO$212))</f>
        <v>#REF!</v>
      </c>
      <c r="J432" s="304" t="e">
        <f t="array" ref="J432">_xlfn.XLOOKUP($B432,$B$114:$B$212,_xlfn.XLOOKUP(J$219,$D$5:$AO$5,$D$114:$AO$212))</f>
        <v>#REF!</v>
      </c>
      <c r="K432" s="304" t="e">
        <f t="array" ref="K432">_xlfn.XLOOKUP($B432,$B$114:$B$212,_xlfn.XLOOKUP(K$219,$D$5:$AO$5,$D$114:$AO$212))</f>
        <v>#REF!</v>
      </c>
      <c r="L432" s="304" t="e">
        <f t="array" ref="L432">_xlfn.XLOOKUP($B432,$B$114:$B$212,_xlfn.XLOOKUP(L$219,$D$5:$AO$5,$D$114:$AO$212))</f>
        <v>#REF!</v>
      </c>
      <c r="M432" s="304" t="e">
        <f t="array" ref="M432">_xlfn.XLOOKUP($B432,$B$114:$B$212,_xlfn.XLOOKUP(M$219,$D$5:$AO$5,$D$114:$AO$212))</f>
        <v>#REF!</v>
      </c>
      <c r="N432" s="304" t="e">
        <f t="array" ref="N432">_xlfn.XLOOKUP($B432,$B$114:$B$212,_xlfn.XLOOKUP(N$219,$D$5:$AO$5,$D$114:$AO$212))</f>
        <v>#REF!</v>
      </c>
      <c r="O432" s="304" t="e">
        <f t="array" ref="O432">_xlfn.XLOOKUP($B432,$B$114:$B$212,_xlfn.XLOOKUP(O$219,$D$5:$AO$5,$D$114:$AO$212))</f>
        <v>#REF!</v>
      </c>
      <c r="P432" s="304" t="e">
        <f t="array" ref="P432">_xlfn.XLOOKUP($B432,$B$114:$B$212,_xlfn.XLOOKUP(P$219,$D$5:$AO$5,$D$114:$AO$212))</f>
        <v>#REF!</v>
      </c>
      <c r="Q432" s="304" t="e">
        <f t="array" ref="Q432">_xlfn.XLOOKUP($B432,$B$114:$B$212,_xlfn.XLOOKUP(Q$219,$D$5:$AO$5,$D$114:$AO$212))</f>
        <v>#REF!</v>
      </c>
      <c r="R432" s="304" t="e">
        <f t="array" ref="R432">_xlfn.XLOOKUP($B432,$B$114:$B$212,_xlfn.XLOOKUP(R$219,$D$5:$AO$5,$D$114:$AO$212))</f>
        <v>#REF!</v>
      </c>
      <c r="S432" s="304" t="e">
        <f t="array" ref="S432">_xlfn.XLOOKUP($B432,$B$114:$B$212,_xlfn.XLOOKUP(S$219,$D$5:$AO$5,$D$114:$AO$212))</f>
        <v>#REF!</v>
      </c>
      <c r="T432" s="304" t="e">
        <f t="array" ref="T432">_xlfn.XLOOKUP($B432,$B$114:$B$212,_xlfn.XLOOKUP(T$219,$D$5:$AO$5,$D$114:$AO$212))</f>
        <v>#REF!</v>
      </c>
      <c r="U432" s="304" t="e">
        <f t="array" ref="U432">_xlfn.XLOOKUP($B432,$B$114:$B$212,_xlfn.XLOOKUP(U$219,$D$5:$AO$5,$D$114:$AO$212))</f>
        <v>#REF!</v>
      </c>
      <c r="V432" s="304" t="e">
        <f t="array" ref="V432">_xlfn.XLOOKUP($B432,$B$114:$B$212,_xlfn.XLOOKUP(V$219,$D$5:$AO$5,$D$114:$AO$212))</f>
        <v>#REF!</v>
      </c>
      <c r="W432" s="304" t="e">
        <f t="array" ref="W432">_xlfn.XLOOKUP($B432,$B$114:$B$212,_xlfn.XLOOKUP(W$219,$D$5:$AO$5,$D$114:$AO$212))</f>
        <v>#REF!</v>
      </c>
      <c r="X432" s="304" t="e">
        <f t="array" ref="X432">_xlfn.XLOOKUP($B432,$B$114:$B$212,_xlfn.XLOOKUP(X$219,$D$5:$AO$5,$D$114:$AO$212))</f>
        <v>#REF!</v>
      </c>
      <c r="Y432" s="304" t="e">
        <f t="array" ref="Y432">_xlfn.XLOOKUP($B432,$B$114:$B$212,_xlfn.XLOOKUP(Y$219,$D$5:$AO$5,$D$114:$AO$212))</f>
        <v>#REF!</v>
      </c>
      <c r="Z432" s="304" t="e">
        <f t="array" ref="Z432">_xlfn.XLOOKUP($B432,$B$114:$B$212,_xlfn.XLOOKUP(Z$219,$D$5:$AO$5,$D$114:$AO$212))</f>
        <v>#REF!</v>
      </c>
      <c r="AA432" s="305"/>
      <c r="AB432" s="302" t="str">
        <f t="shared" si="234"/>
        <v>Queenstown - old</v>
      </c>
      <c r="AC432" s="303" t="str">
        <f t="shared" si="235"/>
        <v>NZ$m</v>
      </c>
      <c r="AD432" s="303"/>
      <c r="AE432" s="303"/>
      <c r="AF432" s="304" t="e">
        <f t="array" ref="AF432">_xlfn.XLOOKUP($B432,$B$114:$B$212,_xlfn.XLOOKUP(AF$219,$D$5:$AO$5,$D$114:$AO$212))</f>
        <v>#REF!</v>
      </c>
      <c r="AG432" s="304" t="e">
        <f t="array" ref="AG432">_xlfn.XLOOKUP($B432,$B$114:$B$212,_xlfn.XLOOKUP(AG$219,$D$5:$AO$5,$D$114:$AO$212))</f>
        <v>#REF!</v>
      </c>
      <c r="AH432" s="304" t="e">
        <f t="array" ref="AH432">_xlfn.XLOOKUP($B432,$B$114:$B$212,_xlfn.XLOOKUP(AH$219,$D$5:$AO$5,$D$114:$AO$212))</f>
        <v>#REF!</v>
      </c>
      <c r="AI432" s="304" t="e">
        <f t="array" ref="AI432">_xlfn.XLOOKUP($B432,$B$114:$B$212,_xlfn.XLOOKUP(AI$219,$D$5:$AO$5,$D$114:$AO$212))</f>
        <v>#REF!</v>
      </c>
      <c r="AJ432" s="304" t="e">
        <f t="array" ref="AJ432">_xlfn.XLOOKUP($B432,$B$114:$B$212,_xlfn.XLOOKUP(AJ$219,$D$5:$AO$5,$D$114:$AO$212))</f>
        <v>#REF!</v>
      </c>
      <c r="AK432" s="304" t="e">
        <f t="array" ref="AK432">_xlfn.XLOOKUP($B432,$B$114:$B$212,_xlfn.XLOOKUP(AK$219,$D$5:$AO$5,$D$114:$AO$212))</f>
        <v>#REF!</v>
      </c>
      <c r="AL432" s="304" t="e">
        <f t="array" ref="AL432">_xlfn.XLOOKUP($B432,$B$114:$B$212,_xlfn.XLOOKUP(AL$219,$D$5:$AO$5,$D$114:$AO$212))</f>
        <v>#REF!</v>
      </c>
      <c r="AM432" s="304" t="e">
        <f t="array" ref="AM432">_xlfn.XLOOKUP($B432,$B$114:$B$212,_xlfn.XLOOKUP(AM$219,$D$5:$AO$5,$D$114:$AO$212))</f>
        <v>#REF!</v>
      </c>
      <c r="AN432" s="304" t="e">
        <f t="array" ref="AN432">_xlfn.XLOOKUP($B432,$B$114:$B$212,_xlfn.XLOOKUP(AN$219,$D$5:$AO$5,$D$114:$AO$212))</f>
        <v>#REF!</v>
      </c>
      <c r="AO432" s="304" t="e">
        <f t="array" ref="AO432">_xlfn.XLOOKUP($B432,$B$114:$B$212,_xlfn.XLOOKUP(AO$219,$D$5:$AO$5,$D$114:$AO$212))</f>
        <v>#REF!</v>
      </c>
    </row>
    <row r="433" spans="2:41">
      <c r="B433" s="301" t="s">
        <v>1474</v>
      </c>
      <c r="C433" s="306" t="s">
        <v>1547</v>
      </c>
      <c r="D433" s="307" t="str">
        <f t="array" ref="D433">_xlfn.XLOOKUP($B433,$B$11:$B$109,_xlfn.XLOOKUP(D$219,$D$5:$AO$5,$D$11:$AO$109))</f>
        <v>NZ$m</v>
      </c>
      <c r="E433" s="307"/>
      <c r="F433" s="307"/>
      <c r="G433" s="308" t="e">
        <f t="array" ref="G433">_xlfn.XLOOKUP($B433,$B$11:$B$109,_xlfn.XLOOKUP(G$219,$D$5:$AO$5,$D$11:$AO$109))</f>
        <v>#REF!</v>
      </c>
      <c r="H433" s="308" t="e">
        <f t="array" ref="H433">_xlfn.XLOOKUP($B433,$B$11:$B$109,_xlfn.XLOOKUP(H$219,$D$5:$AO$5,$D$11:$AO$109))</f>
        <v>#REF!</v>
      </c>
      <c r="I433" s="308" t="e">
        <f t="array" ref="I433">_xlfn.XLOOKUP($B433,$B$11:$B$109,_xlfn.XLOOKUP(I$219,$D$5:$AO$5,$D$11:$AO$109))</f>
        <v>#REF!</v>
      </c>
      <c r="J433" s="308" t="e">
        <f t="array" ref="J433">_xlfn.XLOOKUP($B433,$B$11:$B$109,_xlfn.XLOOKUP(J$219,$D$5:$AO$5,$D$11:$AO$109))</f>
        <v>#REF!</v>
      </c>
      <c r="K433" s="308" t="e">
        <f t="array" ref="K433">_xlfn.XLOOKUP($B433,$B$11:$B$109,_xlfn.XLOOKUP(K$219,$D$5:$AO$5,$D$11:$AO$109))</f>
        <v>#REF!</v>
      </c>
      <c r="L433" s="308" t="e">
        <f t="array" ref="L433">_xlfn.XLOOKUP($B433,$B$11:$B$109,_xlfn.XLOOKUP(L$219,$D$5:$AO$5,$D$11:$AO$109))</f>
        <v>#REF!</v>
      </c>
      <c r="M433" s="308" t="e">
        <f t="array" ref="M433">_xlfn.XLOOKUP($B433,$B$11:$B$109,_xlfn.XLOOKUP(M$219,$D$5:$AO$5,$D$11:$AO$109))</f>
        <v>#REF!</v>
      </c>
      <c r="N433" s="308" t="e">
        <f t="array" ref="N433">_xlfn.XLOOKUP($B433,$B$11:$B$109,_xlfn.XLOOKUP(N$219,$D$5:$AO$5,$D$11:$AO$109))</f>
        <v>#REF!</v>
      </c>
      <c r="O433" s="308" t="e">
        <f t="array" ref="O433">_xlfn.XLOOKUP($B433,$B$11:$B$109,_xlfn.XLOOKUP(O$219,$D$5:$AO$5,$D$11:$AO$109))</f>
        <v>#REF!</v>
      </c>
      <c r="P433" s="308" t="e">
        <f t="array" ref="P433">_xlfn.XLOOKUP($B433,$B$11:$B$109,_xlfn.XLOOKUP(P$219,$D$5:$AO$5,$D$11:$AO$109))</f>
        <v>#REF!</v>
      </c>
      <c r="Q433" s="308" t="e">
        <f t="array" ref="Q433">_xlfn.XLOOKUP($B433,$B$11:$B$109,_xlfn.XLOOKUP(Q$219,$D$5:$AO$5,$D$11:$AO$109))</f>
        <v>#REF!</v>
      </c>
      <c r="R433" s="308" t="e">
        <f t="array" ref="R433">_xlfn.XLOOKUP($B433,$B$11:$B$109,_xlfn.XLOOKUP(R$219,$D$5:$AO$5,$D$11:$AO$109))</f>
        <v>#REF!</v>
      </c>
      <c r="S433" s="308" t="e">
        <f t="array" ref="S433">_xlfn.XLOOKUP($B433,$B$11:$B$109,_xlfn.XLOOKUP(S$219,$D$5:$AO$5,$D$11:$AO$109))</f>
        <v>#REF!</v>
      </c>
      <c r="T433" s="308" t="e">
        <f t="array" ref="T433">_xlfn.XLOOKUP($B433,$B$11:$B$109,_xlfn.XLOOKUP(T$219,$D$5:$AO$5,$D$11:$AO$109))</f>
        <v>#REF!</v>
      </c>
      <c r="U433" s="308" t="e">
        <f t="array" ref="U433">_xlfn.XLOOKUP($B433,$B$11:$B$109,_xlfn.XLOOKUP(U$219,$D$5:$AO$5,$D$11:$AO$109))</f>
        <v>#REF!</v>
      </c>
      <c r="V433" s="308" t="e">
        <f t="array" ref="V433">_xlfn.XLOOKUP($B433,$B$11:$B$109,_xlfn.XLOOKUP(V$219,$D$5:$AO$5,$D$11:$AO$109))</f>
        <v>#REF!</v>
      </c>
      <c r="W433" s="308" t="e">
        <f t="array" ref="W433">_xlfn.XLOOKUP($B433,$B$11:$B$109,_xlfn.XLOOKUP(W$219,$D$5:$AO$5,$D$11:$AO$109))</f>
        <v>#REF!</v>
      </c>
      <c r="X433" s="308" t="e">
        <f t="array" ref="X433">_xlfn.XLOOKUP($B433,$B$11:$B$109,_xlfn.XLOOKUP(X$219,$D$5:$AO$5,$D$11:$AO$109))</f>
        <v>#REF!</v>
      </c>
      <c r="Y433" s="308" t="e">
        <f t="array" ref="Y433">_xlfn.XLOOKUP($B433,$B$11:$B$109,_xlfn.XLOOKUP(Y$219,$D$5:$AO$5,$D$11:$AO$109))</f>
        <v>#REF!</v>
      </c>
      <c r="Z433" s="308" t="e">
        <f t="array" ref="Z433">_xlfn.XLOOKUP($B433,$B$11:$B$109,_xlfn.XLOOKUP(Z$219,$D$5:$AO$5,$D$11:$AO$109))</f>
        <v>#REF!</v>
      </c>
      <c r="AA433" s="308"/>
      <c r="AB433" s="306" t="str">
        <f t="shared" si="234"/>
        <v>Queenstown - New</v>
      </c>
      <c r="AC433" s="307" t="str">
        <f t="shared" si="235"/>
        <v>NZ$m</v>
      </c>
      <c r="AD433" s="307"/>
      <c r="AE433" s="307"/>
      <c r="AF433" s="308" t="e">
        <f t="array" ref="AF433">_xlfn.XLOOKUP($B433,$B$11:$B$109,_xlfn.XLOOKUP(AF$219,$D$5:$AO$5,$D$11:$AO$109))</f>
        <v>#REF!</v>
      </c>
      <c r="AG433" s="308" t="e">
        <f t="array" ref="AG433">_xlfn.XLOOKUP($B433,$B$11:$B$109,_xlfn.XLOOKUP(AG$219,$D$5:$AO$5,$D$11:$AO$109))</f>
        <v>#REF!</v>
      </c>
      <c r="AH433" s="308" t="e">
        <f t="array" ref="AH433">_xlfn.XLOOKUP($B433,$B$11:$B$109,_xlfn.XLOOKUP(AH$219,$D$5:$AO$5,$D$11:$AO$109))</f>
        <v>#REF!</v>
      </c>
      <c r="AI433" s="308" t="e">
        <f t="array" ref="AI433">_xlfn.XLOOKUP($B433,$B$11:$B$109,_xlfn.XLOOKUP(AI$219,$D$5:$AO$5,$D$11:$AO$109))</f>
        <v>#REF!</v>
      </c>
      <c r="AJ433" s="308" t="e">
        <f t="array" ref="AJ433">_xlfn.XLOOKUP($B433,$B$11:$B$109,_xlfn.XLOOKUP(AJ$219,$D$5:$AO$5,$D$11:$AO$109))</f>
        <v>#REF!</v>
      </c>
      <c r="AK433" s="308" t="e">
        <f t="array" ref="AK433">_xlfn.XLOOKUP($B433,$B$11:$B$109,_xlfn.XLOOKUP(AK$219,$D$5:$AO$5,$D$11:$AO$109))</f>
        <v>#REF!</v>
      </c>
      <c r="AL433" s="308" t="e">
        <f t="array" ref="AL433">_xlfn.XLOOKUP($B433,$B$11:$B$109,_xlfn.XLOOKUP(AL$219,$D$5:$AO$5,$D$11:$AO$109))</f>
        <v>#REF!</v>
      </c>
      <c r="AM433" s="308" t="e">
        <f t="array" ref="AM433">_xlfn.XLOOKUP($B433,$B$11:$B$109,_xlfn.XLOOKUP(AM$219,$D$5:$AO$5,$D$11:$AO$109))</f>
        <v>#REF!</v>
      </c>
      <c r="AN433" s="308" t="e">
        <f t="array" ref="AN433">_xlfn.XLOOKUP($B433,$B$11:$B$109,_xlfn.XLOOKUP(AN$219,$D$5:$AO$5,$D$11:$AO$109))</f>
        <v>#REF!</v>
      </c>
      <c r="AO433" s="308" t="e">
        <f t="array" ref="AO433">_xlfn.XLOOKUP($B433,$B$11:$B$109,_xlfn.XLOOKUP(AO$219,$D$5:$AO$5,$D$11:$AO$109))</f>
        <v>#REF!</v>
      </c>
    </row>
    <row r="434" spans="2:41" hidden="1" outlineLevel="1">
      <c r="B434" s="301"/>
      <c r="C434" s="309" t="s">
        <v>1510</v>
      </c>
      <c r="D434" s="303" t="s">
        <v>88</v>
      </c>
      <c r="E434" s="303"/>
      <c r="F434" s="303"/>
      <c r="G434" s="310" t="s">
        <v>967</v>
      </c>
      <c r="H434" s="310" t="s">
        <v>967</v>
      </c>
      <c r="I434" s="310" t="e">
        <f t="shared" ref="I434:Z434" si="244">I433/G433-1</f>
        <v>#REF!</v>
      </c>
      <c r="J434" s="310" t="e">
        <f t="shared" si="244"/>
        <v>#REF!</v>
      </c>
      <c r="K434" s="310" t="e">
        <f t="shared" si="244"/>
        <v>#REF!</v>
      </c>
      <c r="L434" s="310" t="e">
        <f t="shared" si="244"/>
        <v>#REF!</v>
      </c>
      <c r="M434" s="310" t="e">
        <f t="shared" si="244"/>
        <v>#REF!</v>
      </c>
      <c r="N434" s="310" t="e">
        <f t="shared" si="244"/>
        <v>#REF!</v>
      </c>
      <c r="O434" s="310" t="e">
        <f t="shared" si="244"/>
        <v>#REF!</v>
      </c>
      <c r="P434" s="310" t="e">
        <f t="shared" si="244"/>
        <v>#REF!</v>
      </c>
      <c r="Q434" s="310" t="e">
        <f t="shared" si="244"/>
        <v>#REF!</v>
      </c>
      <c r="R434" s="310" t="e">
        <f t="shared" si="244"/>
        <v>#REF!</v>
      </c>
      <c r="S434" s="310" t="e">
        <f t="shared" si="244"/>
        <v>#REF!</v>
      </c>
      <c r="T434" s="310" t="e">
        <f t="shared" si="244"/>
        <v>#REF!</v>
      </c>
      <c r="U434" s="310" t="e">
        <f t="shared" si="244"/>
        <v>#REF!</v>
      </c>
      <c r="V434" s="310" t="e">
        <f t="shared" si="244"/>
        <v>#REF!</v>
      </c>
      <c r="W434" s="310" t="e">
        <f t="shared" si="244"/>
        <v>#REF!</v>
      </c>
      <c r="X434" s="310" t="e">
        <f t="shared" si="244"/>
        <v>#REF!</v>
      </c>
      <c r="Y434" s="310" t="e">
        <f t="shared" si="244"/>
        <v>#REF!</v>
      </c>
      <c r="Z434" s="310" t="e">
        <f t="shared" si="244"/>
        <v>#REF!</v>
      </c>
      <c r="AA434" s="311"/>
      <c r="AB434" s="309" t="str">
        <f t="shared" si="234"/>
        <v>- Growth</v>
      </c>
      <c r="AC434" s="303" t="str">
        <f t="shared" si="235"/>
        <v>%</v>
      </c>
      <c r="AD434" s="303"/>
      <c r="AE434" s="303"/>
      <c r="AF434" s="310" t="s">
        <v>967</v>
      </c>
      <c r="AG434" s="310" t="e">
        <f t="shared" ref="AG434:AO434" si="245">AG433/AF433-1</f>
        <v>#REF!</v>
      </c>
      <c r="AH434" s="310" t="e">
        <f t="shared" si="245"/>
        <v>#REF!</v>
      </c>
      <c r="AI434" s="310" t="e">
        <f t="shared" si="245"/>
        <v>#REF!</v>
      </c>
      <c r="AJ434" s="310" t="e">
        <f t="shared" si="245"/>
        <v>#REF!</v>
      </c>
      <c r="AK434" s="310" t="e">
        <f t="shared" si="245"/>
        <v>#REF!</v>
      </c>
      <c r="AL434" s="310" t="e">
        <f t="shared" si="245"/>
        <v>#REF!</v>
      </c>
      <c r="AM434" s="310" t="e">
        <f t="shared" si="245"/>
        <v>#REF!</v>
      </c>
      <c r="AN434" s="310" t="e">
        <f t="shared" si="245"/>
        <v>#REF!</v>
      </c>
      <c r="AO434" s="310" t="e">
        <f t="shared" si="245"/>
        <v>#REF!</v>
      </c>
    </row>
    <row r="435" spans="2:41" collapsed="1">
      <c r="B435" s="301"/>
      <c r="C435" s="309" t="s">
        <v>1511</v>
      </c>
      <c r="D435" s="303" t="s">
        <v>88</v>
      </c>
      <c r="E435" s="303"/>
      <c r="F435" s="303"/>
      <c r="G435" s="310">
        <f t="shared" ref="G435:Z435" si="246">IFERROR(ROUND( G433 / G432,2) - 1, 0)</f>
        <v>0</v>
      </c>
      <c r="H435" s="310">
        <f t="shared" si="246"/>
        <v>0</v>
      </c>
      <c r="I435" s="310">
        <f t="shared" si="246"/>
        <v>0</v>
      </c>
      <c r="J435" s="310">
        <f t="shared" si="246"/>
        <v>0</v>
      </c>
      <c r="K435" s="310">
        <f t="shared" si="246"/>
        <v>0</v>
      </c>
      <c r="L435" s="310">
        <f t="shared" si="246"/>
        <v>0</v>
      </c>
      <c r="M435" s="310">
        <f t="shared" si="246"/>
        <v>0</v>
      </c>
      <c r="N435" s="310">
        <f t="shared" si="246"/>
        <v>0</v>
      </c>
      <c r="O435" s="310">
        <f t="shared" si="246"/>
        <v>0</v>
      </c>
      <c r="P435" s="310">
        <f t="shared" si="246"/>
        <v>0</v>
      </c>
      <c r="Q435" s="310">
        <f t="shared" si="246"/>
        <v>0</v>
      </c>
      <c r="R435" s="310">
        <f t="shared" si="246"/>
        <v>0</v>
      </c>
      <c r="S435" s="310">
        <f t="shared" si="246"/>
        <v>0</v>
      </c>
      <c r="T435" s="310">
        <f t="shared" si="246"/>
        <v>0</v>
      </c>
      <c r="U435" s="310">
        <f t="shared" si="246"/>
        <v>0</v>
      </c>
      <c r="V435" s="310">
        <f t="shared" si="246"/>
        <v>0</v>
      </c>
      <c r="W435" s="310">
        <f t="shared" si="246"/>
        <v>0</v>
      </c>
      <c r="X435" s="310">
        <f t="shared" si="246"/>
        <v>0</v>
      </c>
      <c r="Y435" s="310">
        <f t="shared" si="246"/>
        <v>0</v>
      </c>
      <c r="Z435" s="310">
        <f t="shared" si="246"/>
        <v>0</v>
      </c>
      <c r="AA435" s="310"/>
      <c r="AB435" s="309" t="str">
        <f t="shared" si="234"/>
        <v>- Revision</v>
      </c>
      <c r="AC435" s="303" t="str">
        <f t="shared" si="235"/>
        <v>%</v>
      </c>
      <c r="AD435" s="303"/>
      <c r="AE435" s="303"/>
      <c r="AF435" s="310">
        <f t="shared" ref="AF435:AO435" si="247">IFERROR(ROUND( AF433 / AF432,2) - 1, 0)</f>
        <v>0</v>
      </c>
      <c r="AG435" s="310">
        <f t="shared" si="247"/>
        <v>0</v>
      </c>
      <c r="AH435" s="310">
        <f t="shared" si="247"/>
        <v>0</v>
      </c>
      <c r="AI435" s="310">
        <f t="shared" si="247"/>
        <v>0</v>
      </c>
      <c r="AJ435" s="310">
        <f t="shared" si="247"/>
        <v>0</v>
      </c>
      <c r="AK435" s="310">
        <f t="shared" si="247"/>
        <v>0</v>
      </c>
      <c r="AL435" s="310">
        <f t="shared" si="247"/>
        <v>0</v>
      </c>
      <c r="AM435" s="310">
        <f t="shared" si="247"/>
        <v>0</v>
      </c>
      <c r="AN435" s="310">
        <f t="shared" si="247"/>
        <v>0</v>
      </c>
      <c r="AO435" s="310">
        <f t="shared" si="247"/>
        <v>0</v>
      </c>
    </row>
    <row r="436" spans="2:41">
      <c r="B436" s="301" t="s">
        <v>1475</v>
      </c>
      <c r="C436" s="302" t="s">
        <v>1548</v>
      </c>
      <c r="D436" s="303" t="str">
        <f t="array" ref="D436">_xlfn.XLOOKUP($B436,$B$114:$B$212,_xlfn.XLOOKUP(D$219,$D$5:$AO$5,$D$114:$AO$212))</f>
        <v>NZ$m</v>
      </c>
      <c r="E436" s="303"/>
      <c r="F436" s="303"/>
      <c r="G436" s="304" t="e">
        <f t="array" ref="G436">_xlfn.XLOOKUP($B436,$B$114:$B$212,_xlfn.XLOOKUP(G$219,$D$5:$AO$5,$D$114:$AO$212))</f>
        <v>#REF!</v>
      </c>
      <c r="H436" s="304" t="e">
        <f t="array" ref="H436">_xlfn.XLOOKUP($B436,$B$114:$B$212,_xlfn.XLOOKUP(H$219,$D$5:$AO$5,$D$114:$AO$212))</f>
        <v>#REF!</v>
      </c>
      <c r="I436" s="304" t="e">
        <f t="array" ref="I436">_xlfn.XLOOKUP($B436,$B$114:$B$212,_xlfn.XLOOKUP(I$219,$D$5:$AO$5,$D$114:$AO$212))</f>
        <v>#REF!</v>
      </c>
      <c r="J436" s="304" t="e">
        <f t="array" ref="J436">_xlfn.XLOOKUP($B436,$B$114:$B$212,_xlfn.XLOOKUP(J$219,$D$5:$AO$5,$D$114:$AO$212))</f>
        <v>#REF!</v>
      </c>
      <c r="K436" s="304" t="e">
        <f t="array" ref="K436">_xlfn.XLOOKUP($B436,$B$114:$B$212,_xlfn.XLOOKUP(K$219,$D$5:$AO$5,$D$114:$AO$212))</f>
        <v>#REF!</v>
      </c>
      <c r="L436" s="304" t="e">
        <f t="array" ref="L436">_xlfn.XLOOKUP($B436,$B$114:$B$212,_xlfn.XLOOKUP(L$219,$D$5:$AO$5,$D$114:$AO$212))</f>
        <v>#REF!</v>
      </c>
      <c r="M436" s="304" t="e">
        <f t="array" ref="M436">_xlfn.XLOOKUP($B436,$B$114:$B$212,_xlfn.XLOOKUP(M$219,$D$5:$AO$5,$D$114:$AO$212))</f>
        <v>#REF!</v>
      </c>
      <c r="N436" s="304" t="e">
        <f t="array" ref="N436">_xlfn.XLOOKUP($B436,$B$114:$B$212,_xlfn.XLOOKUP(N$219,$D$5:$AO$5,$D$114:$AO$212))</f>
        <v>#REF!</v>
      </c>
      <c r="O436" s="304" t="e">
        <f t="array" ref="O436">_xlfn.XLOOKUP($B436,$B$114:$B$212,_xlfn.XLOOKUP(O$219,$D$5:$AO$5,$D$114:$AO$212))</f>
        <v>#REF!</v>
      </c>
      <c r="P436" s="304" t="e">
        <f t="array" ref="P436">_xlfn.XLOOKUP($B436,$B$114:$B$212,_xlfn.XLOOKUP(P$219,$D$5:$AO$5,$D$114:$AO$212))</f>
        <v>#REF!</v>
      </c>
      <c r="Q436" s="304" t="e">
        <f t="array" ref="Q436">_xlfn.XLOOKUP($B436,$B$114:$B$212,_xlfn.XLOOKUP(Q$219,$D$5:$AO$5,$D$114:$AO$212))</f>
        <v>#REF!</v>
      </c>
      <c r="R436" s="304" t="e">
        <f t="array" ref="R436">_xlfn.XLOOKUP($B436,$B$114:$B$212,_xlfn.XLOOKUP(R$219,$D$5:$AO$5,$D$114:$AO$212))</f>
        <v>#REF!</v>
      </c>
      <c r="S436" s="304" t="e">
        <f t="array" ref="S436">_xlfn.XLOOKUP($B436,$B$114:$B$212,_xlfn.XLOOKUP(S$219,$D$5:$AO$5,$D$114:$AO$212))</f>
        <v>#REF!</v>
      </c>
      <c r="T436" s="304" t="e">
        <f t="array" ref="T436">_xlfn.XLOOKUP($B436,$B$114:$B$212,_xlfn.XLOOKUP(T$219,$D$5:$AO$5,$D$114:$AO$212))</f>
        <v>#REF!</v>
      </c>
      <c r="U436" s="304" t="e">
        <f t="array" ref="U436">_xlfn.XLOOKUP($B436,$B$114:$B$212,_xlfn.XLOOKUP(U$219,$D$5:$AO$5,$D$114:$AO$212))</f>
        <v>#REF!</v>
      </c>
      <c r="V436" s="304" t="e">
        <f t="array" ref="V436">_xlfn.XLOOKUP($B436,$B$114:$B$212,_xlfn.XLOOKUP(V$219,$D$5:$AO$5,$D$114:$AO$212))</f>
        <v>#REF!</v>
      </c>
      <c r="W436" s="304" t="e">
        <f t="array" ref="W436">_xlfn.XLOOKUP($B436,$B$114:$B$212,_xlfn.XLOOKUP(W$219,$D$5:$AO$5,$D$114:$AO$212))</f>
        <v>#REF!</v>
      </c>
      <c r="X436" s="304" t="e">
        <f t="array" ref="X436">_xlfn.XLOOKUP($B436,$B$114:$B$212,_xlfn.XLOOKUP(X$219,$D$5:$AO$5,$D$114:$AO$212))</f>
        <v>#REF!</v>
      </c>
      <c r="Y436" s="304" t="e">
        <f t="array" ref="Y436">_xlfn.XLOOKUP($B436,$B$114:$B$212,_xlfn.XLOOKUP(Y$219,$D$5:$AO$5,$D$114:$AO$212))</f>
        <v>#REF!</v>
      </c>
      <c r="Z436" s="304" t="e">
        <f t="array" ref="Z436">_xlfn.XLOOKUP($B436,$B$114:$B$212,_xlfn.XLOOKUP(Z$219,$D$5:$AO$5,$D$114:$AO$212))</f>
        <v>#REF!</v>
      </c>
      <c r="AA436" s="305"/>
      <c r="AB436" s="302" t="str">
        <f t="shared" si="234"/>
        <v>Adelaide - old</v>
      </c>
      <c r="AC436" s="303" t="str">
        <f t="shared" si="235"/>
        <v>NZ$m</v>
      </c>
      <c r="AD436" s="303"/>
      <c r="AE436" s="303"/>
      <c r="AF436" s="304" t="e">
        <f t="array" ref="AF436">_xlfn.XLOOKUP($B436,$B$114:$B$212,_xlfn.XLOOKUP(AF$219,$D$5:$AO$5,$D$114:$AO$212))</f>
        <v>#REF!</v>
      </c>
      <c r="AG436" s="304" t="e">
        <f t="array" ref="AG436">_xlfn.XLOOKUP($B436,$B$114:$B$212,_xlfn.XLOOKUP(AG$219,$D$5:$AO$5,$D$114:$AO$212))</f>
        <v>#REF!</v>
      </c>
      <c r="AH436" s="304" t="e">
        <f t="array" ref="AH436">_xlfn.XLOOKUP($B436,$B$114:$B$212,_xlfn.XLOOKUP(AH$219,$D$5:$AO$5,$D$114:$AO$212))</f>
        <v>#REF!</v>
      </c>
      <c r="AI436" s="304" t="e">
        <f t="array" ref="AI436">_xlfn.XLOOKUP($B436,$B$114:$B$212,_xlfn.XLOOKUP(AI$219,$D$5:$AO$5,$D$114:$AO$212))</f>
        <v>#REF!</v>
      </c>
      <c r="AJ436" s="304" t="e">
        <f t="array" ref="AJ436">_xlfn.XLOOKUP($B436,$B$114:$B$212,_xlfn.XLOOKUP(AJ$219,$D$5:$AO$5,$D$114:$AO$212))</f>
        <v>#REF!</v>
      </c>
      <c r="AK436" s="304" t="e">
        <f t="array" ref="AK436">_xlfn.XLOOKUP($B436,$B$114:$B$212,_xlfn.XLOOKUP(AK$219,$D$5:$AO$5,$D$114:$AO$212))</f>
        <v>#REF!</v>
      </c>
      <c r="AL436" s="304" t="e">
        <f t="array" ref="AL436">_xlfn.XLOOKUP($B436,$B$114:$B$212,_xlfn.XLOOKUP(AL$219,$D$5:$AO$5,$D$114:$AO$212))</f>
        <v>#REF!</v>
      </c>
      <c r="AM436" s="304" t="e">
        <f t="array" ref="AM436">_xlfn.XLOOKUP($B436,$B$114:$B$212,_xlfn.XLOOKUP(AM$219,$D$5:$AO$5,$D$114:$AO$212))</f>
        <v>#REF!</v>
      </c>
      <c r="AN436" s="304" t="e">
        <f t="array" ref="AN436">_xlfn.XLOOKUP($B436,$B$114:$B$212,_xlfn.XLOOKUP(AN$219,$D$5:$AO$5,$D$114:$AO$212))</f>
        <v>#REF!</v>
      </c>
      <c r="AO436" s="304" t="e">
        <f t="array" ref="AO436">_xlfn.XLOOKUP($B436,$B$114:$B$212,_xlfn.XLOOKUP(AO$219,$D$5:$AO$5,$D$114:$AO$212))</f>
        <v>#REF!</v>
      </c>
    </row>
    <row r="437" spans="2:41">
      <c r="B437" s="301" t="s">
        <v>1475</v>
      </c>
      <c r="C437" s="306" t="s">
        <v>1549</v>
      </c>
      <c r="D437" s="307" t="str">
        <f t="array" ref="D437">_xlfn.XLOOKUP($B437,$B$11:$B$109,_xlfn.XLOOKUP(D$219,$D$5:$AO$5,$D$11:$AO$109))</f>
        <v>NZ$m</v>
      </c>
      <c r="E437" s="307"/>
      <c r="F437" s="307"/>
      <c r="G437" s="308" t="e">
        <f t="array" ref="G437">_xlfn.XLOOKUP($B437,$B$11:$B$109,_xlfn.XLOOKUP(G$219,$D$5:$AO$5,$D$11:$AO$109))</f>
        <v>#REF!</v>
      </c>
      <c r="H437" s="308" t="e">
        <f t="array" ref="H437">_xlfn.XLOOKUP($B437,$B$11:$B$109,_xlfn.XLOOKUP(H$219,$D$5:$AO$5,$D$11:$AO$109))</f>
        <v>#REF!</v>
      </c>
      <c r="I437" s="308" t="e">
        <f t="array" ref="I437">_xlfn.XLOOKUP($B437,$B$11:$B$109,_xlfn.XLOOKUP(I$219,$D$5:$AO$5,$D$11:$AO$109))</f>
        <v>#REF!</v>
      </c>
      <c r="J437" s="308" t="e">
        <f t="array" ref="J437">_xlfn.XLOOKUP($B437,$B$11:$B$109,_xlfn.XLOOKUP(J$219,$D$5:$AO$5,$D$11:$AO$109))</f>
        <v>#REF!</v>
      </c>
      <c r="K437" s="308" t="e">
        <f t="array" ref="K437">_xlfn.XLOOKUP($B437,$B$11:$B$109,_xlfn.XLOOKUP(K$219,$D$5:$AO$5,$D$11:$AO$109))</f>
        <v>#REF!</v>
      </c>
      <c r="L437" s="308" t="e">
        <f t="array" ref="L437">_xlfn.XLOOKUP($B437,$B$11:$B$109,_xlfn.XLOOKUP(L$219,$D$5:$AO$5,$D$11:$AO$109))</f>
        <v>#REF!</v>
      </c>
      <c r="M437" s="308" t="e">
        <f t="array" ref="M437">_xlfn.XLOOKUP($B437,$B$11:$B$109,_xlfn.XLOOKUP(M$219,$D$5:$AO$5,$D$11:$AO$109))</f>
        <v>#REF!</v>
      </c>
      <c r="N437" s="308" t="e">
        <f t="array" ref="N437">_xlfn.XLOOKUP($B437,$B$11:$B$109,_xlfn.XLOOKUP(N$219,$D$5:$AO$5,$D$11:$AO$109))</f>
        <v>#REF!</v>
      </c>
      <c r="O437" s="308" t="e">
        <f t="array" ref="O437">_xlfn.XLOOKUP($B437,$B$11:$B$109,_xlfn.XLOOKUP(O$219,$D$5:$AO$5,$D$11:$AO$109))</f>
        <v>#REF!</v>
      </c>
      <c r="P437" s="308" t="e">
        <f t="array" ref="P437">_xlfn.XLOOKUP($B437,$B$11:$B$109,_xlfn.XLOOKUP(P$219,$D$5:$AO$5,$D$11:$AO$109))</f>
        <v>#REF!</v>
      </c>
      <c r="Q437" s="308" t="e">
        <f t="array" ref="Q437">_xlfn.XLOOKUP($B437,$B$11:$B$109,_xlfn.XLOOKUP(Q$219,$D$5:$AO$5,$D$11:$AO$109))</f>
        <v>#REF!</v>
      </c>
      <c r="R437" s="308" t="e">
        <f t="array" ref="R437">_xlfn.XLOOKUP($B437,$B$11:$B$109,_xlfn.XLOOKUP(R$219,$D$5:$AO$5,$D$11:$AO$109))</f>
        <v>#REF!</v>
      </c>
      <c r="S437" s="308" t="e">
        <f t="array" ref="S437">_xlfn.XLOOKUP($B437,$B$11:$B$109,_xlfn.XLOOKUP(S$219,$D$5:$AO$5,$D$11:$AO$109))</f>
        <v>#REF!</v>
      </c>
      <c r="T437" s="308" t="e">
        <f t="array" ref="T437">_xlfn.XLOOKUP($B437,$B$11:$B$109,_xlfn.XLOOKUP(T$219,$D$5:$AO$5,$D$11:$AO$109))</f>
        <v>#REF!</v>
      </c>
      <c r="U437" s="308" t="e">
        <f t="array" ref="U437">_xlfn.XLOOKUP($B437,$B$11:$B$109,_xlfn.XLOOKUP(U$219,$D$5:$AO$5,$D$11:$AO$109))</f>
        <v>#REF!</v>
      </c>
      <c r="V437" s="308" t="e">
        <f t="array" ref="V437">_xlfn.XLOOKUP($B437,$B$11:$B$109,_xlfn.XLOOKUP(V$219,$D$5:$AO$5,$D$11:$AO$109))</f>
        <v>#REF!</v>
      </c>
      <c r="W437" s="308" t="e">
        <f t="array" ref="W437">_xlfn.XLOOKUP($B437,$B$11:$B$109,_xlfn.XLOOKUP(W$219,$D$5:$AO$5,$D$11:$AO$109))</f>
        <v>#REF!</v>
      </c>
      <c r="X437" s="308" t="e">
        <f t="array" ref="X437">_xlfn.XLOOKUP($B437,$B$11:$B$109,_xlfn.XLOOKUP(X$219,$D$5:$AO$5,$D$11:$AO$109))</f>
        <v>#REF!</v>
      </c>
      <c r="Y437" s="308" t="e">
        <f t="array" ref="Y437">_xlfn.XLOOKUP($B437,$B$11:$B$109,_xlfn.XLOOKUP(Y$219,$D$5:$AO$5,$D$11:$AO$109))</f>
        <v>#REF!</v>
      </c>
      <c r="Z437" s="308" t="e">
        <f t="array" ref="Z437">_xlfn.XLOOKUP($B437,$B$11:$B$109,_xlfn.XLOOKUP(Z$219,$D$5:$AO$5,$D$11:$AO$109))</f>
        <v>#REF!</v>
      </c>
      <c r="AA437" s="308"/>
      <c r="AB437" s="306" t="str">
        <f t="shared" si="234"/>
        <v>Adelaide - New</v>
      </c>
      <c r="AC437" s="307" t="str">
        <f t="shared" si="235"/>
        <v>NZ$m</v>
      </c>
      <c r="AD437" s="307"/>
      <c r="AE437" s="307"/>
      <c r="AF437" s="308" t="e">
        <f t="array" ref="AF437">_xlfn.XLOOKUP($B437,$B$11:$B$109,_xlfn.XLOOKUP(AF$219,$D$5:$AO$5,$D$11:$AO$109))</f>
        <v>#REF!</v>
      </c>
      <c r="AG437" s="308" t="e">
        <f t="array" ref="AG437">_xlfn.XLOOKUP($B437,$B$11:$B$109,_xlfn.XLOOKUP(AG$219,$D$5:$AO$5,$D$11:$AO$109))</f>
        <v>#REF!</v>
      </c>
      <c r="AH437" s="308" t="e">
        <f t="array" ref="AH437">_xlfn.XLOOKUP($B437,$B$11:$B$109,_xlfn.XLOOKUP(AH$219,$D$5:$AO$5,$D$11:$AO$109))</f>
        <v>#REF!</v>
      </c>
      <c r="AI437" s="308" t="e">
        <f t="array" ref="AI437">_xlfn.XLOOKUP($B437,$B$11:$B$109,_xlfn.XLOOKUP(AI$219,$D$5:$AO$5,$D$11:$AO$109))</f>
        <v>#REF!</v>
      </c>
      <c r="AJ437" s="308" t="e">
        <f t="array" ref="AJ437">_xlfn.XLOOKUP($B437,$B$11:$B$109,_xlfn.XLOOKUP(AJ$219,$D$5:$AO$5,$D$11:$AO$109))</f>
        <v>#REF!</v>
      </c>
      <c r="AK437" s="308" t="e">
        <f t="array" ref="AK437">_xlfn.XLOOKUP($B437,$B$11:$B$109,_xlfn.XLOOKUP(AK$219,$D$5:$AO$5,$D$11:$AO$109))</f>
        <v>#REF!</v>
      </c>
      <c r="AL437" s="308" t="e">
        <f t="array" ref="AL437">_xlfn.XLOOKUP($B437,$B$11:$B$109,_xlfn.XLOOKUP(AL$219,$D$5:$AO$5,$D$11:$AO$109))</f>
        <v>#REF!</v>
      </c>
      <c r="AM437" s="308" t="e">
        <f t="array" ref="AM437">_xlfn.XLOOKUP($B437,$B$11:$B$109,_xlfn.XLOOKUP(AM$219,$D$5:$AO$5,$D$11:$AO$109))</f>
        <v>#REF!</v>
      </c>
      <c r="AN437" s="308" t="e">
        <f t="array" ref="AN437">_xlfn.XLOOKUP($B437,$B$11:$B$109,_xlfn.XLOOKUP(AN$219,$D$5:$AO$5,$D$11:$AO$109))</f>
        <v>#REF!</v>
      </c>
      <c r="AO437" s="308" t="e">
        <f t="array" ref="AO437">_xlfn.XLOOKUP($B437,$B$11:$B$109,_xlfn.XLOOKUP(AO$219,$D$5:$AO$5,$D$11:$AO$109))</f>
        <v>#REF!</v>
      </c>
    </row>
    <row r="438" spans="2:41" hidden="1" outlineLevel="1">
      <c r="B438" s="301"/>
      <c r="C438" s="309" t="s">
        <v>1510</v>
      </c>
      <c r="D438" s="303" t="s">
        <v>88</v>
      </c>
      <c r="E438" s="303"/>
      <c r="F438" s="303"/>
      <c r="G438" s="310" t="s">
        <v>967</v>
      </c>
      <c r="H438" s="310" t="s">
        <v>967</v>
      </c>
      <c r="I438" s="310" t="e">
        <f t="shared" ref="I438:Z438" si="248">I437/G437-1</f>
        <v>#REF!</v>
      </c>
      <c r="J438" s="310" t="e">
        <f t="shared" si="248"/>
        <v>#REF!</v>
      </c>
      <c r="K438" s="310" t="e">
        <f t="shared" si="248"/>
        <v>#REF!</v>
      </c>
      <c r="L438" s="310" t="e">
        <f t="shared" si="248"/>
        <v>#REF!</v>
      </c>
      <c r="M438" s="310" t="e">
        <f t="shared" si="248"/>
        <v>#REF!</v>
      </c>
      <c r="N438" s="310" t="e">
        <f t="shared" si="248"/>
        <v>#REF!</v>
      </c>
      <c r="O438" s="310" t="e">
        <f t="shared" si="248"/>
        <v>#REF!</v>
      </c>
      <c r="P438" s="310" t="e">
        <f t="shared" si="248"/>
        <v>#REF!</v>
      </c>
      <c r="Q438" s="310" t="e">
        <f t="shared" si="248"/>
        <v>#REF!</v>
      </c>
      <c r="R438" s="310" t="e">
        <f t="shared" si="248"/>
        <v>#REF!</v>
      </c>
      <c r="S438" s="310" t="e">
        <f t="shared" si="248"/>
        <v>#REF!</v>
      </c>
      <c r="T438" s="310" t="e">
        <f t="shared" si="248"/>
        <v>#REF!</v>
      </c>
      <c r="U438" s="310" t="e">
        <f t="shared" si="248"/>
        <v>#REF!</v>
      </c>
      <c r="V438" s="310" t="e">
        <f t="shared" si="248"/>
        <v>#REF!</v>
      </c>
      <c r="W438" s="310" t="e">
        <f t="shared" si="248"/>
        <v>#REF!</v>
      </c>
      <c r="X438" s="310" t="e">
        <f t="shared" si="248"/>
        <v>#REF!</v>
      </c>
      <c r="Y438" s="310" t="e">
        <f t="shared" si="248"/>
        <v>#REF!</v>
      </c>
      <c r="Z438" s="310" t="e">
        <f t="shared" si="248"/>
        <v>#REF!</v>
      </c>
      <c r="AA438" s="311"/>
      <c r="AB438" s="309" t="str">
        <f t="shared" si="234"/>
        <v>- Growth</v>
      </c>
      <c r="AC438" s="303" t="str">
        <f t="shared" si="235"/>
        <v>%</v>
      </c>
      <c r="AD438" s="303"/>
      <c r="AE438" s="303"/>
      <c r="AF438" s="310" t="s">
        <v>967</v>
      </c>
      <c r="AG438" s="310" t="e">
        <f t="shared" ref="AG438:AO438" si="249">AG437/AF437-1</f>
        <v>#REF!</v>
      </c>
      <c r="AH438" s="310" t="e">
        <f t="shared" si="249"/>
        <v>#REF!</v>
      </c>
      <c r="AI438" s="310" t="e">
        <f t="shared" si="249"/>
        <v>#REF!</v>
      </c>
      <c r="AJ438" s="310" t="e">
        <f t="shared" si="249"/>
        <v>#REF!</v>
      </c>
      <c r="AK438" s="310" t="e">
        <f t="shared" si="249"/>
        <v>#REF!</v>
      </c>
      <c r="AL438" s="310" t="e">
        <f t="shared" si="249"/>
        <v>#REF!</v>
      </c>
      <c r="AM438" s="310" t="e">
        <f t="shared" si="249"/>
        <v>#REF!</v>
      </c>
      <c r="AN438" s="310" t="e">
        <f t="shared" si="249"/>
        <v>#REF!</v>
      </c>
      <c r="AO438" s="310" t="e">
        <f t="shared" si="249"/>
        <v>#REF!</v>
      </c>
    </row>
    <row r="439" spans="2:41" collapsed="1">
      <c r="B439" s="301"/>
      <c r="C439" s="309" t="s">
        <v>1511</v>
      </c>
      <c r="D439" s="303" t="s">
        <v>88</v>
      </c>
      <c r="E439" s="303"/>
      <c r="F439" s="303"/>
      <c r="G439" s="310">
        <f t="shared" ref="G439:Z439" si="250">IFERROR(ROUND( G437 / G436,2) - 1, 0)</f>
        <v>0</v>
      </c>
      <c r="H439" s="310">
        <f t="shared" si="250"/>
        <v>0</v>
      </c>
      <c r="I439" s="310">
        <f t="shared" si="250"/>
        <v>0</v>
      </c>
      <c r="J439" s="310">
        <f t="shared" si="250"/>
        <v>0</v>
      </c>
      <c r="K439" s="310">
        <f t="shared" si="250"/>
        <v>0</v>
      </c>
      <c r="L439" s="310">
        <f t="shared" si="250"/>
        <v>0</v>
      </c>
      <c r="M439" s="310">
        <f t="shared" si="250"/>
        <v>0</v>
      </c>
      <c r="N439" s="310">
        <f t="shared" si="250"/>
        <v>0</v>
      </c>
      <c r="O439" s="310">
        <f t="shared" si="250"/>
        <v>0</v>
      </c>
      <c r="P439" s="310">
        <f t="shared" si="250"/>
        <v>0</v>
      </c>
      <c r="Q439" s="310">
        <f t="shared" si="250"/>
        <v>0</v>
      </c>
      <c r="R439" s="310">
        <f t="shared" si="250"/>
        <v>0</v>
      </c>
      <c r="S439" s="310">
        <f t="shared" si="250"/>
        <v>0</v>
      </c>
      <c r="T439" s="310">
        <f t="shared" si="250"/>
        <v>0</v>
      </c>
      <c r="U439" s="310">
        <f t="shared" si="250"/>
        <v>0</v>
      </c>
      <c r="V439" s="310">
        <f t="shared" si="250"/>
        <v>0</v>
      </c>
      <c r="W439" s="310">
        <f t="shared" si="250"/>
        <v>0</v>
      </c>
      <c r="X439" s="310">
        <f t="shared" si="250"/>
        <v>0</v>
      </c>
      <c r="Y439" s="310">
        <f t="shared" si="250"/>
        <v>0</v>
      </c>
      <c r="Z439" s="310">
        <f t="shared" si="250"/>
        <v>0</v>
      </c>
      <c r="AA439" s="310"/>
      <c r="AB439" s="309" t="str">
        <f t="shared" si="234"/>
        <v>- Revision</v>
      </c>
      <c r="AC439" s="303" t="str">
        <f t="shared" si="235"/>
        <v>%</v>
      </c>
      <c r="AD439" s="303"/>
      <c r="AE439" s="303"/>
      <c r="AF439" s="310">
        <f t="shared" ref="AF439:AO439" si="251">IFERROR(ROUND( AF437 / AF436,2) - 1, 0)</f>
        <v>0</v>
      </c>
      <c r="AG439" s="310">
        <f t="shared" si="251"/>
        <v>0</v>
      </c>
      <c r="AH439" s="310">
        <f t="shared" si="251"/>
        <v>0</v>
      </c>
      <c r="AI439" s="310">
        <f t="shared" si="251"/>
        <v>0</v>
      </c>
      <c r="AJ439" s="310">
        <f t="shared" si="251"/>
        <v>0</v>
      </c>
      <c r="AK439" s="310">
        <f t="shared" si="251"/>
        <v>0</v>
      </c>
      <c r="AL439" s="310">
        <f t="shared" si="251"/>
        <v>0</v>
      </c>
      <c r="AM439" s="310">
        <f t="shared" si="251"/>
        <v>0</v>
      </c>
      <c r="AN439" s="310">
        <f t="shared" si="251"/>
        <v>0</v>
      </c>
      <c r="AO439" s="310">
        <f t="shared" si="251"/>
        <v>0</v>
      </c>
    </row>
    <row r="440" spans="2:41">
      <c r="B440" s="301" t="s">
        <v>1476</v>
      </c>
      <c r="C440" s="302" t="s">
        <v>1550</v>
      </c>
      <c r="D440" s="303" t="str">
        <f t="array" ref="D440">_xlfn.XLOOKUP($B440,$B$114:$B$212,_xlfn.XLOOKUP(D$219,$D$5:$AO$5,$D$114:$AO$212))</f>
        <v>NZ$m</v>
      </c>
      <c r="E440" s="303"/>
      <c r="F440" s="303"/>
      <c r="G440" s="304" t="e">
        <f t="array" ref="G440">_xlfn.XLOOKUP($B440,$B$114:$B$212,_xlfn.XLOOKUP(G$219,$D$5:$AO$5,$D$114:$AO$212))</f>
        <v>#REF!</v>
      </c>
      <c r="H440" s="304" t="e">
        <f t="array" ref="H440">_xlfn.XLOOKUP($B440,$B$114:$B$212,_xlfn.XLOOKUP(H$219,$D$5:$AO$5,$D$114:$AO$212))</f>
        <v>#REF!</v>
      </c>
      <c r="I440" s="304" t="e">
        <f t="array" ref="I440">_xlfn.XLOOKUP($B440,$B$114:$B$212,_xlfn.XLOOKUP(I$219,$D$5:$AO$5,$D$114:$AO$212))</f>
        <v>#REF!</v>
      </c>
      <c r="J440" s="304" t="e">
        <f t="array" ref="J440">_xlfn.XLOOKUP($B440,$B$114:$B$212,_xlfn.XLOOKUP(J$219,$D$5:$AO$5,$D$114:$AO$212))</f>
        <v>#REF!</v>
      </c>
      <c r="K440" s="304" t="e">
        <f t="array" ref="K440">_xlfn.XLOOKUP($B440,$B$114:$B$212,_xlfn.XLOOKUP(K$219,$D$5:$AO$5,$D$114:$AO$212))</f>
        <v>#REF!</v>
      </c>
      <c r="L440" s="304" t="e">
        <f t="array" ref="L440">_xlfn.XLOOKUP($B440,$B$114:$B$212,_xlfn.XLOOKUP(L$219,$D$5:$AO$5,$D$114:$AO$212))</f>
        <v>#REF!</v>
      </c>
      <c r="M440" s="304" t="e">
        <f t="array" ref="M440">_xlfn.XLOOKUP($B440,$B$114:$B$212,_xlfn.XLOOKUP(M$219,$D$5:$AO$5,$D$114:$AO$212))</f>
        <v>#REF!</v>
      </c>
      <c r="N440" s="304" t="e">
        <f t="array" ref="N440">_xlfn.XLOOKUP($B440,$B$114:$B$212,_xlfn.XLOOKUP(N$219,$D$5:$AO$5,$D$114:$AO$212))</f>
        <v>#REF!</v>
      </c>
      <c r="O440" s="304" t="e">
        <f t="array" ref="O440">_xlfn.XLOOKUP($B440,$B$114:$B$212,_xlfn.XLOOKUP(O$219,$D$5:$AO$5,$D$114:$AO$212))</f>
        <v>#REF!</v>
      </c>
      <c r="P440" s="304" t="e">
        <f t="array" ref="P440">_xlfn.XLOOKUP($B440,$B$114:$B$212,_xlfn.XLOOKUP(P$219,$D$5:$AO$5,$D$114:$AO$212))</f>
        <v>#REF!</v>
      </c>
      <c r="Q440" s="304" t="e">
        <f t="array" ref="Q440">_xlfn.XLOOKUP($B440,$B$114:$B$212,_xlfn.XLOOKUP(Q$219,$D$5:$AO$5,$D$114:$AO$212))</f>
        <v>#REF!</v>
      </c>
      <c r="R440" s="304" t="e">
        <f t="array" ref="R440">_xlfn.XLOOKUP($B440,$B$114:$B$212,_xlfn.XLOOKUP(R$219,$D$5:$AO$5,$D$114:$AO$212))</f>
        <v>#REF!</v>
      </c>
      <c r="S440" s="304" t="e">
        <f t="array" ref="S440">_xlfn.XLOOKUP($B440,$B$114:$B$212,_xlfn.XLOOKUP(S$219,$D$5:$AO$5,$D$114:$AO$212))</f>
        <v>#REF!</v>
      </c>
      <c r="T440" s="304" t="e">
        <f t="array" ref="T440">_xlfn.XLOOKUP($B440,$B$114:$B$212,_xlfn.XLOOKUP(T$219,$D$5:$AO$5,$D$114:$AO$212))</f>
        <v>#REF!</v>
      </c>
      <c r="U440" s="304" t="e">
        <f t="array" ref="U440">_xlfn.XLOOKUP($B440,$B$114:$B$212,_xlfn.XLOOKUP(U$219,$D$5:$AO$5,$D$114:$AO$212))</f>
        <v>#REF!</v>
      </c>
      <c r="V440" s="304" t="e">
        <f t="array" ref="V440">_xlfn.XLOOKUP($B440,$B$114:$B$212,_xlfn.XLOOKUP(V$219,$D$5:$AO$5,$D$114:$AO$212))</f>
        <v>#REF!</v>
      </c>
      <c r="W440" s="304" t="e">
        <f t="array" ref="W440">_xlfn.XLOOKUP($B440,$B$114:$B$212,_xlfn.XLOOKUP(W$219,$D$5:$AO$5,$D$114:$AO$212))</f>
        <v>#REF!</v>
      </c>
      <c r="X440" s="304" t="e">
        <f t="array" ref="X440">_xlfn.XLOOKUP($B440,$B$114:$B$212,_xlfn.XLOOKUP(X$219,$D$5:$AO$5,$D$114:$AO$212))</f>
        <v>#REF!</v>
      </c>
      <c r="Y440" s="304" t="e">
        <f t="array" ref="Y440">_xlfn.XLOOKUP($B440,$B$114:$B$212,_xlfn.XLOOKUP(Y$219,$D$5:$AO$5,$D$114:$AO$212))</f>
        <v>#REF!</v>
      </c>
      <c r="Z440" s="304" t="e">
        <f t="array" ref="Z440">_xlfn.XLOOKUP($B440,$B$114:$B$212,_xlfn.XLOOKUP(Z$219,$D$5:$AO$5,$D$114:$AO$212))</f>
        <v>#REF!</v>
      </c>
      <c r="AA440" s="305"/>
      <c r="AB440" s="302" t="str">
        <f t="shared" si="234"/>
        <v>VIP - normalised - old</v>
      </c>
      <c r="AC440" s="303" t="str">
        <f t="shared" si="235"/>
        <v>NZ$m</v>
      </c>
      <c r="AD440" s="303"/>
      <c r="AE440" s="303"/>
      <c r="AF440" s="304" t="e">
        <f t="array" ref="AF440">_xlfn.XLOOKUP($B440,$B$114:$B$212,_xlfn.XLOOKUP(AF$219,$D$5:$AO$5,$D$114:$AO$212))</f>
        <v>#REF!</v>
      </c>
      <c r="AG440" s="304" t="e">
        <f t="array" ref="AG440">_xlfn.XLOOKUP($B440,$B$114:$B$212,_xlfn.XLOOKUP(AG$219,$D$5:$AO$5,$D$114:$AO$212))</f>
        <v>#REF!</v>
      </c>
      <c r="AH440" s="304" t="e">
        <f t="array" ref="AH440">_xlfn.XLOOKUP($B440,$B$114:$B$212,_xlfn.XLOOKUP(AH$219,$D$5:$AO$5,$D$114:$AO$212))</f>
        <v>#REF!</v>
      </c>
      <c r="AI440" s="304" t="e">
        <f t="array" ref="AI440">_xlfn.XLOOKUP($B440,$B$114:$B$212,_xlfn.XLOOKUP(AI$219,$D$5:$AO$5,$D$114:$AO$212))</f>
        <v>#REF!</v>
      </c>
      <c r="AJ440" s="304" t="e">
        <f t="array" ref="AJ440">_xlfn.XLOOKUP($B440,$B$114:$B$212,_xlfn.XLOOKUP(AJ$219,$D$5:$AO$5,$D$114:$AO$212))</f>
        <v>#REF!</v>
      </c>
      <c r="AK440" s="304" t="e">
        <f t="array" ref="AK440">_xlfn.XLOOKUP($B440,$B$114:$B$212,_xlfn.XLOOKUP(AK$219,$D$5:$AO$5,$D$114:$AO$212))</f>
        <v>#REF!</v>
      </c>
      <c r="AL440" s="304" t="e">
        <f t="array" ref="AL440">_xlfn.XLOOKUP($B440,$B$114:$B$212,_xlfn.XLOOKUP(AL$219,$D$5:$AO$5,$D$114:$AO$212))</f>
        <v>#REF!</v>
      </c>
      <c r="AM440" s="304" t="e">
        <f t="array" ref="AM440">_xlfn.XLOOKUP($B440,$B$114:$B$212,_xlfn.XLOOKUP(AM$219,$D$5:$AO$5,$D$114:$AO$212))</f>
        <v>#REF!</v>
      </c>
      <c r="AN440" s="304" t="e">
        <f t="array" ref="AN440">_xlfn.XLOOKUP($B440,$B$114:$B$212,_xlfn.XLOOKUP(AN$219,$D$5:$AO$5,$D$114:$AO$212))</f>
        <v>#REF!</v>
      </c>
      <c r="AO440" s="304" t="e">
        <f t="array" ref="AO440">_xlfn.XLOOKUP($B440,$B$114:$B$212,_xlfn.XLOOKUP(AO$219,$D$5:$AO$5,$D$114:$AO$212))</f>
        <v>#REF!</v>
      </c>
    </row>
    <row r="441" spans="2:41">
      <c r="B441" s="301" t="s">
        <v>1476</v>
      </c>
      <c r="C441" s="306" t="s">
        <v>1551</v>
      </c>
      <c r="D441" s="307" t="str">
        <f t="array" ref="D441">_xlfn.XLOOKUP($B441,$B$11:$B$109,_xlfn.XLOOKUP(D$219,$D$5:$AO$5,$D$11:$AO$109))</f>
        <v>NZ$m</v>
      </c>
      <c r="E441" s="307"/>
      <c r="F441" s="307"/>
      <c r="G441" s="308" t="e">
        <f t="array" ref="G441">_xlfn.XLOOKUP($B441,$B$11:$B$109,_xlfn.XLOOKUP(G$219,$D$5:$AO$5,$D$11:$AO$109))</f>
        <v>#REF!</v>
      </c>
      <c r="H441" s="308" t="e">
        <f t="array" ref="H441">_xlfn.XLOOKUP($B441,$B$11:$B$109,_xlfn.XLOOKUP(H$219,$D$5:$AO$5,$D$11:$AO$109))</f>
        <v>#REF!</v>
      </c>
      <c r="I441" s="308" t="e">
        <f t="array" ref="I441">_xlfn.XLOOKUP($B441,$B$11:$B$109,_xlfn.XLOOKUP(I$219,$D$5:$AO$5,$D$11:$AO$109))</f>
        <v>#REF!</v>
      </c>
      <c r="J441" s="308" t="e">
        <f t="array" ref="J441">_xlfn.XLOOKUP($B441,$B$11:$B$109,_xlfn.XLOOKUP(J$219,$D$5:$AO$5,$D$11:$AO$109))</f>
        <v>#REF!</v>
      </c>
      <c r="K441" s="308" t="e">
        <f t="array" ref="K441">_xlfn.XLOOKUP($B441,$B$11:$B$109,_xlfn.XLOOKUP(K$219,$D$5:$AO$5,$D$11:$AO$109))</f>
        <v>#REF!</v>
      </c>
      <c r="L441" s="308" t="e">
        <f t="array" ref="L441">_xlfn.XLOOKUP($B441,$B$11:$B$109,_xlfn.XLOOKUP(L$219,$D$5:$AO$5,$D$11:$AO$109))</f>
        <v>#REF!</v>
      </c>
      <c r="M441" s="308" t="e">
        <f t="array" ref="M441">_xlfn.XLOOKUP($B441,$B$11:$B$109,_xlfn.XLOOKUP(M$219,$D$5:$AO$5,$D$11:$AO$109))</f>
        <v>#REF!</v>
      </c>
      <c r="N441" s="308" t="e">
        <f t="array" ref="N441">_xlfn.XLOOKUP($B441,$B$11:$B$109,_xlfn.XLOOKUP(N$219,$D$5:$AO$5,$D$11:$AO$109))</f>
        <v>#REF!</v>
      </c>
      <c r="O441" s="308" t="e">
        <f t="array" ref="O441">_xlfn.XLOOKUP($B441,$B$11:$B$109,_xlfn.XLOOKUP(O$219,$D$5:$AO$5,$D$11:$AO$109))</f>
        <v>#REF!</v>
      </c>
      <c r="P441" s="308" t="e">
        <f t="array" ref="P441">_xlfn.XLOOKUP($B441,$B$11:$B$109,_xlfn.XLOOKUP(P$219,$D$5:$AO$5,$D$11:$AO$109))</f>
        <v>#REF!</v>
      </c>
      <c r="Q441" s="308" t="e">
        <f t="array" ref="Q441">_xlfn.XLOOKUP($B441,$B$11:$B$109,_xlfn.XLOOKUP(Q$219,$D$5:$AO$5,$D$11:$AO$109))</f>
        <v>#REF!</v>
      </c>
      <c r="R441" s="308" t="e">
        <f t="array" ref="R441">_xlfn.XLOOKUP($B441,$B$11:$B$109,_xlfn.XLOOKUP(R$219,$D$5:$AO$5,$D$11:$AO$109))</f>
        <v>#REF!</v>
      </c>
      <c r="S441" s="308" t="e">
        <f t="array" ref="S441">_xlfn.XLOOKUP($B441,$B$11:$B$109,_xlfn.XLOOKUP(S$219,$D$5:$AO$5,$D$11:$AO$109))</f>
        <v>#REF!</v>
      </c>
      <c r="T441" s="308" t="e">
        <f t="array" ref="T441">_xlfn.XLOOKUP($B441,$B$11:$B$109,_xlfn.XLOOKUP(T$219,$D$5:$AO$5,$D$11:$AO$109))</f>
        <v>#REF!</v>
      </c>
      <c r="U441" s="308" t="e">
        <f t="array" ref="U441">_xlfn.XLOOKUP($B441,$B$11:$B$109,_xlfn.XLOOKUP(U$219,$D$5:$AO$5,$D$11:$AO$109))</f>
        <v>#REF!</v>
      </c>
      <c r="V441" s="308" t="e">
        <f t="array" ref="V441">_xlfn.XLOOKUP($B441,$B$11:$B$109,_xlfn.XLOOKUP(V$219,$D$5:$AO$5,$D$11:$AO$109))</f>
        <v>#REF!</v>
      </c>
      <c r="W441" s="308" t="e">
        <f t="array" ref="W441">_xlfn.XLOOKUP($B441,$B$11:$B$109,_xlfn.XLOOKUP(W$219,$D$5:$AO$5,$D$11:$AO$109))</f>
        <v>#REF!</v>
      </c>
      <c r="X441" s="308" t="e">
        <f t="array" ref="X441">_xlfn.XLOOKUP($B441,$B$11:$B$109,_xlfn.XLOOKUP(X$219,$D$5:$AO$5,$D$11:$AO$109))</f>
        <v>#REF!</v>
      </c>
      <c r="Y441" s="308" t="e">
        <f t="array" ref="Y441">_xlfn.XLOOKUP($B441,$B$11:$B$109,_xlfn.XLOOKUP(Y$219,$D$5:$AO$5,$D$11:$AO$109))</f>
        <v>#REF!</v>
      </c>
      <c r="Z441" s="308" t="e">
        <f t="array" ref="Z441">_xlfn.XLOOKUP($B441,$B$11:$B$109,_xlfn.XLOOKUP(Z$219,$D$5:$AO$5,$D$11:$AO$109))</f>
        <v>#REF!</v>
      </c>
      <c r="AA441" s="308"/>
      <c r="AB441" s="306" t="str">
        <f t="shared" si="234"/>
        <v>VIP - normalised - New</v>
      </c>
      <c r="AC441" s="307" t="str">
        <f t="shared" si="235"/>
        <v>NZ$m</v>
      </c>
      <c r="AD441" s="307"/>
      <c r="AE441" s="307"/>
      <c r="AF441" s="308" t="e">
        <f t="array" ref="AF441">_xlfn.XLOOKUP($B441,$B$11:$B$109,_xlfn.XLOOKUP(AF$219,$D$5:$AO$5,$D$11:$AO$109))</f>
        <v>#REF!</v>
      </c>
      <c r="AG441" s="308" t="e">
        <f t="array" ref="AG441">_xlfn.XLOOKUP($B441,$B$11:$B$109,_xlfn.XLOOKUP(AG$219,$D$5:$AO$5,$D$11:$AO$109))</f>
        <v>#REF!</v>
      </c>
      <c r="AH441" s="308" t="e">
        <f t="array" ref="AH441">_xlfn.XLOOKUP($B441,$B$11:$B$109,_xlfn.XLOOKUP(AH$219,$D$5:$AO$5,$D$11:$AO$109))</f>
        <v>#REF!</v>
      </c>
      <c r="AI441" s="308" t="e">
        <f t="array" ref="AI441">_xlfn.XLOOKUP($B441,$B$11:$B$109,_xlfn.XLOOKUP(AI$219,$D$5:$AO$5,$D$11:$AO$109))</f>
        <v>#REF!</v>
      </c>
      <c r="AJ441" s="308" t="e">
        <f t="array" ref="AJ441">_xlfn.XLOOKUP($B441,$B$11:$B$109,_xlfn.XLOOKUP(AJ$219,$D$5:$AO$5,$D$11:$AO$109))</f>
        <v>#REF!</v>
      </c>
      <c r="AK441" s="308" t="e">
        <f t="array" ref="AK441">_xlfn.XLOOKUP($B441,$B$11:$B$109,_xlfn.XLOOKUP(AK$219,$D$5:$AO$5,$D$11:$AO$109))</f>
        <v>#REF!</v>
      </c>
      <c r="AL441" s="308" t="e">
        <f t="array" ref="AL441">_xlfn.XLOOKUP($B441,$B$11:$B$109,_xlfn.XLOOKUP(AL$219,$D$5:$AO$5,$D$11:$AO$109))</f>
        <v>#REF!</v>
      </c>
      <c r="AM441" s="308" t="e">
        <f t="array" ref="AM441">_xlfn.XLOOKUP($B441,$B$11:$B$109,_xlfn.XLOOKUP(AM$219,$D$5:$AO$5,$D$11:$AO$109))</f>
        <v>#REF!</v>
      </c>
      <c r="AN441" s="308" t="e">
        <f t="array" ref="AN441">_xlfn.XLOOKUP($B441,$B$11:$B$109,_xlfn.XLOOKUP(AN$219,$D$5:$AO$5,$D$11:$AO$109))</f>
        <v>#REF!</v>
      </c>
      <c r="AO441" s="308" t="e">
        <f t="array" ref="AO441">_xlfn.XLOOKUP($B441,$B$11:$B$109,_xlfn.XLOOKUP(AO$219,$D$5:$AO$5,$D$11:$AO$109))</f>
        <v>#REF!</v>
      </c>
    </row>
    <row r="442" spans="2:41" hidden="1" outlineLevel="1">
      <c r="B442" s="301"/>
      <c r="C442" s="309" t="s">
        <v>1510</v>
      </c>
      <c r="D442" s="303" t="s">
        <v>88</v>
      </c>
      <c r="E442" s="303"/>
      <c r="F442" s="303"/>
      <c r="G442" s="310" t="s">
        <v>967</v>
      </c>
      <c r="H442" s="310" t="s">
        <v>967</v>
      </c>
      <c r="I442" s="310" t="e">
        <f t="shared" ref="I442:Z442" si="252">I441/G441-1</f>
        <v>#REF!</v>
      </c>
      <c r="J442" s="310" t="e">
        <f t="shared" si="252"/>
        <v>#REF!</v>
      </c>
      <c r="K442" s="310" t="e">
        <f t="shared" si="252"/>
        <v>#REF!</v>
      </c>
      <c r="L442" s="310" t="e">
        <f t="shared" si="252"/>
        <v>#REF!</v>
      </c>
      <c r="M442" s="310" t="e">
        <f t="shared" si="252"/>
        <v>#REF!</v>
      </c>
      <c r="N442" s="310" t="e">
        <f t="shared" si="252"/>
        <v>#REF!</v>
      </c>
      <c r="O442" s="310" t="e">
        <f t="shared" si="252"/>
        <v>#REF!</v>
      </c>
      <c r="P442" s="310" t="e">
        <f t="shared" si="252"/>
        <v>#REF!</v>
      </c>
      <c r="Q442" s="310" t="e">
        <f t="shared" si="252"/>
        <v>#REF!</v>
      </c>
      <c r="R442" s="310" t="e">
        <f t="shared" si="252"/>
        <v>#REF!</v>
      </c>
      <c r="S442" s="310" t="e">
        <f t="shared" si="252"/>
        <v>#REF!</v>
      </c>
      <c r="T442" s="310" t="e">
        <f t="shared" si="252"/>
        <v>#REF!</v>
      </c>
      <c r="U442" s="310" t="e">
        <f t="shared" si="252"/>
        <v>#REF!</v>
      </c>
      <c r="V442" s="310" t="e">
        <f t="shared" si="252"/>
        <v>#REF!</v>
      </c>
      <c r="W442" s="310" t="e">
        <f t="shared" si="252"/>
        <v>#REF!</v>
      </c>
      <c r="X442" s="310" t="e">
        <f t="shared" si="252"/>
        <v>#REF!</v>
      </c>
      <c r="Y442" s="310" t="e">
        <f t="shared" si="252"/>
        <v>#REF!</v>
      </c>
      <c r="Z442" s="310" t="e">
        <f t="shared" si="252"/>
        <v>#REF!</v>
      </c>
      <c r="AA442" s="311"/>
      <c r="AB442" s="309" t="str">
        <f t="shared" si="234"/>
        <v>- Growth</v>
      </c>
      <c r="AC442" s="303" t="str">
        <f t="shared" si="235"/>
        <v>%</v>
      </c>
      <c r="AD442" s="303"/>
      <c r="AE442" s="303"/>
      <c r="AF442" s="310" t="s">
        <v>967</v>
      </c>
      <c r="AG442" s="310" t="e">
        <f t="shared" ref="AG442:AO442" si="253">AG441/AF441-1</f>
        <v>#REF!</v>
      </c>
      <c r="AH442" s="310" t="e">
        <f t="shared" si="253"/>
        <v>#REF!</v>
      </c>
      <c r="AI442" s="310" t="e">
        <f t="shared" si="253"/>
        <v>#REF!</v>
      </c>
      <c r="AJ442" s="310" t="e">
        <f t="shared" si="253"/>
        <v>#REF!</v>
      </c>
      <c r="AK442" s="310" t="e">
        <f t="shared" si="253"/>
        <v>#REF!</v>
      </c>
      <c r="AL442" s="310" t="e">
        <f t="shared" si="253"/>
        <v>#REF!</v>
      </c>
      <c r="AM442" s="310" t="e">
        <f t="shared" si="253"/>
        <v>#REF!</v>
      </c>
      <c r="AN442" s="310" t="e">
        <f t="shared" si="253"/>
        <v>#REF!</v>
      </c>
      <c r="AO442" s="310" t="e">
        <f t="shared" si="253"/>
        <v>#REF!</v>
      </c>
    </row>
    <row r="443" spans="2:41" collapsed="1">
      <c r="B443" s="301"/>
      <c r="C443" s="309" t="s">
        <v>1511</v>
      </c>
      <c r="D443" s="303" t="s">
        <v>88</v>
      </c>
      <c r="E443" s="303"/>
      <c r="F443" s="303"/>
      <c r="G443" s="310">
        <f t="shared" ref="G443:Z443" si="254">IFERROR(ROUND( G441 / G440,2) - 1, 0)</f>
        <v>0</v>
      </c>
      <c r="H443" s="310">
        <f t="shared" si="254"/>
        <v>0</v>
      </c>
      <c r="I443" s="310">
        <f t="shared" si="254"/>
        <v>0</v>
      </c>
      <c r="J443" s="310">
        <f t="shared" si="254"/>
        <v>0</v>
      </c>
      <c r="K443" s="310">
        <f t="shared" si="254"/>
        <v>0</v>
      </c>
      <c r="L443" s="310">
        <f t="shared" si="254"/>
        <v>0</v>
      </c>
      <c r="M443" s="310">
        <f t="shared" si="254"/>
        <v>0</v>
      </c>
      <c r="N443" s="310">
        <f t="shared" si="254"/>
        <v>0</v>
      </c>
      <c r="O443" s="310">
        <f t="shared" si="254"/>
        <v>0</v>
      </c>
      <c r="P443" s="310">
        <f t="shared" si="254"/>
        <v>0</v>
      </c>
      <c r="Q443" s="310">
        <f t="shared" si="254"/>
        <v>0</v>
      </c>
      <c r="R443" s="310">
        <f t="shared" si="254"/>
        <v>0</v>
      </c>
      <c r="S443" s="310">
        <f t="shared" si="254"/>
        <v>0</v>
      </c>
      <c r="T443" s="310">
        <f t="shared" si="254"/>
        <v>0</v>
      </c>
      <c r="U443" s="310">
        <f t="shared" si="254"/>
        <v>0</v>
      </c>
      <c r="V443" s="310">
        <f t="shared" si="254"/>
        <v>0</v>
      </c>
      <c r="W443" s="310">
        <f t="shared" si="254"/>
        <v>0</v>
      </c>
      <c r="X443" s="310">
        <f t="shared" si="254"/>
        <v>0</v>
      </c>
      <c r="Y443" s="310">
        <f t="shared" si="254"/>
        <v>0</v>
      </c>
      <c r="Z443" s="310">
        <f t="shared" si="254"/>
        <v>0</v>
      </c>
      <c r="AA443" s="310"/>
      <c r="AB443" s="309" t="str">
        <f t="shared" si="234"/>
        <v>- Revision</v>
      </c>
      <c r="AC443" s="303" t="str">
        <f t="shared" si="235"/>
        <v>%</v>
      </c>
      <c r="AD443" s="303"/>
      <c r="AE443" s="303"/>
      <c r="AF443" s="310">
        <f t="shared" ref="AF443:AO443" si="255">IFERROR(ROUND( AF441 / AF440,2) - 1, 0)</f>
        <v>0</v>
      </c>
      <c r="AG443" s="310">
        <f t="shared" si="255"/>
        <v>0</v>
      </c>
      <c r="AH443" s="310">
        <f t="shared" si="255"/>
        <v>0</v>
      </c>
      <c r="AI443" s="310">
        <f t="shared" si="255"/>
        <v>0</v>
      </c>
      <c r="AJ443" s="310">
        <f t="shared" si="255"/>
        <v>0</v>
      </c>
      <c r="AK443" s="310">
        <f t="shared" si="255"/>
        <v>0</v>
      </c>
      <c r="AL443" s="310">
        <f t="shared" si="255"/>
        <v>0</v>
      </c>
      <c r="AM443" s="310">
        <f t="shared" si="255"/>
        <v>0</v>
      </c>
      <c r="AN443" s="310">
        <f t="shared" si="255"/>
        <v>0</v>
      </c>
      <c r="AO443" s="310">
        <f t="shared" si="255"/>
        <v>0</v>
      </c>
    </row>
    <row r="444" spans="2:41">
      <c r="B444" s="301" t="s">
        <v>1477</v>
      </c>
      <c r="C444" s="302" t="s">
        <v>1552</v>
      </c>
      <c r="D444" s="303" t="str">
        <f t="array" ref="D444">_xlfn.XLOOKUP($B444,$B$114:$B$212,_xlfn.XLOOKUP(D$219,$D$5:$AO$5,$D$114:$AO$212))</f>
        <v>NZ$m</v>
      </c>
      <c r="E444" s="303"/>
      <c r="F444" s="303"/>
      <c r="G444" s="304" t="e">
        <f t="array" ref="G444">_xlfn.XLOOKUP($B444,$B$114:$B$212,_xlfn.XLOOKUP(G$219,$D$5:$AO$5,$D$114:$AO$212))</f>
        <v>#REF!</v>
      </c>
      <c r="H444" s="304" t="e">
        <f t="array" ref="H444">_xlfn.XLOOKUP($B444,$B$114:$B$212,_xlfn.XLOOKUP(H$219,$D$5:$AO$5,$D$114:$AO$212))</f>
        <v>#REF!</v>
      </c>
      <c r="I444" s="304" t="e">
        <f t="array" ref="I444">_xlfn.XLOOKUP($B444,$B$114:$B$212,_xlfn.XLOOKUP(I$219,$D$5:$AO$5,$D$114:$AO$212))</f>
        <v>#REF!</v>
      </c>
      <c r="J444" s="304" t="e">
        <f t="array" ref="J444">_xlfn.XLOOKUP($B444,$B$114:$B$212,_xlfn.XLOOKUP(J$219,$D$5:$AO$5,$D$114:$AO$212))</f>
        <v>#REF!</v>
      </c>
      <c r="K444" s="304" t="e">
        <f t="array" ref="K444">_xlfn.XLOOKUP($B444,$B$114:$B$212,_xlfn.XLOOKUP(K$219,$D$5:$AO$5,$D$114:$AO$212))</f>
        <v>#REF!</v>
      </c>
      <c r="L444" s="304" t="e">
        <f t="array" ref="L444">_xlfn.XLOOKUP($B444,$B$114:$B$212,_xlfn.XLOOKUP(L$219,$D$5:$AO$5,$D$114:$AO$212))</f>
        <v>#REF!</v>
      </c>
      <c r="M444" s="304" t="e">
        <f t="array" ref="M444">_xlfn.XLOOKUP($B444,$B$114:$B$212,_xlfn.XLOOKUP(M$219,$D$5:$AO$5,$D$114:$AO$212))</f>
        <v>#REF!</v>
      </c>
      <c r="N444" s="304" t="e">
        <f t="array" ref="N444">_xlfn.XLOOKUP($B444,$B$114:$B$212,_xlfn.XLOOKUP(N$219,$D$5:$AO$5,$D$114:$AO$212))</f>
        <v>#REF!</v>
      </c>
      <c r="O444" s="304" t="e">
        <f t="array" ref="O444">_xlfn.XLOOKUP($B444,$B$114:$B$212,_xlfn.XLOOKUP(O$219,$D$5:$AO$5,$D$114:$AO$212))</f>
        <v>#REF!</v>
      </c>
      <c r="P444" s="304" t="e">
        <f t="array" ref="P444">_xlfn.XLOOKUP($B444,$B$114:$B$212,_xlfn.XLOOKUP(P$219,$D$5:$AO$5,$D$114:$AO$212))</f>
        <v>#REF!</v>
      </c>
      <c r="Q444" s="304" t="e">
        <f t="array" ref="Q444">_xlfn.XLOOKUP($B444,$B$114:$B$212,_xlfn.XLOOKUP(Q$219,$D$5:$AO$5,$D$114:$AO$212))</f>
        <v>#REF!</v>
      </c>
      <c r="R444" s="304" t="e">
        <f t="array" ref="R444">_xlfn.XLOOKUP($B444,$B$114:$B$212,_xlfn.XLOOKUP(R$219,$D$5:$AO$5,$D$114:$AO$212))</f>
        <v>#REF!</v>
      </c>
      <c r="S444" s="304" t="e">
        <f t="array" ref="S444">_xlfn.XLOOKUP($B444,$B$114:$B$212,_xlfn.XLOOKUP(S$219,$D$5:$AO$5,$D$114:$AO$212))</f>
        <v>#REF!</v>
      </c>
      <c r="T444" s="304" t="e">
        <f t="array" ref="T444">_xlfn.XLOOKUP($B444,$B$114:$B$212,_xlfn.XLOOKUP(T$219,$D$5:$AO$5,$D$114:$AO$212))</f>
        <v>#REF!</v>
      </c>
      <c r="U444" s="304" t="e">
        <f t="array" ref="U444">_xlfn.XLOOKUP($B444,$B$114:$B$212,_xlfn.XLOOKUP(U$219,$D$5:$AO$5,$D$114:$AO$212))</f>
        <v>#REF!</v>
      </c>
      <c r="V444" s="304" t="e">
        <f t="array" ref="V444">_xlfn.XLOOKUP($B444,$B$114:$B$212,_xlfn.XLOOKUP(V$219,$D$5:$AO$5,$D$114:$AO$212))</f>
        <v>#REF!</v>
      </c>
      <c r="W444" s="304" t="e">
        <f t="array" ref="W444">_xlfn.XLOOKUP($B444,$B$114:$B$212,_xlfn.XLOOKUP(W$219,$D$5:$AO$5,$D$114:$AO$212))</f>
        <v>#REF!</v>
      </c>
      <c r="X444" s="304" t="e">
        <f t="array" ref="X444">_xlfn.XLOOKUP($B444,$B$114:$B$212,_xlfn.XLOOKUP(X$219,$D$5:$AO$5,$D$114:$AO$212))</f>
        <v>#REF!</v>
      </c>
      <c r="Y444" s="304" t="e">
        <f t="array" ref="Y444">_xlfn.XLOOKUP($B444,$B$114:$B$212,_xlfn.XLOOKUP(Y$219,$D$5:$AO$5,$D$114:$AO$212))</f>
        <v>#REF!</v>
      </c>
      <c r="Z444" s="304" t="e">
        <f t="array" ref="Z444">_xlfn.XLOOKUP($B444,$B$114:$B$212,_xlfn.XLOOKUP(Z$219,$D$5:$AO$5,$D$114:$AO$212))</f>
        <v>#REF!</v>
      </c>
      <c r="AA444" s="305"/>
      <c r="AB444" s="302" t="str">
        <f t="shared" si="234"/>
        <v>Online - old</v>
      </c>
      <c r="AC444" s="303" t="str">
        <f t="shared" si="235"/>
        <v>NZ$m</v>
      </c>
      <c r="AD444" s="303"/>
      <c r="AE444" s="303"/>
      <c r="AF444" s="304" t="e">
        <f t="array" ref="AF444">_xlfn.XLOOKUP($B444,$B$114:$B$212,_xlfn.XLOOKUP(AF$219,$D$5:$AO$5,$D$114:$AO$212))</f>
        <v>#REF!</v>
      </c>
      <c r="AG444" s="304" t="e">
        <f t="array" ref="AG444">_xlfn.XLOOKUP($B444,$B$114:$B$212,_xlfn.XLOOKUP(AG$219,$D$5:$AO$5,$D$114:$AO$212))</f>
        <v>#REF!</v>
      </c>
      <c r="AH444" s="304" t="e">
        <f t="array" ref="AH444">_xlfn.XLOOKUP($B444,$B$114:$B$212,_xlfn.XLOOKUP(AH$219,$D$5:$AO$5,$D$114:$AO$212))</f>
        <v>#REF!</v>
      </c>
      <c r="AI444" s="304" t="e">
        <f t="array" ref="AI444">_xlfn.XLOOKUP($B444,$B$114:$B$212,_xlfn.XLOOKUP(AI$219,$D$5:$AO$5,$D$114:$AO$212))</f>
        <v>#REF!</v>
      </c>
      <c r="AJ444" s="304" t="e">
        <f t="array" ref="AJ444">_xlfn.XLOOKUP($B444,$B$114:$B$212,_xlfn.XLOOKUP(AJ$219,$D$5:$AO$5,$D$114:$AO$212))</f>
        <v>#REF!</v>
      </c>
      <c r="AK444" s="304" t="e">
        <f t="array" ref="AK444">_xlfn.XLOOKUP($B444,$B$114:$B$212,_xlfn.XLOOKUP(AK$219,$D$5:$AO$5,$D$114:$AO$212))</f>
        <v>#REF!</v>
      </c>
      <c r="AL444" s="304" t="e">
        <f t="array" ref="AL444">_xlfn.XLOOKUP($B444,$B$114:$B$212,_xlfn.XLOOKUP(AL$219,$D$5:$AO$5,$D$114:$AO$212))</f>
        <v>#REF!</v>
      </c>
      <c r="AM444" s="304" t="e">
        <f t="array" ref="AM444">_xlfn.XLOOKUP($B444,$B$114:$B$212,_xlfn.XLOOKUP(AM$219,$D$5:$AO$5,$D$114:$AO$212))</f>
        <v>#REF!</v>
      </c>
      <c r="AN444" s="304" t="e">
        <f t="array" ref="AN444">_xlfn.XLOOKUP($B444,$B$114:$B$212,_xlfn.XLOOKUP(AN$219,$D$5:$AO$5,$D$114:$AO$212))</f>
        <v>#REF!</v>
      </c>
      <c r="AO444" s="304" t="e">
        <f t="array" ref="AO444">_xlfn.XLOOKUP($B444,$B$114:$B$212,_xlfn.XLOOKUP(AO$219,$D$5:$AO$5,$D$114:$AO$212))</f>
        <v>#REF!</v>
      </c>
    </row>
    <row r="445" spans="2:41">
      <c r="B445" s="301" t="s">
        <v>1477</v>
      </c>
      <c r="C445" s="306" t="s">
        <v>1553</v>
      </c>
      <c r="D445" s="307" t="str">
        <f t="array" ref="D445">_xlfn.XLOOKUP($B445,$B$11:$B$109,_xlfn.XLOOKUP(D$219,$D$5:$AO$5,$D$11:$AO$109))</f>
        <v>NZ$m</v>
      </c>
      <c r="E445" s="307"/>
      <c r="F445" s="307"/>
      <c r="G445" s="308" t="e">
        <f t="array" ref="G445">_xlfn.XLOOKUP($B445,$B$11:$B$109,_xlfn.XLOOKUP(G$219,$D$5:$AO$5,$D$11:$AO$109))</f>
        <v>#REF!</v>
      </c>
      <c r="H445" s="308" t="e">
        <f t="array" ref="H445">_xlfn.XLOOKUP($B445,$B$11:$B$109,_xlfn.XLOOKUP(H$219,$D$5:$AO$5,$D$11:$AO$109))</f>
        <v>#REF!</v>
      </c>
      <c r="I445" s="308" t="e">
        <f t="array" ref="I445">_xlfn.XLOOKUP($B445,$B$11:$B$109,_xlfn.XLOOKUP(I$219,$D$5:$AO$5,$D$11:$AO$109))</f>
        <v>#REF!</v>
      </c>
      <c r="J445" s="308" t="e">
        <f t="array" ref="J445">_xlfn.XLOOKUP($B445,$B$11:$B$109,_xlfn.XLOOKUP(J$219,$D$5:$AO$5,$D$11:$AO$109))</f>
        <v>#REF!</v>
      </c>
      <c r="K445" s="308" t="e">
        <f t="array" ref="K445">_xlfn.XLOOKUP($B445,$B$11:$B$109,_xlfn.XLOOKUP(K$219,$D$5:$AO$5,$D$11:$AO$109))</f>
        <v>#REF!</v>
      </c>
      <c r="L445" s="308" t="e">
        <f t="array" ref="L445">_xlfn.XLOOKUP($B445,$B$11:$B$109,_xlfn.XLOOKUP(L$219,$D$5:$AO$5,$D$11:$AO$109))</f>
        <v>#REF!</v>
      </c>
      <c r="M445" s="308" t="e">
        <f t="array" ref="M445">_xlfn.XLOOKUP($B445,$B$11:$B$109,_xlfn.XLOOKUP(M$219,$D$5:$AO$5,$D$11:$AO$109))</f>
        <v>#REF!</v>
      </c>
      <c r="N445" s="308" t="e">
        <f t="array" ref="N445">_xlfn.XLOOKUP($B445,$B$11:$B$109,_xlfn.XLOOKUP(N$219,$D$5:$AO$5,$D$11:$AO$109))</f>
        <v>#REF!</v>
      </c>
      <c r="O445" s="308" t="e">
        <f t="array" ref="O445">_xlfn.XLOOKUP($B445,$B$11:$B$109,_xlfn.XLOOKUP(O$219,$D$5:$AO$5,$D$11:$AO$109))</f>
        <v>#REF!</v>
      </c>
      <c r="P445" s="308" t="e">
        <f t="array" ref="P445">_xlfn.XLOOKUP($B445,$B$11:$B$109,_xlfn.XLOOKUP(P$219,$D$5:$AO$5,$D$11:$AO$109))</f>
        <v>#REF!</v>
      </c>
      <c r="Q445" s="308" t="e">
        <f t="array" ref="Q445">_xlfn.XLOOKUP($B445,$B$11:$B$109,_xlfn.XLOOKUP(Q$219,$D$5:$AO$5,$D$11:$AO$109))</f>
        <v>#REF!</v>
      </c>
      <c r="R445" s="308" t="e">
        <f t="array" ref="R445">_xlfn.XLOOKUP($B445,$B$11:$B$109,_xlfn.XLOOKUP(R$219,$D$5:$AO$5,$D$11:$AO$109))</f>
        <v>#REF!</v>
      </c>
      <c r="S445" s="308" t="e">
        <f t="array" ref="S445">_xlfn.XLOOKUP($B445,$B$11:$B$109,_xlfn.XLOOKUP(S$219,$D$5:$AO$5,$D$11:$AO$109))</f>
        <v>#REF!</v>
      </c>
      <c r="T445" s="308" t="e">
        <f t="array" ref="T445">_xlfn.XLOOKUP($B445,$B$11:$B$109,_xlfn.XLOOKUP(T$219,$D$5:$AO$5,$D$11:$AO$109))</f>
        <v>#REF!</v>
      </c>
      <c r="U445" s="308" t="e">
        <f t="array" ref="U445">_xlfn.XLOOKUP($B445,$B$11:$B$109,_xlfn.XLOOKUP(U$219,$D$5:$AO$5,$D$11:$AO$109))</f>
        <v>#REF!</v>
      </c>
      <c r="V445" s="308" t="e">
        <f t="array" ref="V445">_xlfn.XLOOKUP($B445,$B$11:$B$109,_xlfn.XLOOKUP(V$219,$D$5:$AO$5,$D$11:$AO$109))</f>
        <v>#REF!</v>
      </c>
      <c r="W445" s="308" t="e">
        <f t="array" ref="W445">_xlfn.XLOOKUP($B445,$B$11:$B$109,_xlfn.XLOOKUP(W$219,$D$5:$AO$5,$D$11:$AO$109))</f>
        <v>#REF!</v>
      </c>
      <c r="X445" s="308" t="e">
        <f t="array" ref="X445">_xlfn.XLOOKUP($B445,$B$11:$B$109,_xlfn.XLOOKUP(X$219,$D$5:$AO$5,$D$11:$AO$109))</f>
        <v>#REF!</v>
      </c>
      <c r="Y445" s="308" t="e">
        <f t="array" ref="Y445">_xlfn.XLOOKUP($B445,$B$11:$B$109,_xlfn.XLOOKUP(Y$219,$D$5:$AO$5,$D$11:$AO$109))</f>
        <v>#REF!</v>
      </c>
      <c r="Z445" s="308" t="e">
        <f t="array" ref="Z445">_xlfn.XLOOKUP($B445,$B$11:$B$109,_xlfn.XLOOKUP(Z$219,$D$5:$AO$5,$D$11:$AO$109))</f>
        <v>#REF!</v>
      </c>
      <c r="AA445" s="308"/>
      <c r="AB445" s="306" t="str">
        <f t="shared" si="234"/>
        <v>Online - New</v>
      </c>
      <c r="AC445" s="307" t="str">
        <f t="shared" si="235"/>
        <v>NZ$m</v>
      </c>
      <c r="AD445" s="307"/>
      <c r="AE445" s="307"/>
      <c r="AF445" s="308" t="e">
        <f t="array" ref="AF445">_xlfn.XLOOKUP($B445,$B$11:$B$109,_xlfn.XLOOKUP(AF$219,$D$5:$AO$5,$D$11:$AO$109))</f>
        <v>#REF!</v>
      </c>
      <c r="AG445" s="308" t="e">
        <f t="array" ref="AG445">_xlfn.XLOOKUP($B445,$B$11:$B$109,_xlfn.XLOOKUP(AG$219,$D$5:$AO$5,$D$11:$AO$109))</f>
        <v>#REF!</v>
      </c>
      <c r="AH445" s="308" t="e">
        <f t="array" ref="AH445">_xlfn.XLOOKUP($B445,$B$11:$B$109,_xlfn.XLOOKUP(AH$219,$D$5:$AO$5,$D$11:$AO$109))</f>
        <v>#REF!</v>
      </c>
      <c r="AI445" s="308" t="e">
        <f t="array" ref="AI445">_xlfn.XLOOKUP($B445,$B$11:$B$109,_xlfn.XLOOKUP(AI$219,$D$5:$AO$5,$D$11:$AO$109))</f>
        <v>#REF!</v>
      </c>
      <c r="AJ445" s="308" t="e">
        <f t="array" ref="AJ445">_xlfn.XLOOKUP($B445,$B$11:$B$109,_xlfn.XLOOKUP(AJ$219,$D$5:$AO$5,$D$11:$AO$109))</f>
        <v>#REF!</v>
      </c>
      <c r="AK445" s="308" t="e">
        <f t="array" ref="AK445">_xlfn.XLOOKUP($B445,$B$11:$B$109,_xlfn.XLOOKUP(AK$219,$D$5:$AO$5,$D$11:$AO$109))</f>
        <v>#REF!</v>
      </c>
      <c r="AL445" s="308" t="e">
        <f t="array" ref="AL445">_xlfn.XLOOKUP($B445,$B$11:$B$109,_xlfn.XLOOKUP(AL$219,$D$5:$AO$5,$D$11:$AO$109))</f>
        <v>#REF!</v>
      </c>
      <c r="AM445" s="308" t="e">
        <f t="array" ref="AM445">_xlfn.XLOOKUP($B445,$B$11:$B$109,_xlfn.XLOOKUP(AM$219,$D$5:$AO$5,$D$11:$AO$109))</f>
        <v>#REF!</v>
      </c>
      <c r="AN445" s="308" t="e">
        <f t="array" ref="AN445">_xlfn.XLOOKUP($B445,$B$11:$B$109,_xlfn.XLOOKUP(AN$219,$D$5:$AO$5,$D$11:$AO$109))</f>
        <v>#REF!</v>
      </c>
      <c r="AO445" s="308" t="e">
        <f t="array" ref="AO445">_xlfn.XLOOKUP($B445,$B$11:$B$109,_xlfn.XLOOKUP(AO$219,$D$5:$AO$5,$D$11:$AO$109))</f>
        <v>#REF!</v>
      </c>
    </row>
    <row r="446" spans="2:41" hidden="1" outlineLevel="1">
      <c r="B446" s="301"/>
      <c r="C446" s="309" t="s">
        <v>1510</v>
      </c>
      <c r="D446" s="303" t="s">
        <v>88</v>
      </c>
      <c r="E446" s="303"/>
      <c r="F446" s="303"/>
      <c r="G446" s="310" t="s">
        <v>967</v>
      </c>
      <c r="H446" s="310" t="s">
        <v>967</v>
      </c>
      <c r="I446" s="310" t="e">
        <f t="shared" ref="I446:Z446" si="256">I445/G445-1</f>
        <v>#REF!</v>
      </c>
      <c r="J446" s="310" t="e">
        <f t="shared" si="256"/>
        <v>#REF!</v>
      </c>
      <c r="K446" s="310" t="e">
        <f t="shared" si="256"/>
        <v>#REF!</v>
      </c>
      <c r="L446" s="310" t="e">
        <f t="shared" si="256"/>
        <v>#REF!</v>
      </c>
      <c r="M446" s="310" t="e">
        <f t="shared" si="256"/>
        <v>#REF!</v>
      </c>
      <c r="N446" s="310" t="e">
        <f t="shared" si="256"/>
        <v>#REF!</v>
      </c>
      <c r="O446" s="310" t="e">
        <f t="shared" si="256"/>
        <v>#REF!</v>
      </c>
      <c r="P446" s="310" t="e">
        <f t="shared" si="256"/>
        <v>#REF!</v>
      </c>
      <c r="Q446" s="310" t="e">
        <f t="shared" si="256"/>
        <v>#REF!</v>
      </c>
      <c r="R446" s="310" t="e">
        <f t="shared" si="256"/>
        <v>#REF!</v>
      </c>
      <c r="S446" s="310" t="e">
        <f t="shared" si="256"/>
        <v>#REF!</v>
      </c>
      <c r="T446" s="310" t="e">
        <f t="shared" si="256"/>
        <v>#REF!</v>
      </c>
      <c r="U446" s="310" t="e">
        <f t="shared" si="256"/>
        <v>#REF!</v>
      </c>
      <c r="V446" s="310" t="e">
        <f t="shared" si="256"/>
        <v>#REF!</v>
      </c>
      <c r="W446" s="310" t="e">
        <f t="shared" si="256"/>
        <v>#REF!</v>
      </c>
      <c r="X446" s="310" t="e">
        <f t="shared" si="256"/>
        <v>#REF!</v>
      </c>
      <c r="Y446" s="310" t="e">
        <f t="shared" si="256"/>
        <v>#REF!</v>
      </c>
      <c r="Z446" s="310" t="e">
        <f t="shared" si="256"/>
        <v>#REF!</v>
      </c>
      <c r="AA446" s="311"/>
      <c r="AB446" s="309" t="str">
        <f t="shared" si="234"/>
        <v>- Growth</v>
      </c>
      <c r="AC446" s="303" t="str">
        <f t="shared" si="235"/>
        <v>%</v>
      </c>
      <c r="AD446" s="303"/>
      <c r="AE446" s="303"/>
      <c r="AF446" s="310" t="s">
        <v>967</v>
      </c>
      <c r="AG446" s="310" t="e">
        <f t="shared" ref="AG446:AO446" si="257">AG445/AF445-1</f>
        <v>#REF!</v>
      </c>
      <c r="AH446" s="310" t="e">
        <f t="shared" si="257"/>
        <v>#REF!</v>
      </c>
      <c r="AI446" s="310" t="e">
        <f t="shared" si="257"/>
        <v>#REF!</v>
      </c>
      <c r="AJ446" s="310" t="e">
        <f t="shared" si="257"/>
        <v>#REF!</v>
      </c>
      <c r="AK446" s="310" t="e">
        <f t="shared" si="257"/>
        <v>#REF!</v>
      </c>
      <c r="AL446" s="310" t="e">
        <f t="shared" si="257"/>
        <v>#REF!</v>
      </c>
      <c r="AM446" s="310" t="e">
        <f t="shared" si="257"/>
        <v>#REF!</v>
      </c>
      <c r="AN446" s="310" t="e">
        <f t="shared" si="257"/>
        <v>#REF!</v>
      </c>
      <c r="AO446" s="310" t="e">
        <f t="shared" si="257"/>
        <v>#REF!</v>
      </c>
    </row>
    <row r="447" spans="2:41" collapsed="1">
      <c r="B447" s="301"/>
      <c r="C447" s="309" t="s">
        <v>1511</v>
      </c>
      <c r="D447" s="303" t="s">
        <v>88</v>
      </c>
      <c r="E447" s="303"/>
      <c r="F447" s="303"/>
      <c r="G447" s="310">
        <f t="shared" ref="G447:Z447" si="258">IFERROR(ROUND( G445 / G444,2) - 1, 0)</f>
        <v>0</v>
      </c>
      <c r="H447" s="310">
        <f t="shared" si="258"/>
        <v>0</v>
      </c>
      <c r="I447" s="310">
        <f t="shared" si="258"/>
        <v>0</v>
      </c>
      <c r="J447" s="310">
        <f t="shared" si="258"/>
        <v>0</v>
      </c>
      <c r="K447" s="310">
        <f t="shared" si="258"/>
        <v>0</v>
      </c>
      <c r="L447" s="310">
        <f t="shared" si="258"/>
        <v>0</v>
      </c>
      <c r="M447" s="310">
        <f t="shared" si="258"/>
        <v>0</v>
      </c>
      <c r="N447" s="310">
        <f t="shared" si="258"/>
        <v>0</v>
      </c>
      <c r="O447" s="310">
        <f t="shared" si="258"/>
        <v>0</v>
      </c>
      <c r="P447" s="310">
        <f t="shared" si="258"/>
        <v>0</v>
      </c>
      <c r="Q447" s="310">
        <f t="shared" si="258"/>
        <v>0</v>
      </c>
      <c r="R447" s="310">
        <f t="shared" si="258"/>
        <v>0</v>
      </c>
      <c r="S447" s="310">
        <f t="shared" si="258"/>
        <v>0</v>
      </c>
      <c r="T447" s="310">
        <f t="shared" si="258"/>
        <v>0</v>
      </c>
      <c r="U447" s="310">
        <f t="shared" si="258"/>
        <v>0</v>
      </c>
      <c r="V447" s="310">
        <f t="shared" si="258"/>
        <v>0</v>
      </c>
      <c r="W447" s="310">
        <f t="shared" si="258"/>
        <v>0</v>
      </c>
      <c r="X447" s="310">
        <f t="shared" si="258"/>
        <v>0</v>
      </c>
      <c r="Y447" s="310">
        <f t="shared" si="258"/>
        <v>0</v>
      </c>
      <c r="Z447" s="310">
        <f t="shared" si="258"/>
        <v>0</v>
      </c>
      <c r="AA447" s="310"/>
      <c r="AB447" s="309" t="str">
        <f t="shared" si="234"/>
        <v>- Revision</v>
      </c>
      <c r="AC447" s="303" t="str">
        <f t="shared" si="235"/>
        <v>%</v>
      </c>
      <c r="AD447" s="303"/>
      <c r="AE447" s="303"/>
      <c r="AF447" s="310">
        <f t="shared" ref="AF447:AO447" si="259">IFERROR(ROUND( AF445 / AF444,2) - 1, 0)</f>
        <v>0</v>
      </c>
      <c r="AG447" s="310">
        <f t="shared" si="259"/>
        <v>0</v>
      </c>
      <c r="AH447" s="310">
        <f t="shared" si="259"/>
        <v>0</v>
      </c>
      <c r="AI447" s="310">
        <f t="shared" si="259"/>
        <v>0</v>
      </c>
      <c r="AJ447" s="310">
        <f t="shared" si="259"/>
        <v>0</v>
      </c>
      <c r="AK447" s="310">
        <f t="shared" si="259"/>
        <v>0</v>
      </c>
      <c r="AL447" s="310">
        <f t="shared" si="259"/>
        <v>0</v>
      </c>
      <c r="AM447" s="310">
        <f t="shared" si="259"/>
        <v>0</v>
      </c>
      <c r="AN447" s="310">
        <f t="shared" si="259"/>
        <v>0</v>
      </c>
      <c r="AO447" s="310">
        <f t="shared" si="259"/>
        <v>0</v>
      </c>
    </row>
    <row r="448" spans="2:41">
      <c r="B448" s="301" t="s">
        <v>1478</v>
      </c>
      <c r="C448" s="302" t="s">
        <v>1558</v>
      </c>
      <c r="D448" s="303" t="str">
        <f t="array" ref="D448">_xlfn.XLOOKUP($B448,$B$114:$B$212,_xlfn.XLOOKUP(D$219,$D$5:$AO$5,$D$114:$AO$212))</f>
        <v>NZ$m</v>
      </c>
      <c r="E448" s="303"/>
      <c r="F448" s="303"/>
      <c r="G448" s="304" t="e">
        <f t="array" ref="G448">_xlfn.XLOOKUP($B448,$B$114:$B$212,_xlfn.XLOOKUP(G$219,$D$5:$AO$5,$D$114:$AO$212))</f>
        <v>#REF!</v>
      </c>
      <c r="H448" s="304" t="e">
        <f t="array" ref="H448">_xlfn.XLOOKUP($B448,$B$114:$B$212,_xlfn.XLOOKUP(H$219,$D$5:$AO$5,$D$114:$AO$212))</f>
        <v>#REF!</v>
      </c>
      <c r="I448" s="304" t="e">
        <f t="array" ref="I448">_xlfn.XLOOKUP($B448,$B$114:$B$212,_xlfn.XLOOKUP(I$219,$D$5:$AO$5,$D$114:$AO$212))</f>
        <v>#REF!</v>
      </c>
      <c r="J448" s="304" t="e">
        <f t="array" ref="J448">_xlfn.XLOOKUP($B448,$B$114:$B$212,_xlfn.XLOOKUP(J$219,$D$5:$AO$5,$D$114:$AO$212))</f>
        <v>#REF!</v>
      </c>
      <c r="K448" s="304" t="e">
        <f t="array" ref="K448">_xlfn.XLOOKUP($B448,$B$114:$B$212,_xlfn.XLOOKUP(K$219,$D$5:$AO$5,$D$114:$AO$212))</f>
        <v>#REF!</v>
      </c>
      <c r="L448" s="304" t="e">
        <f t="array" ref="L448">_xlfn.XLOOKUP($B448,$B$114:$B$212,_xlfn.XLOOKUP(L$219,$D$5:$AO$5,$D$114:$AO$212))</f>
        <v>#REF!</v>
      </c>
      <c r="M448" s="304" t="e">
        <f t="array" ref="M448">_xlfn.XLOOKUP($B448,$B$114:$B$212,_xlfn.XLOOKUP(M$219,$D$5:$AO$5,$D$114:$AO$212))</f>
        <v>#REF!</v>
      </c>
      <c r="N448" s="304" t="e">
        <f t="array" ref="N448">_xlfn.XLOOKUP($B448,$B$114:$B$212,_xlfn.XLOOKUP(N$219,$D$5:$AO$5,$D$114:$AO$212))</f>
        <v>#REF!</v>
      </c>
      <c r="O448" s="304" t="e">
        <f t="array" ref="O448">_xlfn.XLOOKUP($B448,$B$114:$B$212,_xlfn.XLOOKUP(O$219,$D$5:$AO$5,$D$114:$AO$212))</f>
        <v>#REF!</v>
      </c>
      <c r="P448" s="304" t="e">
        <f t="array" ref="P448">_xlfn.XLOOKUP($B448,$B$114:$B$212,_xlfn.XLOOKUP(P$219,$D$5:$AO$5,$D$114:$AO$212))</f>
        <v>#REF!</v>
      </c>
      <c r="Q448" s="304" t="e">
        <f t="array" ref="Q448">_xlfn.XLOOKUP($B448,$B$114:$B$212,_xlfn.XLOOKUP(Q$219,$D$5:$AO$5,$D$114:$AO$212))</f>
        <v>#REF!</v>
      </c>
      <c r="R448" s="304" t="e">
        <f t="array" ref="R448">_xlfn.XLOOKUP($B448,$B$114:$B$212,_xlfn.XLOOKUP(R$219,$D$5:$AO$5,$D$114:$AO$212))</f>
        <v>#REF!</v>
      </c>
      <c r="S448" s="304" t="e">
        <f t="array" ref="S448">_xlfn.XLOOKUP($B448,$B$114:$B$212,_xlfn.XLOOKUP(S$219,$D$5:$AO$5,$D$114:$AO$212))</f>
        <v>#REF!</v>
      </c>
      <c r="T448" s="304" t="e">
        <f t="array" ref="T448">_xlfn.XLOOKUP($B448,$B$114:$B$212,_xlfn.XLOOKUP(T$219,$D$5:$AO$5,$D$114:$AO$212))</f>
        <v>#REF!</v>
      </c>
      <c r="U448" s="304" t="e">
        <f t="array" ref="U448">_xlfn.XLOOKUP($B448,$B$114:$B$212,_xlfn.XLOOKUP(U$219,$D$5:$AO$5,$D$114:$AO$212))</f>
        <v>#REF!</v>
      </c>
      <c r="V448" s="304" t="e">
        <f t="array" ref="V448">_xlfn.XLOOKUP($B448,$B$114:$B$212,_xlfn.XLOOKUP(V$219,$D$5:$AO$5,$D$114:$AO$212))</f>
        <v>#REF!</v>
      </c>
      <c r="W448" s="304" t="e">
        <f t="array" ref="W448">_xlfn.XLOOKUP($B448,$B$114:$B$212,_xlfn.XLOOKUP(W$219,$D$5:$AO$5,$D$114:$AO$212))</f>
        <v>#REF!</v>
      </c>
      <c r="X448" s="304" t="e">
        <f t="array" ref="X448">_xlfn.XLOOKUP($B448,$B$114:$B$212,_xlfn.XLOOKUP(X$219,$D$5:$AO$5,$D$114:$AO$212))</f>
        <v>#REF!</v>
      </c>
      <c r="Y448" s="304" t="e">
        <f t="array" ref="Y448">_xlfn.XLOOKUP($B448,$B$114:$B$212,_xlfn.XLOOKUP(Y$219,$D$5:$AO$5,$D$114:$AO$212))</f>
        <v>#REF!</v>
      </c>
      <c r="Z448" s="304" t="e">
        <f t="array" ref="Z448">_xlfn.XLOOKUP($B448,$B$114:$B$212,_xlfn.XLOOKUP(Z$219,$D$5:$AO$5,$D$114:$AO$212))</f>
        <v>#REF!</v>
      </c>
      <c r="AA448" s="305"/>
      <c r="AB448" s="302" t="str">
        <f t="shared" si="234"/>
        <v>Corporate Costs - old</v>
      </c>
      <c r="AC448" s="303" t="str">
        <f t="shared" si="235"/>
        <v>NZ$m</v>
      </c>
      <c r="AD448" s="303"/>
      <c r="AE448" s="303"/>
      <c r="AF448" s="304" t="e">
        <f t="array" ref="AF448">_xlfn.XLOOKUP($B448,$B$114:$B$212,_xlfn.XLOOKUP(AF$219,$D$5:$AO$5,$D$114:$AO$212))</f>
        <v>#REF!</v>
      </c>
      <c r="AG448" s="304" t="e">
        <f t="array" ref="AG448">_xlfn.XLOOKUP($B448,$B$114:$B$212,_xlfn.XLOOKUP(AG$219,$D$5:$AO$5,$D$114:$AO$212))</f>
        <v>#REF!</v>
      </c>
      <c r="AH448" s="304" t="e">
        <f t="array" ref="AH448">_xlfn.XLOOKUP($B448,$B$114:$B$212,_xlfn.XLOOKUP(AH$219,$D$5:$AO$5,$D$114:$AO$212))</f>
        <v>#REF!</v>
      </c>
      <c r="AI448" s="304" t="e">
        <f t="array" ref="AI448">_xlfn.XLOOKUP($B448,$B$114:$B$212,_xlfn.XLOOKUP(AI$219,$D$5:$AO$5,$D$114:$AO$212))</f>
        <v>#REF!</v>
      </c>
      <c r="AJ448" s="304" t="e">
        <f t="array" ref="AJ448">_xlfn.XLOOKUP($B448,$B$114:$B$212,_xlfn.XLOOKUP(AJ$219,$D$5:$AO$5,$D$114:$AO$212))</f>
        <v>#REF!</v>
      </c>
      <c r="AK448" s="304" t="e">
        <f t="array" ref="AK448">_xlfn.XLOOKUP($B448,$B$114:$B$212,_xlfn.XLOOKUP(AK$219,$D$5:$AO$5,$D$114:$AO$212))</f>
        <v>#REF!</v>
      </c>
      <c r="AL448" s="304" t="e">
        <f t="array" ref="AL448">_xlfn.XLOOKUP($B448,$B$114:$B$212,_xlfn.XLOOKUP(AL$219,$D$5:$AO$5,$D$114:$AO$212))</f>
        <v>#REF!</v>
      </c>
      <c r="AM448" s="304" t="e">
        <f t="array" ref="AM448">_xlfn.XLOOKUP($B448,$B$114:$B$212,_xlfn.XLOOKUP(AM$219,$D$5:$AO$5,$D$114:$AO$212))</f>
        <v>#REF!</v>
      </c>
      <c r="AN448" s="304" t="e">
        <f t="array" ref="AN448">_xlfn.XLOOKUP($B448,$B$114:$B$212,_xlfn.XLOOKUP(AN$219,$D$5:$AO$5,$D$114:$AO$212))</f>
        <v>#REF!</v>
      </c>
      <c r="AO448" s="304" t="e">
        <f t="array" ref="AO448">_xlfn.XLOOKUP($B448,$B$114:$B$212,_xlfn.XLOOKUP(AO$219,$D$5:$AO$5,$D$114:$AO$212))</f>
        <v>#REF!</v>
      </c>
    </row>
    <row r="449" spans="2:41">
      <c r="B449" s="301" t="s">
        <v>1478</v>
      </c>
      <c r="C449" s="306" t="s">
        <v>1559</v>
      </c>
      <c r="D449" s="307" t="str">
        <f t="array" ref="D449">_xlfn.XLOOKUP($B449,$B$11:$B$109,_xlfn.XLOOKUP(D$219,$D$5:$AO$5,$D$11:$AO$109))</f>
        <v>NZ$m</v>
      </c>
      <c r="E449" s="307"/>
      <c r="F449" s="307"/>
      <c r="G449" s="308" t="e">
        <f t="array" ref="G449">_xlfn.XLOOKUP($B449,$B$11:$B$109,_xlfn.XLOOKUP(G$219,$D$5:$AO$5,$D$11:$AO$109))</f>
        <v>#REF!</v>
      </c>
      <c r="H449" s="308" t="e">
        <f t="array" ref="H449">_xlfn.XLOOKUP($B449,$B$11:$B$109,_xlfn.XLOOKUP(H$219,$D$5:$AO$5,$D$11:$AO$109))</f>
        <v>#REF!</v>
      </c>
      <c r="I449" s="308" t="e">
        <f t="array" ref="I449">_xlfn.XLOOKUP($B449,$B$11:$B$109,_xlfn.XLOOKUP(I$219,$D$5:$AO$5,$D$11:$AO$109))</f>
        <v>#REF!</v>
      </c>
      <c r="J449" s="308" t="e">
        <f t="array" ref="J449">_xlfn.XLOOKUP($B449,$B$11:$B$109,_xlfn.XLOOKUP(J$219,$D$5:$AO$5,$D$11:$AO$109))</f>
        <v>#REF!</v>
      </c>
      <c r="K449" s="308" t="e">
        <f t="array" ref="K449">_xlfn.XLOOKUP($B449,$B$11:$B$109,_xlfn.XLOOKUP(K$219,$D$5:$AO$5,$D$11:$AO$109))</f>
        <v>#REF!</v>
      </c>
      <c r="L449" s="308" t="e">
        <f t="array" ref="L449">_xlfn.XLOOKUP($B449,$B$11:$B$109,_xlfn.XLOOKUP(L$219,$D$5:$AO$5,$D$11:$AO$109))</f>
        <v>#REF!</v>
      </c>
      <c r="M449" s="308" t="e">
        <f t="array" ref="M449">_xlfn.XLOOKUP($B449,$B$11:$B$109,_xlfn.XLOOKUP(M$219,$D$5:$AO$5,$D$11:$AO$109))</f>
        <v>#REF!</v>
      </c>
      <c r="N449" s="308" t="e">
        <f t="array" ref="N449">_xlfn.XLOOKUP($B449,$B$11:$B$109,_xlfn.XLOOKUP(N$219,$D$5:$AO$5,$D$11:$AO$109))</f>
        <v>#REF!</v>
      </c>
      <c r="O449" s="308" t="e">
        <f t="array" ref="O449">_xlfn.XLOOKUP($B449,$B$11:$B$109,_xlfn.XLOOKUP(O$219,$D$5:$AO$5,$D$11:$AO$109))</f>
        <v>#REF!</v>
      </c>
      <c r="P449" s="308" t="e">
        <f t="array" ref="P449">_xlfn.XLOOKUP($B449,$B$11:$B$109,_xlfn.XLOOKUP(P$219,$D$5:$AO$5,$D$11:$AO$109))</f>
        <v>#REF!</v>
      </c>
      <c r="Q449" s="308" t="e">
        <f t="array" ref="Q449">_xlfn.XLOOKUP($B449,$B$11:$B$109,_xlfn.XLOOKUP(Q$219,$D$5:$AO$5,$D$11:$AO$109))</f>
        <v>#REF!</v>
      </c>
      <c r="R449" s="308" t="e">
        <f t="array" ref="R449">_xlfn.XLOOKUP($B449,$B$11:$B$109,_xlfn.XLOOKUP(R$219,$D$5:$AO$5,$D$11:$AO$109))</f>
        <v>#REF!</v>
      </c>
      <c r="S449" s="308" t="e">
        <f t="array" ref="S449">_xlfn.XLOOKUP($B449,$B$11:$B$109,_xlfn.XLOOKUP(S$219,$D$5:$AO$5,$D$11:$AO$109))</f>
        <v>#REF!</v>
      </c>
      <c r="T449" s="308" t="e">
        <f t="array" ref="T449">_xlfn.XLOOKUP($B449,$B$11:$B$109,_xlfn.XLOOKUP(T$219,$D$5:$AO$5,$D$11:$AO$109))</f>
        <v>#REF!</v>
      </c>
      <c r="U449" s="308" t="e">
        <f t="array" ref="U449">_xlfn.XLOOKUP($B449,$B$11:$B$109,_xlfn.XLOOKUP(U$219,$D$5:$AO$5,$D$11:$AO$109))</f>
        <v>#REF!</v>
      </c>
      <c r="V449" s="308" t="e">
        <f t="array" ref="V449">_xlfn.XLOOKUP($B449,$B$11:$B$109,_xlfn.XLOOKUP(V$219,$D$5:$AO$5,$D$11:$AO$109))</f>
        <v>#REF!</v>
      </c>
      <c r="W449" s="308" t="e">
        <f t="array" ref="W449">_xlfn.XLOOKUP($B449,$B$11:$B$109,_xlfn.XLOOKUP(W$219,$D$5:$AO$5,$D$11:$AO$109))</f>
        <v>#REF!</v>
      </c>
      <c r="X449" s="308" t="e">
        <f t="array" ref="X449">_xlfn.XLOOKUP($B449,$B$11:$B$109,_xlfn.XLOOKUP(X$219,$D$5:$AO$5,$D$11:$AO$109))</f>
        <v>#REF!</v>
      </c>
      <c r="Y449" s="308" t="e">
        <f t="array" ref="Y449">_xlfn.XLOOKUP($B449,$B$11:$B$109,_xlfn.XLOOKUP(Y$219,$D$5:$AO$5,$D$11:$AO$109))</f>
        <v>#REF!</v>
      </c>
      <c r="Z449" s="308" t="e">
        <f t="array" ref="Z449">_xlfn.XLOOKUP($B449,$B$11:$B$109,_xlfn.XLOOKUP(Z$219,$D$5:$AO$5,$D$11:$AO$109))</f>
        <v>#REF!</v>
      </c>
      <c r="AA449" s="308"/>
      <c r="AB449" s="306" t="str">
        <f t="shared" si="234"/>
        <v>Corporate Costs - New</v>
      </c>
      <c r="AC449" s="307" t="str">
        <f t="shared" si="235"/>
        <v>NZ$m</v>
      </c>
      <c r="AD449" s="307"/>
      <c r="AE449" s="307"/>
      <c r="AF449" s="308" t="e">
        <f t="array" ref="AF449">_xlfn.XLOOKUP($B449,$B$11:$B$109,_xlfn.XLOOKUP(AF$219,$D$5:$AO$5,$D$11:$AO$109))</f>
        <v>#REF!</v>
      </c>
      <c r="AG449" s="308" t="e">
        <f t="array" ref="AG449">_xlfn.XLOOKUP($B449,$B$11:$B$109,_xlfn.XLOOKUP(AG$219,$D$5:$AO$5,$D$11:$AO$109))</f>
        <v>#REF!</v>
      </c>
      <c r="AH449" s="308" t="e">
        <f t="array" ref="AH449">_xlfn.XLOOKUP($B449,$B$11:$B$109,_xlfn.XLOOKUP(AH$219,$D$5:$AO$5,$D$11:$AO$109))</f>
        <v>#REF!</v>
      </c>
      <c r="AI449" s="308" t="e">
        <f t="array" ref="AI449">_xlfn.XLOOKUP($B449,$B$11:$B$109,_xlfn.XLOOKUP(AI$219,$D$5:$AO$5,$D$11:$AO$109))</f>
        <v>#REF!</v>
      </c>
      <c r="AJ449" s="308" t="e">
        <f t="array" ref="AJ449">_xlfn.XLOOKUP($B449,$B$11:$B$109,_xlfn.XLOOKUP(AJ$219,$D$5:$AO$5,$D$11:$AO$109))</f>
        <v>#REF!</v>
      </c>
      <c r="AK449" s="308" t="e">
        <f t="array" ref="AK449">_xlfn.XLOOKUP($B449,$B$11:$B$109,_xlfn.XLOOKUP(AK$219,$D$5:$AO$5,$D$11:$AO$109))</f>
        <v>#REF!</v>
      </c>
      <c r="AL449" s="308" t="e">
        <f t="array" ref="AL449">_xlfn.XLOOKUP($B449,$B$11:$B$109,_xlfn.XLOOKUP(AL$219,$D$5:$AO$5,$D$11:$AO$109))</f>
        <v>#REF!</v>
      </c>
      <c r="AM449" s="308" t="e">
        <f t="array" ref="AM449">_xlfn.XLOOKUP($B449,$B$11:$B$109,_xlfn.XLOOKUP(AM$219,$D$5:$AO$5,$D$11:$AO$109))</f>
        <v>#REF!</v>
      </c>
      <c r="AN449" s="308" t="e">
        <f t="array" ref="AN449">_xlfn.XLOOKUP($B449,$B$11:$B$109,_xlfn.XLOOKUP(AN$219,$D$5:$AO$5,$D$11:$AO$109))</f>
        <v>#REF!</v>
      </c>
      <c r="AO449" s="308" t="e">
        <f t="array" ref="AO449">_xlfn.XLOOKUP($B449,$B$11:$B$109,_xlfn.XLOOKUP(AO$219,$D$5:$AO$5,$D$11:$AO$109))</f>
        <v>#REF!</v>
      </c>
    </row>
    <row r="450" spans="2:41" hidden="1" outlineLevel="1">
      <c r="B450" s="301"/>
      <c r="C450" s="309" t="s">
        <v>1510</v>
      </c>
      <c r="D450" s="303" t="s">
        <v>88</v>
      </c>
      <c r="E450" s="303"/>
      <c r="F450" s="303"/>
      <c r="G450" s="310" t="s">
        <v>967</v>
      </c>
      <c r="H450" s="310" t="s">
        <v>967</v>
      </c>
      <c r="I450" s="310" t="e">
        <f t="shared" ref="I450:Z450" si="260">I449/G449-1</f>
        <v>#REF!</v>
      </c>
      <c r="J450" s="310" t="e">
        <f t="shared" si="260"/>
        <v>#REF!</v>
      </c>
      <c r="K450" s="310" t="e">
        <f t="shared" si="260"/>
        <v>#REF!</v>
      </c>
      <c r="L450" s="310" t="e">
        <f t="shared" si="260"/>
        <v>#REF!</v>
      </c>
      <c r="M450" s="310" t="e">
        <f t="shared" si="260"/>
        <v>#REF!</v>
      </c>
      <c r="N450" s="310" t="e">
        <f t="shared" si="260"/>
        <v>#REF!</v>
      </c>
      <c r="O450" s="310" t="e">
        <f t="shared" si="260"/>
        <v>#REF!</v>
      </c>
      <c r="P450" s="310" t="e">
        <f t="shared" si="260"/>
        <v>#REF!</v>
      </c>
      <c r="Q450" s="310" t="e">
        <f t="shared" si="260"/>
        <v>#REF!</v>
      </c>
      <c r="R450" s="310" t="e">
        <f t="shared" si="260"/>
        <v>#REF!</v>
      </c>
      <c r="S450" s="310" t="e">
        <f t="shared" si="260"/>
        <v>#REF!</v>
      </c>
      <c r="T450" s="310" t="e">
        <f t="shared" si="260"/>
        <v>#REF!</v>
      </c>
      <c r="U450" s="310" t="e">
        <f t="shared" si="260"/>
        <v>#REF!</v>
      </c>
      <c r="V450" s="310" t="e">
        <f t="shared" si="260"/>
        <v>#REF!</v>
      </c>
      <c r="W450" s="310" t="e">
        <f t="shared" si="260"/>
        <v>#REF!</v>
      </c>
      <c r="X450" s="310" t="e">
        <f t="shared" si="260"/>
        <v>#REF!</v>
      </c>
      <c r="Y450" s="310" t="e">
        <f t="shared" si="260"/>
        <v>#REF!</v>
      </c>
      <c r="Z450" s="310" t="e">
        <f t="shared" si="260"/>
        <v>#REF!</v>
      </c>
      <c r="AA450" s="311"/>
      <c r="AB450" s="309" t="str">
        <f t="shared" si="234"/>
        <v>- Growth</v>
      </c>
      <c r="AC450" s="303" t="str">
        <f t="shared" si="235"/>
        <v>%</v>
      </c>
      <c r="AD450" s="303"/>
      <c r="AE450" s="303"/>
      <c r="AF450" s="310" t="s">
        <v>967</v>
      </c>
      <c r="AG450" s="310" t="e">
        <f t="shared" ref="AG450:AO450" si="261">AG449/AF449-1</f>
        <v>#REF!</v>
      </c>
      <c r="AH450" s="310" t="e">
        <f t="shared" si="261"/>
        <v>#REF!</v>
      </c>
      <c r="AI450" s="310" t="e">
        <f t="shared" si="261"/>
        <v>#REF!</v>
      </c>
      <c r="AJ450" s="310" t="e">
        <f t="shared" si="261"/>
        <v>#REF!</v>
      </c>
      <c r="AK450" s="310" t="e">
        <f t="shared" si="261"/>
        <v>#REF!</v>
      </c>
      <c r="AL450" s="310" t="e">
        <f t="shared" si="261"/>
        <v>#REF!</v>
      </c>
      <c r="AM450" s="310" t="e">
        <f t="shared" si="261"/>
        <v>#REF!</v>
      </c>
      <c r="AN450" s="310" t="e">
        <f t="shared" si="261"/>
        <v>#REF!</v>
      </c>
      <c r="AO450" s="310" t="e">
        <f t="shared" si="261"/>
        <v>#REF!</v>
      </c>
    </row>
    <row r="451" spans="2:41" collapsed="1">
      <c r="B451" s="301"/>
      <c r="C451" s="309" t="s">
        <v>1511</v>
      </c>
      <c r="D451" s="303" t="s">
        <v>88</v>
      </c>
      <c r="E451" s="303"/>
      <c r="F451" s="303"/>
      <c r="G451" s="310">
        <f t="shared" ref="G451:Z451" si="262">IFERROR(ROUND( G449 / G448,2) - 1, 0)</f>
        <v>0</v>
      </c>
      <c r="H451" s="310">
        <f t="shared" si="262"/>
        <v>0</v>
      </c>
      <c r="I451" s="310">
        <f t="shared" si="262"/>
        <v>0</v>
      </c>
      <c r="J451" s="310">
        <f t="shared" si="262"/>
        <v>0</v>
      </c>
      <c r="K451" s="310">
        <f t="shared" si="262"/>
        <v>0</v>
      </c>
      <c r="L451" s="310">
        <f t="shared" si="262"/>
        <v>0</v>
      </c>
      <c r="M451" s="310">
        <f t="shared" si="262"/>
        <v>0</v>
      </c>
      <c r="N451" s="310">
        <f t="shared" si="262"/>
        <v>0</v>
      </c>
      <c r="O451" s="310">
        <f t="shared" si="262"/>
        <v>0</v>
      </c>
      <c r="P451" s="310">
        <f t="shared" si="262"/>
        <v>0</v>
      </c>
      <c r="Q451" s="310">
        <f t="shared" si="262"/>
        <v>0</v>
      </c>
      <c r="R451" s="310">
        <f t="shared" si="262"/>
        <v>0</v>
      </c>
      <c r="S451" s="310">
        <f t="shared" si="262"/>
        <v>0</v>
      </c>
      <c r="T451" s="310">
        <f t="shared" si="262"/>
        <v>0</v>
      </c>
      <c r="U451" s="310">
        <f t="shared" si="262"/>
        <v>0</v>
      </c>
      <c r="V451" s="310">
        <f t="shared" si="262"/>
        <v>0</v>
      </c>
      <c r="W451" s="310">
        <f t="shared" si="262"/>
        <v>0</v>
      </c>
      <c r="X451" s="310">
        <f t="shared" si="262"/>
        <v>0</v>
      </c>
      <c r="Y451" s="310">
        <f t="shared" si="262"/>
        <v>0</v>
      </c>
      <c r="Z451" s="310">
        <f t="shared" si="262"/>
        <v>0</v>
      </c>
      <c r="AA451" s="310"/>
      <c r="AB451" s="309" t="str">
        <f t="shared" si="234"/>
        <v>- Revision</v>
      </c>
      <c r="AC451" s="303" t="str">
        <f t="shared" si="235"/>
        <v>%</v>
      </c>
      <c r="AD451" s="303"/>
      <c r="AE451" s="303"/>
      <c r="AF451" s="310">
        <f t="shared" ref="AF451:AO451" si="263">IFERROR(ROUND( AF449 / AF448,2) - 1, 0)</f>
        <v>0</v>
      </c>
      <c r="AG451" s="310">
        <f t="shared" si="263"/>
        <v>0</v>
      </c>
      <c r="AH451" s="310">
        <f t="shared" si="263"/>
        <v>0</v>
      </c>
      <c r="AI451" s="310">
        <f t="shared" si="263"/>
        <v>0</v>
      </c>
      <c r="AJ451" s="310">
        <f t="shared" si="263"/>
        <v>0</v>
      </c>
      <c r="AK451" s="310">
        <f t="shared" si="263"/>
        <v>0</v>
      </c>
      <c r="AL451" s="310">
        <f t="shared" si="263"/>
        <v>0</v>
      </c>
      <c r="AM451" s="310">
        <f t="shared" si="263"/>
        <v>0</v>
      </c>
      <c r="AN451" s="310">
        <f t="shared" si="263"/>
        <v>0</v>
      </c>
      <c r="AO451" s="310">
        <f t="shared" si="263"/>
        <v>0</v>
      </c>
    </row>
    <row r="452" spans="2:41">
      <c r="B452" s="301" t="s">
        <v>1479</v>
      </c>
      <c r="C452" s="302" t="s">
        <v>1560</v>
      </c>
      <c r="D452" s="303" t="str">
        <f t="array" ref="D452">_xlfn.XLOOKUP($B452,$B$114:$B$212,_xlfn.XLOOKUP(D$219,$D$5:$AO$5,$D$114:$AO$212))</f>
        <v>NZ$m</v>
      </c>
      <c r="E452" s="303"/>
      <c r="F452" s="303"/>
      <c r="G452" s="304" t="e">
        <f t="array" ref="G452">_xlfn.XLOOKUP($B452,$B$114:$B$212,_xlfn.XLOOKUP(G$219,$D$5:$AO$5,$D$114:$AO$212))</f>
        <v>#REF!</v>
      </c>
      <c r="H452" s="304" t="e">
        <f t="array" ref="H452">_xlfn.XLOOKUP($B452,$B$114:$B$212,_xlfn.XLOOKUP(H$219,$D$5:$AO$5,$D$114:$AO$212))</f>
        <v>#REF!</v>
      </c>
      <c r="I452" s="304" t="e">
        <f t="array" ref="I452">_xlfn.XLOOKUP($B452,$B$114:$B$212,_xlfn.XLOOKUP(I$219,$D$5:$AO$5,$D$114:$AO$212))</f>
        <v>#REF!</v>
      </c>
      <c r="J452" s="304" t="e">
        <f t="array" ref="J452">_xlfn.XLOOKUP($B452,$B$114:$B$212,_xlfn.XLOOKUP(J$219,$D$5:$AO$5,$D$114:$AO$212))</f>
        <v>#REF!</v>
      </c>
      <c r="K452" s="304" t="e">
        <f t="array" ref="K452">_xlfn.XLOOKUP($B452,$B$114:$B$212,_xlfn.XLOOKUP(K$219,$D$5:$AO$5,$D$114:$AO$212))</f>
        <v>#REF!</v>
      </c>
      <c r="L452" s="304" t="e">
        <f t="array" ref="L452">_xlfn.XLOOKUP($B452,$B$114:$B$212,_xlfn.XLOOKUP(L$219,$D$5:$AO$5,$D$114:$AO$212))</f>
        <v>#REF!</v>
      </c>
      <c r="M452" s="304" t="e">
        <f t="array" ref="M452">_xlfn.XLOOKUP($B452,$B$114:$B$212,_xlfn.XLOOKUP(M$219,$D$5:$AO$5,$D$114:$AO$212))</f>
        <v>#REF!</v>
      </c>
      <c r="N452" s="304" t="e">
        <f t="array" ref="N452">_xlfn.XLOOKUP($B452,$B$114:$B$212,_xlfn.XLOOKUP(N$219,$D$5:$AO$5,$D$114:$AO$212))</f>
        <v>#REF!</v>
      </c>
      <c r="O452" s="304" t="e">
        <f t="array" ref="O452">_xlfn.XLOOKUP($B452,$B$114:$B$212,_xlfn.XLOOKUP(O$219,$D$5:$AO$5,$D$114:$AO$212))</f>
        <v>#REF!</v>
      </c>
      <c r="P452" s="304" t="e">
        <f t="array" ref="P452">_xlfn.XLOOKUP($B452,$B$114:$B$212,_xlfn.XLOOKUP(P$219,$D$5:$AO$5,$D$114:$AO$212))</f>
        <v>#REF!</v>
      </c>
      <c r="Q452" s="304" t="e">
        <f t="array" ref="Q452">_xlfn.XLOOKUP($B452,$B$114:$B$212,_xlfn.XLOOKUP(Q$219,$D$5:$AO$5,$D$114:$AO$212))</f>
        <v>#REF!</v>
      </c>
      <c r="R452" s="304" t="e">
        <f t="array" ref="R452">_xlfn.XLOOKUP($B452,$B$114:$B$212,_xlfn.XLOOKUP(R$219,$D$5:$AO$5,$D$114:$AO$212))</f>
        <v>#REF!</v>
      </c>
      <c r="S452" s="304" t="e">
        <f t="array" ref="S452">_xlfn.XLOOKUP($B452,$B$114:$B$212,_xlfn.XLOOKUP(S$219,$D$5:$AO$5,$D$114:$AO$212))</f>
        <v>#REF!</v>
      </c>
      <c r="T452" s="304" t="e">
        <f t="array" ref="T452">_xlfn.XLOOKUP($B452,$B$114:$B$212,_xlfn.XLOOKUP(T$219,$D$5:$AO$5,$D$114:$AO$212))</f>
        <v>#REF!</v>
      </c>
      <c r="U452" s="304" t="e">
        <f t="array" ref="U452">_xlfn.XLOOKUP($B452,$B$114:$B$212,_xlfn.XLOOKUP(U$219,$D$5:$AO$5,$D$114:$AO$212))</f>
        <v>#REF!</v>
      </c>
      <c r="V452" s="304" t="e">
        <f t="array" ref="V452">_xlfn.XLOOKUP($B452,$B$114:$B$212,_xlfn.XLOOKUP(V$219,$D$5:$AO$5,$D$114:$AO$212))</f>
        <v>#REF!</v>
      </c>
      <c r="W452" s="304" t="e">
        <f t="array" ref="W452">_xlfn.XLOOKUP($B452,$B$114:$B$212,_xlfn.XLOOKUP(W$219,$D$5:$AO$5,$D$114:$AO$212))</f>
        <v>#REF!</v>
      </c>
      <c r="X452" s="304" t="e">
        <f t="array" ref="X452">_xlfn.XLOOKUP($B452,$B$114:$B$212,_xlfn.XLOOKUP(X$219,$D$5:$AO$5,$D$114:$AO$212))</f>
        <v>#REF!</v>
      </c>
      <c r="Y452" s="304" t="e">
        <f t="array" ref="Y452">_xlfn.XLOOKUP($B452,$B$114:$B$212,_xlfn.XLOOKUP(Y$219,$D$5:$AO$5,$D$114:$AO$212))</f>
        <v>#REF!</v>
      </c>
      <c r="Z452" s="304" t="e">
        <f t="array" ref="Z452">_xlfn.XLOOKUP($B452,$B$114:$B$212,_xlfn.XLOOKUP(Z$219,$D$5:$AO$5,$D$114:$AO$212))</f>
        <v>#REF!</v>
      </c>
      <c r="AA452" s="305"/>
      <c r="AB452" s="302" t="str">
        <f t="shared" si="234"/>
        <v>Other Listed Costs (eg. NZICC) - old</v>
      </c>
      <c r="AC452" s="303" t="str">
        <f t="shared" si="235"/>
        <v>NZ$m</v>
      </c>
      <c r="AD452" s="303"/>
      <c r="AE452" s="303"/>
      <c r="AF452" s="304" t="e">
        <f t="array" ref="AF452">_xlfn.XLOOKUP($B452,$B$114:$B$212,_xlfn.XLOOKUP(AF$219,$D$5:$AO$5,$D$114:$AO$212))</f>
        <v>#REF!</v>
      </c>
      <c r="AG452" s="304" t="e">
        <f t="array" ref="AG452">_xlfn.XLOOKUP($B452,$B$114:$B$212,_xlfn.XLOOKUP(AG$219,$D$5:$AO$5,$D$114:$AO$212))</f>
        <v>#REF!</v>
      </c>
      <c r="AH452" s="304" t="e">
        <f t="array" ref="AH452">_xlfn.XLOOKUP($B452,$B$114:$B$212,_xlfn.XLOOKUP(AH$219,$D$5:$AO$5,$D$114:$AO$212))</f>
        <v>#REF!</v>
      </c>
      <c r="AI452" s="304" t="e">
        <f t="array" ref="AI452">_xlfn.XLOOKUP($B452,$B$114:$B$212,_xlfn.XLOOKUP(AI$219,$D$5:$AO$5,$D$114:$AO$212))</f>
        <v>#REF!</v>
      </c>
      <c r="AJ452" s="304" t="e">
        <f t="array" ref="AJ452">_xlfn.XLOOKUP($B452,$B$114:$B$212,_xlfn.XLOOKUP(AJ$219,$D$5:$AO$5,$D$114:$AO$212))</f>
        <v>#REF!</v>
      </c>
      <c r="AK452" s="304" t="e">
        <f t="array" ref="AK452">_xlfn.XLOOKUP($B452,$B$114:$B$212,_xlfn.XLOOKUP(AK$219,$D$5:$AO$5,$D$114:$AO$212))</f>
        <v>#REF!</v>
      </c>
      <c r="AL452" s="304" t="e">
        <f t="array" ref="AL452">_xlfn.XLOOKUP($B452,$B$114:$B$212,_xlfn.XLOOKUP(AL$219,$D$5:$AO$5,$D$114:$AO$212))</f>
        <v>#REF!</v>
      </c>
      <c r="AM452" s="304" t="e">
        <f t="array" ref="AM452">_xlfn.XLOOKUP($B452,$B$114:$B$212,_xlfn.XLOOKUP(AM$219,$D$5:$AO$5,$D$114:$AO$212))</f>
        <v>#REF!</v>
      </c>
      <c r="AN452" s="304" t="e">
        <f t="array" ref="AN452">_xlfn.XLOOKUP($B452,$B$114:$B$212,_xlfn.XLOOKUP(AN$219,$D$5:$AO$5,$D$114:$AO$212))</f>
        <v>#REF!</v>
      </c>
      <c r="AO452" s="304" t="e">
        <f t="array" ref="AO452">_xlfn.XLOOKUP($B452,$B$114:$B$212,_xlfn.XLOOKUP(AO$219,$D$5:$AO$5,$D$114:$AO$212))</f>
        <v>#REF!</v>
      </c>
    </row>
    <row r="453" spans="2:41">
      <c r="B453" s="301" t="s">
        <v>1479</v>
      </c>
      <c r="C453" s="306" t="s">
        <v>1561</v>
      </c>
      <c r="D453" s="307" t="str">
        <f t="array" ref="D453">_xlfn.XLOOKUP($B453,$B$11:$B$109,_xlfn.XLOOKUP(D$219,$D$5:$AO$5,$D$11:$AO$109))</f>
        <v>NZ$m</v>
      </c>
      <c r="E453" s="307"/>
      <c r="F453" s="307"/>
      <c r="G453" s="308" t="e">
        <f t="array" ref="G453">_xlfn.XLOOKUP($B453,$B$11:$B$109,_xlfn.XLOOKUP(G$219,$D$5:$AO$5,$D$11:$AO$109))</f>
        <v>#REF!</v>
      </c>
      <c r="H453" s="308" t="e">
        <f t="array" ref="H453">_xlfn.XLOOKUP($B453,$B$11:$B$109,_xlfn.XLOOKUP(H$219,$D$5:$AO$5,$D$11:$AO$109))</f>
        <v>#REF!</v>
      </c>
      <c r="I453" s="308" t="e">
        <f t="array" ref="I453">_xlfn.XLOOKUP($B453,$B$11:$B$109,_xlfn.XLOOKUP(I$219,$D$5:$AO$5,$D$11:$AO$109))</f>
        <v>#REF!</v>
      </c>
      <c r="J453" s="308" t="e">
        <f t="array" ref="J453">_xlfn.XLOOKUP($B453,$B$11:$B$109,_xlfn.XLOOKUP(J$219,$D$5:$AO$5,$D$11:$AO$109))</f>
        <v>#REF!</v>
      </c>
      <c r="K453" s="308" t="e">
        <f t="array" ref="K453">_xlfn.XLOOKUP($B453,$B$11:$B$109,_xlfn.XLOOKUP(K$219,$D$5:$AO$5,$D$11:$AO$109))</f>
        <v>#REF!</v>
      </c>
      <c r="L453" s="308" t="e">
        <f t="array" ref="L453">_xlfn.XLOOKUP($B453,$B$11:$B$109,_xlfn.XLOOKUP(L$219,$D$5:$AO$5,$D$11:$AO$109))</f>
        <v>#REF!</v>
      </c>
      <c r="M453" s="308" t="e">
        <f t="array" ref="M453">_xlfn.XLOOKUP($B453,$B$11:$B$109,_xlfn.XLOOKUP(M$219,$D$5:$AO$5,$D$11:$AO$109))</f>
        <v>#REF!</v>
      </c>
      <c r="N453" s="308" t="e">
        <f t="array" ref="N453">_xlfn.XLOOKUP($B453,$B$11:$B$109,_xlfn.XLOOKUP(N$219,$D$5:$AO$5,$D$11:$AO$109))</f>
        <v>#REF!</v>
      </c>
      <c r="O453" s="308" t="e">
        <f t="array" ref="O453">_xlfn.XLOOKUP($B453,$B$11:$B$109,_xlfn.XLOOKUP(O$219,$D$5:$AO$5,$D$11:$AO$109))</f>
        <v>#REF!</v>
      </c>
      <c r="P453" s="308" t="e">
        <f t="array" ref="P453">_xlfn.XLOOKUP($B453,$B$11:$B$109,_xlfn.XLOOKUP(P$219,$D$5:$AO$5,$D$11:$AO$109))</f>
        <v>#REF!</v>
      </c>
      <c r="Q453" s="308" t="e">
        <f t="array" ref="Q453">_xlfn.XLOOKUP($B453,$B$11:$B$109,_xlfn.XLOOKUP(Q$219,$D$5:$AO$5,$D$11:$AO$109))</f>
        <v>#REF!</v>
      </c>
      <c r="R453" s="308" t="e">
        <f t="array" ref="R453">_xlfn.XLOOKUP($B453,$B$11:$B$109,_xlfn.XLOOKUP(R$219,$D$5:$AO$5,$D$11:$AO$109))</f>
        <v>#REF!</v>
      </c>
      <c r="S453" s="308" t="e">
        <f t="array" ref="S453">_xlfn.XLOOKUP($B453,$B$11:$B$109,_xlfn.XLOOKUP(S$219,$D$5:$AO$5,$D$11:$AO$109))</f>
        <v>#REF!</v>
      </c>
      <c r="T453" s="308" t="e">
        <f t="array" ref="T453">_xlfn.XLOOKUP($B453,$B$11:$B$109,_xlfn.XLOOKUP(T$219,$D$5:$AO$5,$D$11:$AO$109))</f>
        <v>#REF!</v>
      </c>
      <c r="U453" s="308" t="e">
        <f t="array" ref="U453">_xlfn.XLOOKUP($B453,$B$11:$B$109,_xlfn.XLOOKUP(U$219,$D$5:$AO$5,$D$11:$AO$109))</f>
        <v>#REF!</v>
      </c>
      <c r="V453" s="308" t="e">
        <f t="array" ref="V453">_xlfn.XLOOKUP($B453,$B$11:$B$109,_xlfn.XLOOKUP(V$219,$D$5:$AO$5,$D$11:$AO$109))</f>
        <v>#REF!</v>
      </c>
      <c r="W453" s="308" t="e">
        <f t="array" ref="W453">_xlfn.XLOOKUP($B453,$B$11:$B$109,_xlfn.XLOOKUP(W$219,$D$5:$AO$5,$D$11:$AO$109))</f>
        <v>#REF!</v>
      </c>
      <c r="X453" s="308" t="e">
        <f t="array" ref="X453">_xlfn.XLOOKUP($B453,$B$11:$B$109,_xlfn.XLOOKUP(X$219,$D$5:$AO$5,$D$11:$AO$109))</f>
        <v>#REF!</v>
      </c>
      <c r="Y453" s="308" t="e">
        <f t="array" ref="Y453">_xlfn.XLOOKUP($B453,$B$11:$B$109,_xlfn.XLOOKUP(Y$219,$D$5:$AO$5,$D$11:$AO$109))</f>
        <v>#REF!</v>
      </c>
      <c r="Z453" s="308" t="e">
        <f t="array" ref="Z453">_xlfn.XLOOKUP($B453,$B$11:$B$109,_xlfn.XLOOKUP(Z$219,$D$5:$AO$5,$D$11:$AO$109))</f>
        <v>#REF!</v>
      </c>
      <c r="AA453" s="308"/>
      <c r="AB453" s="306" t="str">
        <f t="shared" si="234"/>
        <v>Other Listed Costs (eg. NZICC) - New</v>
      </c>
      <c r="AC453" s="307" t="str">
        <f t="shared" si="235"/>
        <v>NZ$m</v>
      </c>
      <c r="AD453" s="307"/>
      <c r="AE453" s="307"/>
      <c r="AF453" s="308" t="e">
        <f t="array" ref="AF453">_xlfn.XLOOKUP($B453,$B$11:$B$109,_xlfn.XLOOKUP(AF$219,$D$5:$AO$5,$D$11:$AO$109))</f>
        <v>#REF!</v>
      </c>
      <c r="AG453" s="308" t="e">
        <f t="array" ref="AG453">_xlfn.XLOOKUP($B453,$B$11:$B$109,_xlfn.XLOOKUP(AG$219,$D$5:$AO$5,$D$11:$AO$109))</f>
        <v>#REF!</v>
      </c>
      <c r="AH453" s="308" t="e">
        <f t="array" ref="AH453">_xlfn.XLOOKUP($B453,$B$11:$B$109,_xlfn.XLOOKUP(AH$219,$D$5:$AO$5,$D$11:$AO$109))</f>
        <v>#REF!</v>
      </c>
      <c r="AI453" s="308" t="e">
        <f t="array" ref="AI453">_xlfn.XLOOKUP($B453,$B$11:$B$109,_xlfn.XLOOKUP(AI$219,$D$5:$AO$5,$D$11:$AO$109))</f>
        <v>#REF!</v>
      </c>
      <c r="AJ453" s="308" t="e">
        <f t="array" ref="AJ453">_xlfn.XLOOKUP($B453,$B$11:$B$109,_xlfn.XLOOKUP(AJ$219,$D$5:$AO$5,$D$11:$AO$109))</f>
        <v>#REF!</v>
      </c>
      <c r="AK453" s="308" t="e">
        <f t="array" ref="AK453">_xlfn.XLOOKUP($B453,$B$11:$B$109,_xlfn.XLOOKUP(AK$219,$D$5:$AO$5,$D$11:$AO$109))</f>
        <v>#REF!</v>
      </c>
      <c r="AL453" s="308" t="e">
        <f t="array" ref="AL453">_xlfn.XLOOKUP($B453,$B$11:$B$109,_xlfn.XLOOKUP(AL$219,$D$5:$AO$5,$D$11:$AO$109))</f>
        <v>#REF!</v>
      </c>
      <c r="AM453" s="308" t="e">
        <f t="array" ref="AM453">_xlfn.XLOOKUP($B453,$B$11:$B$109,_xlfn.XLOOKUP(AM$219,$D$5:$AO$5,$D$11:$AO$109))</f>
        <v>#REF!</v>
      </c>
      <c r="AN453" s="308" t="e">
        <f t="array" ref="AN453">_xlfn.XLOOKUP($B453,$B$11:$B$109,_xlfn.XLOOKUP(AN$219,$D$5:$AO$5,$D$11:$AO$109))</f>
        <v>#REF!</v>
      </c>
      <c r="AO453" s="308" t="e">
        <f t="array" ref="AO453">_xlfn.XLOOKUP($B453,$B$11:$B$109,_xlfn.XLOOKUP(AO$219,$D$5:$AO$5,$D$11:$AO$109))</f>
        <v>#REF!</v>
      </c>
    </row>
    <row r="454" spans="2:41" hidden="1" outlineLevel="1">
      <c r="B454" s="301"/>
      <c r="C454" s="309" t="s">
        <v>1510</v>
      </c>
      <c r="D454" s="303" t="s">
        <v>88</v>
      </c>
      <c r="E454" s="303"/>
      <c r="F454" s="303"/>
      <c r="G454" s="310" t="s">
        <v>967</v>
      </c>
      <c r="H454" s="310" t="s">
        <v>967</v>
      </c>
      <c r="I454" s="310" t="e">
        <f t="shared" ref="I454:Z454" si="264">I453/G453-1</f>
        <v>#REF!</v>
      </c>
      <c r="J454" s="310" t="e">
        <f t="shared" si="264"/>
        <v>#REF!</v>
      </c>
      <c r="K454" s="310" t="e">
        <f t="shared" si="264"/>
        <v>#REF!</v>
      </c>
      <c r="L454" s="310" t="e">
        <f t="shared" si="264"/>
        <v>#REF!</v>
      </c>
      <c r="M454" s="310" t="e">
        <f t="shared" si="264"/>
        <v>#REF!</v>
      </c>
      <c r="N454" s="310" t="e">
        <f t="shared" si="264"/>
        <v>#REF!</v>
      </c>
      <c r="O454" s="310" t="e">
        <f t="shared" si="264"/>
        <v>#REF!</v>
      </c>
      <c r="P454" s="310" t="e">
        <f t="shared" si="264"/>
        <v>#REF!</v>
      </c>
      <c r="Q454" s="310" t="e">
        <f t="shared" si="264"/>
        <v>#REF!</v>
      </c>
      <c r="R454" s="310" t="e">
        <f t="shared" si="264"/>
        <v>#REF!</v>
      </c>
      <c r="S454" s="310" t="e">
        <f t="shared" si="264"/>
        <v>#REF!</v>
      </c>
      <c r="T454" s="310" t="e">
        <f t="shared" si="264"/>
        <v>#REF!</v>
      </c>
      <c r="U454" s="310" t="e">
        <f t="shared" si="264"/>
        <v>#REF!</v>
      </c>
      <c r="V454" s="310" t="e">
        <f t="shared" si="264"/>
        <v>#REF!</v>
      </c>
      <c r="W454" s="310" t="e">
        <f t="shared" si="264"/>
        <v>#REF!</v>
      </c>
      <c r="X454" s="310" t="e">
        <f t="shared" si="264"/>
        <v>#REF!</v>
      </c>
      <c r="Y454" s="310" t="e">
        <f t="shared" si="264"/>
        <v>#REF!</v>
      </c>
      <c r="Z454" s="310" t="e">
        <f t="shared" si="264"/>
        <v>#REF!</v>
      </c>
      <c r="AA454" s="311"/>
      <c r="AB454" s="309" t="str">
        <f t="shared" si="234"/>
        <v>- Growth</v>
      </c>
      <c r="AC454" s="303" t="str">
        <f t="shared" si="235"/>
        <v>%</v>
      </c>
      <c r="AD454" s="303"/>
      <c r="AE454" s="303"/>
      <c r="AF454" s="310" t="s">
        <v>967</v>
      </c>
      <c r="AG454" s="310" t="e">
        <f t="shared" ref="AG454:AO454" si="265">AG453/AF453-1</f>
        <v>#REF!</v>
      </c>
      <c r="AH454" s="310" t="e">
        <f t="shared" si="265"/>
        <v>#REF!</v>
      </c>
      <c r="AI454" s="310" t="e">
        <f t="shared" si="265"/>
        <v>#REF!</v>
      </c>
      <c r="AJ454" s="310" t="e">
        <f t="shared" si="265"/>
        <v>#REF!</v>
      </c>
      <c r="AK454" s="310" t="e">
        <f t="shared" si="265"/>
        <v>#REF!</v>
      </c>
      <c r="AL454" s="310" t="e">
        <f t="shared" si="265"/>
        <v>#REF!</v>
      </c>
      <c r="AM454" s="310" t="e">
        <f t="shared" si="265"/>
        <v>#REF!</v>
      </c>
      <c r="AN454" s="310" t="e">
        <f t="shared" si="265"/>
        <v>#REF!</v>
      </c>
      <c r="AO454" s="310" t="e">
        <f t="shared" si="265"/>
        <v>#REF!</v>
      </c>
    </row>
    <row r="455" spans="2:41" collapsed="1">
      <c r="B455" s="301"/>
      <c r="C455" s="309" t="s">
        <v>1511</v>
      </c>
      <c r="D455" s="303" t="s">
        <v>88</v>
      </c>
      <c r="E455" s="303"/>
      <c r="F455" s="303"/>
      <c r="G455" s="310">
        <f t="shared" ref="G455:Z455" si="266">IFERROR(ROUND( G453 / G452,2) - 1, 0)</f>
        <v>0</v>
      </c>
      <c r="H455" s="310">
        <f t="shared" si="266"/>
        <v>0</v>
      </c>
      <c r="I455" s="310">
        <f t="shared" si="266"/>
        <v>0</v>
      </c>
      <c r="J455" s="310">
        <f t="shared" si="266"/>
        <v>0</v>
      </c>
      <c r="K455" s="310">
        <f t="shared" si="266"/>
        <v>0</v>
      </c>
      <c r="L455" s="310">
        <f t="shared" si="266"/>
        <v>0</v>
      </c>
      <c r="M455" s="310">
        <f t="shared" si="266"/>
        <v>0</v>
      </c>
      <c r="N455" s="310">
        <f t="shared" si="266"/>
        <v>0</v>
      </c>
      <c r="O455" s="310">
        <f t="shared" si="266"/>
        <v>0</v>
      </c>
      <c r="P455" s="310">
        <f t="shared" si="266"/>
        <v>0</v>
      </c>
      <c r="Q455" s="310">
        <f t="shared" si="266"/>
        <v>0</v>
      </c>
      <c r="R455" s="310">
        <f t="shared" si="266"/>
        <v>0</v>
      </c>
      <c r="S455" s="310">
        <f t="shared" si="266"/>
        <v>0</v>
      </c>
      <c r="T455" s="310">
        <f t="shared" si="266"/>
        <v>0</v>
      </c>
      <c r="U455" s="310">
        <f t="shared" si="266"/>
        <v>0</v>
      </c>
      <c r="V455" s="310">
        <f t="shared" si="266"/>
        <v>0</v>
      </c>
      <c r="W455" s="310">
        <f t="shared" si="266"/>
        <v>0</v>
      </c>
      <c r="X455" s="310">
        <f t="shared" si="266"/>
        <v>0</v>
      </c>
      <c r="Y455" s="310">
        <f t="shared" si="266"/>
        <v>0</v>
      </c>
      <c r="Z455" s="310">
        <f t="shared" si="266"/>
        <v>0</v>
      </c>
      <c r="AA455" s="310"/>
      <c r="AB455" s="309" t="str">
        <f t="shared" si="234"/>
        <v>- Revision</v>
      </c>
      <c r="AC455" s="303" t="str">
        <f t="shared" si="235"/>
        <v>%</v>
      </c>
      <c r="AD455" s="303"/>
      <c r="AE455" s="303"/>
      <c r="AF455" s="310">
        <f t="shared" ref="AF455:AO455" si="267">IFERROR(ROUND( AF453 / AF452,2) - 1, 0)</f>
        <v>0</v>
      </c>
      <c r="AG455" s="310">
        <f t="shared" si="267"/>
        <v>0</v>
      </c>
      <c r="AH455" s="310">
        <f t="shared" si="267"/>
        <v>0</v>
      </c>
      <c r="AI455" s="310">
        <f t="shared" si="267"/>
        <v>0</v>
      </c>
      <c r="AJ455" s="310">
        <f t="shared" si="267"/>
        <v>0</v>
      </c>
      <c r="AK455" s="310">
        <f t="shared" si="267"/>
        <v>0</v>
      </c>
      <c r="AL455" s="310">
        <f t="shared" si="267"/>
        <v>0</v>
      </c>
      <c r="AM455" s="310">
        <f t="shared" si="267"/>
        <v>0</v>
      </c>
      <c r="AN455" s="310">
        <f t="shared" si="267"/>
        <v>0</v>
      </c>
      <c r="AO455" s="310">
        <f t="shared" si="267"/>
        <v>0</v>
      </c>
    </row>
    <row r="456" spans="2:41">
      <c r="B456" s="301" t="s">
        <v>1480</v>
      </c>
      <c r="C456" s="302" t="s">
        <v>1554</v>
      </c>
      <c r="D456" s="303" t="str">
        <f t="array" ref="D456">_xlfn.XLOOKUP($B456,$B$114:$B$212,_xlfn.XLOOKUP(D$219,$D$5:$AO$5,$D$114:$AO$212))</f>
        <v>NZ$m</v>
      </c>
      <c r="E456" s="303"/>
      <c r="F456" s="303"/>
      <c r="G456" s="304" t="e">
        <f t="array" ref="G456">_xlfn.XLOOKUP($B456,$B$114:$B$212,_xlfn.XLOOKUP(G$219,$D$5:$AO$5,$D$114:$AO$212))</f>
        <v>#REF!</v>
      </c>
      <c r="H456" s="304" t="e">
        <f t="array" ref="H456">_xlfn.XLOOKUP($B456,$B$114:$B$212,_xlfn.XLOOKUP(H$219,$D$5:$AO$5,$D$114:$AO$212))</f>
        <v>#REF!</v>
      </c>
      <c r="I456" s="304" t="e">
        <f t="array" ref="I456">_xlfn.XLOOKUP($B456,$B$114:$B$212,_xlfn.XLOOKUP(I$219,$D$5:$AO$5,$D$114:$AO$212))</f>
        <v>#REF!</v>
      </c>
      <c r="J456" s="304" t="e">
        <f t="array" ref="J456">_xlfn.XLOOKUP($B456,$B$114:$B$212,_xlfn.XLOOKUP(J$219,$D$5:$AO$5,$D$114:$AO$212))</f>
        <v>#REF!</v>
      </c>
      <c r="K456" s="304" t="e">
        <f t="array" ref="K456">_xlfn.XLOOKUP($B456,$B$114:$B$212,_xlfn.XLOOKUP(K$219,$D$5:$AO$5,$D$114:$AO$212))</f>
        <v>#REF!</v>
      </c>
      <c r="L456" s="304" t="e">
        <f t="array" ref="L456">_xlfn.XLOOKUP($B456,$B$114:$B$212,_xlfn.XLOOKUP(L$219,$D$5:$AO$5,$D$114:$AO$212))</f>
        <v>#REF!</v>
      </c>
      <c r="M456" s="304" t="e">
        <f t="array" ref="M456">_xlfn.XLOOKUP($B456,$B$114:$B$212,_xlfn.XLOOKUP(M$219,$D$5:$AO$5,$D$114:$AO$212))</f>
        <v>#REF!</v>
      </c>
      <c r="N456" s="304" t="e">
        <f t="array" ref="N456">_xlfn.XLOOKUP($B456,$B$114:$B$212,_xlfn.XLOOKUP(N$219,$D$5:$AO$5,$D$114:$AO$212))</f>
        <v>#REF!</v>
      </c>
      <c r="O456" s="304" t="e">
        <f t="array" ref="O456">_xlfn.XLOOKUP($B456,$B$114:$B$212,_xlfn.XLOOKUP(O$219,$D$5:$AO$5,$D$114:$AO$212))</f>
        <v>#REF!</v>
      </c>
      <c r="P456" s="304" t="e">
        <f t="array" ref="P456">_xlfn.XLOOKUP($B456,$B$114:$B$212,_xlfn.XLOOKUP(P$219,$D$5:$AO$5,$D$114:$AO$212))</f>
        <v>#REF!</v>
      </c>
      <c r="Q456" s="304" t="e">
        <f t="array" ref="Q456">_xlfn.XLOOKUP($B456,$B$114:$B$212,_xlfn.XLOOKUP(Q$219,$D$5:$AO$5,$D$114:$AO$212))</f>
        <v>#REF!</v>
      </c>
      <c r="R456" s="304" t="e">
        <f t="array" ref="R456">_xlfn.XLOOKUP($B456,$B$114:$B$212,_xlfn.XLOOKUP(R$219,$D$5:$AO$5,$D$114:$AO$212))</f>
        <v>#REF!</v>
      </c>
      <c r="S456" s="304" t="e">
        <f t="array" ref="S456">_xlfn.XLOOKUP($B456,$B$114:$B$212,_xlfn.XLOOKUP(S$219,$D$5:$AO$5,$D$114:$AO$212))</f>
        <v>#REF!</v>
      </c>
      <c r="T456" s="304" t="e">
        <f t="array" ref="T456">_xlfn.XLOOKUP($B456,$B$114:$B$212,_xlfn.XLOOKUP(T$219,$D$5:$AO$5,$D$114:$AO$212))</f>
        <v>#REF!</v>
      </c>
      <c r="U456" s="304" t="e">
        <f t="array" ref="U456">_xlfn.XLOOKUP($B456,$B$114:$B$212,_xlfn.XLOOKUP(U$219,$D$5:$AO$5,$D$114:$AO$212))</f>
        <v>#REF!</v>
      </c>
      <c r="V456" s="304" t="e">
        <f t="array" ref="V456">_xlfn.XLOOKUP($B456,$B$114:$B$212,_xlfn.XLOOKUP(V$219,$D$5:$AO$5,$D$114:$AO$212))</f>
        <v>#REF!</v>
      </c>
      <c r="W456" s="304" t="e">
        <f t="array" ref="W456">_xlfn.XLOOKUP($B456,$B$114:$B$212,_xlfn.XLOOKUP(W$219,$D$5:$AO$5,$D$114:$AO$212))</f>
        <v>#REF!</v>
      </c>
      <c r="X456" s="304" t="e">
        <f t="array" ref="X456">_xlfn.XLOOKUP($B456,$B$114:$B$212,_xlfn.XLOOKUP(X$219,$D$5:$AO$5,$D$114:$AO$212))</f>
        <v>#REF!</v>
      </c>
      <c r="Y456" s="304" t="e">
        <f t="array" ref="Y456">_xlfn.XLOOKUP($B456,$B$114:$B$212,_xlfn.XLOOKUP(Y$219,$D$5:$AO$5,$D$114:$AO$212))</f>
        <v>#REF!</v>
      </c>
      <c r="Z456" s="304" t="e">
        <f t="array" ref="Z456">_xlfn.XLOOKUP($B456,$B$114:$B$212,_xlfn.XLOOKUP(Z$219,$D$5:$AO$5,$D$114:$AO$212))</f>
        <v>#REF!</v>
      </c>
      <c r="AA456" s="305"/>
      <c r="AB456" s="302" t="str">
        <f t="shared" si="234"/>
        <v>Other - old</v>
      </c>
      <c r="AC456" s="303" t="str">
        <f t="shared" si="235"/>
        <v>NZ$m</v>
      </c>
      <c r="AD456" s="303"/>
      <c r="AE456" s="303"/>
      <c r="AF456" s="304" t="e">
        <f t="array" ref="AF456">_xlfn.XLOOKUP($B456,$B$114:$B$212,_xlfn.XLOOKUP(AF$219,$D$5:$AO$5,$D$114:$AO$212))</f>
        <v>#REF!</v>
      </c>
      <c r="AG456" s="304" t="e">
        <f t="array" ref="AG456">_xlfn.XLOOKUP($B456,$B$114:$B$212,_xlfn.XLOOKUP(AG$219,$D$5:$AO$5,$D$114:$AO$212))</f>
        <v>#REF!</v>
      </c>
      <c r="AH456" s="304" t="e">
        <f t="array" ref="AH456">_xlfn.XLOOKUP($B456,$B$114:$B$212,_xlfn.XLOOKUP(AH$219,$D$5:$AO$5,$D$114:$AO$212))</f>
        <v>#REF!</v>
      </c>
      <c r="AI456" s="304" t="e">
        <f t="array" ref="AI456">_xlfn.XLOOKUP($B456,$B$114:$B$212,_xlfn.XLOOKUP(AI$219,$D$5:$AO$5,$D$114:$AO$212))</f>
        <v>#REF!</v>
      </c>
      <c r="AJ456" s="304" t="e">
        <f t="array" ref="AJ456">_xlfn.XLOOKUP($B456,$B$114:$B$212,_xlfn.XLOOKUP(AJ$219,$D$5:$AO$5,$D$114:$AO$212))</f>
        <v>#REF!</v>
      </c>
      <c r="AK456" s="304" t="e">
        <f t="array" ref="AK456">_xlfn.XLOOKUP($B456,$B$114:$B$212,_xlfn.XLOOKUP(AK$219,$D$5:$AO$5,$D$114:$AO$212))</f>
        <v>#REF!</v>
      </c>
      <c r="AL456" s="304" t="e">
        <f t="array" ref="AL456">_xlfn.XLOOKUP($B456,$B$114:$B$212,_xlfn.XLOOKUP(AL$219,$D$5:$AO$5,$D$114:$AO$212))</f>
        <v>#REF!</v>
      </c>
      <c r="AM456" s="304" t="e">
        <f t="array" ref="AM456">_xlfn.XLOOKUP($B456,$B$114:$B$212,_xlfn.XLOOKUP(AM$219,$D$5:$AO$5,$D$114:$AO$212))</f>
        <v>#REF!</v>
      </c>
      <c r="AN456" s="304" t="e">
        <f t="array" ref="AN456">_xlfn.XLOOKUP($B456,$B$114:$B$212,_xlfn.XLOOKUP(AN$219,$D$5:$AO$5,$D$114:$AO$212))</f>
        <v>#REF!</v>
      </c>
      <c r="AO456" s="304" t="e">
        <f t="array" ref="AO456">_xlfn.XLOOKUP($B456,$B$114:$B$212,_xlfn.XLOOKUP(AO$219,$D$5:$AO$5,$D$114:$AO$212))</f>
        <v>#REF!</v>
      </c>
    </row>
    <row r="457" spans="2:41">
      <c r="B457" s="301" t="s">
        <v>1480</v>
      </c>
      <c r="C457" s="306" t="s">
        <v>1555</v>
      </c>
      <c r="D457" s="307" t="str">
        <f t="array" ref="D457">_xlfn.XLOOKUP($B457,$B$11:$B$109,_xlfn.XLOOKUP(D$219,$D$5:$AO$5,$D$11:$AO$109))</f>
        <v>NZ$m</v>
      </c>
      <c r="E457" s="307"/>
      <c r="F457" s="307"/>
      <c r="G457" s="308" t="e">
        <f t="array" ref="G457">_xlfn.XLOOKUP($B457,$B$11:$B$109,_xlfn.XLOOKUP(G$219,$D$5:$AO$5,$D$11:$AO$109))</f>
        <v>#REF!</v>
      </c>
      <c r="H457" s="308" t="e">
        <f t="array" ref="H457">_xlfn.XLOOKUP($B457,$B$11:$B$109,_xlfn.XLOOKUP(H$219,$D$5:$AO$5,$D$11:$AO$109))</f>
        <v>#REF!</v>
      </c>
      <c r="I457" s="308" t="e">
        <f t="array" ref="I457">_xlfn.XLOOKUP($B457,$B$11:$B$109,_xlfn.XLOOKUP(I$219,$D$5:$AO$5,$D$11:$AO$109))</f>
        <v>#REF!</v>
      </c>
      <c r="J457" s="308" t="e">
        <f t="array" ref="J457">_xlfn.XLOOKUP($B457,$B$11:$B$109,_xlfn.XLOOKUP(J$219,$D$5:$AO$5,$D$11:$AO$109))</f>
        <v>#REF!</v>
      </c>
      <c r="K457" s="308" t="e">
        <f t="array" ref="K457">_xlfn.XLOOKUP($B457,$B$11:$B$109,_xlfn.XLOOKUP(K$219,$D$5:$AO$5,$D$11:$AO$109))</f>
        <v>#REF!</v>
      </c>
      <c r="L457" s="308" t="e">
        <f t="array" ref="L457">_xlfn.XLOOKUP($B457,$B$11:$B$109,_xlfn.XLOOKUP(L$219,$D$5:$AO$5,$D$11:$AO$109))</f>
        <v>#REF!</v>
      </c>
      <c r="M457" s="308" t="e">
        <f t="array" ref="M457">_xlfn.XLOOKUP($B457,$B$11:$B$109,_xlfn.XLOOKUP(M$219,$D$5:$AO$5,$D$11:$AO$109))</f>
        <v>#REF!</v>
      </c>
      <c r="N457" s="308" t="e">
        <f t="array" ref="N457">_xlfn.XLOOKUP($B457,$B$11:$B$109,_xlfn.XLOOKUP(N$219,$D$5:$AO$5,$D$11:$AO$109))</f>
        <v>#REF!</v>
      </c>
      <c r="O457" s="308" t="e">
        <f t="array" ref="O457">_xlfn.XLOOKUP($B457,$B$11:$B$109,_xlfn.XLOOKUP(O$219,$D$5:$AO$5,$D$11:$AO$109))</f>
        <v>#REF!</v>
      </c>
      <c r="P457" s="308" t="e">
        <f t="array" ref="P457">_xlfn.XLOOKUP($B457,$B$11:$B$109,_xlfn.XLOOKUP(P$219,$D$5:$AO$5,$D$11:$AO$109))</f>
        <v>#REF!</v>
      </c>
      <c r="Q457" s="308" t="e">
        <f t="array" ref="Q457">_xlfn.XLOOKUP($B457,$B$11:$B$109,_xlfn.XLOOKUP(Q$219,$D$5:$AO$5,$D$11:$AO$109))</f>
        <v>#REF!</v>
      </c>
      <c r="R457" s="308" t="e">
        <f t="array" ref="R457">_xlfn.XLOOKUP($B457,$B$11:$B$109,_xlfn.XLOOKUP(R$219,$D$5:$AO$5,$D$11:$AO$109))</f>
        <v>#REF!</v>
      </c>
      <c r="S457" s="308" t="e">
        <f t="array" ref="S457">_xlfn.XLOOKUP($B457,$B$11:$B$109,_xlfn.XLOOKUP(S$219,$D$5:$AO$5,$D$11:$AO$109))</f>
        <v>#REF!</v>
      </c>
      <c r="T457" s="308" t="e">
        <f t="array" ref="T457">_xlfn.XLOOKUP($B457,$B$11:$B$109,_xlfn.XLOOKUP(T$219,$D$5:$AO$5,$D$11:$AO$109))</f>
        <v>#REF!</v>
      </c>
      <c r="U457" s="308" t="e">
        <f t="array" ref="U457">_xlfn.XLOOKUP($B457,$B$11:$B$109,_xlfn.XLOOKUP(U$219,$D$5:$AO$5,$D$11:$AO$109))</f>
        <v>#REF!</v>
      </c>
      <c r="V457" s="308" t="e">
        <f t="array" ref="V457">_xlfn.XLOOKUP($B457,$B$11:$B$109,_xlfn.XLOOKUP(V$219,$D$5:$AO$5,$D$11:$AO$109))</f>
        <v>#REF!</v>
      </c>
      <c r="W457" s="308" t="e">
        <f t="array" ref="W457">_xlfn.XLOOKUP($B457,$B$11:$B$109,_xlfn.XLOOKUP(W$219,$D$5:$AO$5,$D$11:$AO$109))</f>
        <v>#REF!</v>
      </c>
      <c r="X457" s="308" t="e">
        <f t="array" ref="X457">_xlfn.XLOOKUP($B457,$B$11:$B$109,_xlfn.XLOOKUP(X$219,$D$5:$AO$5,$D$11:$AO$109))</f>
        <v>#REF!</v>
      </c>
      <c r="Y457" s="308" t="e">
        <f t="array" ref="Y457">_xlfn.XLOOKUP($B457,$B$11:$B$109,_xlfn.XLOOKUP(Y$219,$D$5:$AO$5,$D$11:$AO$109))</f>
        <v>#REF!</v>
      </c>
      <c r="Z457" s="308" t="e">
        <f t="array" ref="Z457">_xlfn.XLOOKUP($B457,$B$11:$B$109,_xlfn.XLOOKUP(Z$219,$D$5:$AO$5,$D$11:$AO$109))</f>
        <v>#REF!</v>
      </c>
      <c r="AA457" s="308"/>
      <c r="AB457" s="306" t="str">
        <f t="shared" si="234"/>
        <v>Other - New</v>
      </c>
      <c r="AC457" s="307" t="str">
        <f t="shared" si="235"/>
        <v>NZ$m</v>
      </c>
      <c r="AD457" s="307"/>
      <c r="AE457" s="307"/>
      <c r="AF457" s="308" t="e">
        <f t="array" ref="AF457">_xlfn.XLOOKUP($B457,$B$11:$B$109,_xlfn.XLOOKUP(AF$219,$D$5:$AO$5,$D$11:$AO$109))</f>
        <v>#REF!</v>
      </c>
      <c r="AG457" s="308" t="e">
        <f t="array" ref="AG457">_xlfn.XLOOKUP($B457,$B$11:$B$109,_xlfn.XLOOKUP(AG$219,$D$5:$AO$5,$D$11:$AO$109))</f>
        <v>#REF!</v>
      </c>
      <c r="AH457" s="308" t="e">
        <f t="array" ref="AH457">_xlfn.XLOOKUP($B457,$B$11:$B$109,_xlfn.XLOOKUP(AH$219,$D$5:$AO$5,$D$11:$AO$109))</f>
        <v>#REF!</v>
      </c>
      <c r="AI457" s="308" t="e">
        <f t="array" ref="AI457">_xlfn.XLOOKUP($B457,$B$11:$B$109,_xlfn.XLOOKUP(AI$219,$D$5:$AO$5,$D$11:$AO$109))</f>
        <v>#REF!</v>
      </c>
      <c r="AJ457" s="308" t="e">
        <f t="array" ref="AJ457">_xlfn.XLOOKUP($B457,$B$11:$B$109,_xlfn.XLOOKUP(AJ$219,$D$5:$AO$5,$D$11:$AO$109))</f>
        <v>#REF!</v>
      </c>
      <c r="AK457" s="308" t="e">
        <f t="array" ref="AK457">_xlfn.XLOOKUP($B457,$B$11:$B$109,_xlfn.XLOOKUP(AK$219,$D$5:$AO$5,$D$11:$AO$109))</f>
        <v>#REF!</v>
      </c>
      <c r="AL457" s="308" t="e">
        <f t="array" ref="AL457">_xlfn.XLOOKUP($B457,$B$11:$B$109,_xlfn.XLOOKUP(AL$219,$D$5:$AO$5,$D$11:$AO$109))</f>
        <v>#REF!</v>
      </c>
      <c r="AM457" s="308" t="e">
        <f t="array" ref="AM457">_xlfn.XLOOKUP($B457,$B$11:$B$109,_xlfn.XLOOKUP(AM$219,$D$5:$AO$5,$D$11:$AO$109))</f>
        <v>#REF!</v>
      </c>
      <c r="AN457" s="308" t="e">
        <f t="array" ref="AN457">_xlfn.XLOOKUP($B457,$B$11:$B$109,_xlfn.XLOOKUP(AN$219,$D$5:$AO$5,$D$11:$AO$109))</f>
        <v>#REF!</v>
      </c>
      <c r="AO457" s="308" t="e">
        <f t="array" ref="AO457">_xlfn.XLOOKUP($B457,$B$11:$B$109,_xlfn.XLOOKUP(AO$219,$D$5:$AO$5,$D$11:$AO$109))</f>
        <v>#REF!</v>
      </c>
    </row>
    <row r="458" spans="2:41" hidden="1" outlineLevel="1">
      <c r="B458" s="301"/>
      <c r="C458" s="309" t="s">
        <v>1510</v>
      </c>
      <c r="D458" s="303" t="s">
        <v>88</v>
      </c>
      <c r="E458" s="303"/>
      <c r="F458" s="303"/>
      <c r="G458" s="310" t="s">
        <v>967</v>
      </c>
      <c r="H458" s="310" t="s">
        <v>967</v>
      </c>
      <c r="I458" s="310" t="e">
        <f t="shared" ref="I458:Z458" si="268">I457/G457-1</f>
        <v>#REF!</v>
      </c>
      <c r="J458" s="310" t="e">
        <f t="shared" si="268"/>
        <v>#REF!</v>
      </c>
      <c r="K458" s="310" t="e">
        <f t="shared" si="268"/>
        <v>#REF!</v>
      </c>
      <c r="L458" s="310" t="e">
        <f t="shared" si="268"/>
        <v>#REF!</v>
      </c>
      <c r="M458" s="310" t="e">
        <f t="shared" si="268"/>
        <v>#REF!</v>
      </c>
      <c r="N458" s="310" t="e">
        <f t="shared" si="268"/>
        <v>#REF!</v>
      </c>
      <c r="O458" s="310" t="e">
        <f t="shared" si="268"/>
        <v>#REF!</v>
      </c>
      <c r="P458" s="310" t="e">
        <f t="shared" si="268"/>
        <v>#REF!</v>
      </c>
      <c r="Q458" s="310" t="e">
        <f t="shared" si="268"/>
        <v>#REF!</v>
      </c>
      <c r="R458" s="310" t="e">
        <f t="shared" si="268"/>
        <v>#REF!</v>
      </c>
      <c r="S458" s="310" t="e">
        <f t="shared" si="268"/>
        <v>#REF!</v>
      </c>
      <c r="T458" s="310" t="e">
        <f t="shared" si="268"/>
        <v>#REF!</v>
      </c>
      <c r="U458" s="310" t="e">
        <f t="shared" si="268"/>
        <v>#REF!</v>
      </c>
      <c r="V458" s="310" t="e">
        <f t="shared" si="268"/>
        <v>#REF!</v>
      </c>
      <c r="W458" s="310" t="e">
        <f t="shared" si="268"/>
        <v>#REF!</v>
      </c>
      <c r="X458" s="310" t="e">
        <f t="shared" si="268"/>
        <v>#REF!</v>
      </c>
      <c r="Y458" s="310" t="e">
        <f t="shared" si="268"/>
        <v>#REF!</v>
      </c>
      <c r="Z458" s="310" t="e">
        <f t="shared" si="268"/>
        <v>#REF!</v>
      </c>
      <c r="AA458" s="311"/>
      <c r="AB458" s="309" t="str">
        <f t="shared" si="234"/>
        <v>- Growth</v>
      </c>
      <c r="AC458" s="303" t="str">
        <f t="shared" si="235"/>
        <v>%</v>
      </c>
      <c r="AD458" s="303"/>
      <c r="AE458" s="303"/>
      <c r="AF458" s="310" t="s">
        <v>967</v>
      </c>
      <c r="AG458" s="310" t="e">
        <f t="shared" ref="AG458:AO458" si="269">AG457/AF457-1</f>
        <v>#REF!</v>
      </c>
      <c r="AH458" s="310" t="e">
        <f t="shared" si="269"/>
        <v>#REF!</v>
      </c>
      <c r="AI458" s="310" t="e">
        <f t="shared" si="269"/>
        <v>#REF!</v>
      </c>
      <c r="AJ458" s="310" t="e">
        <f t="shared" si="269"/>
        <v>#REF!</v>
      </c>
      <c r="AK458" s="310" t="e">
        <f t="shared" si="269"/>
        <v>#REF!</v>
      </c>
      <c r="AL458" s="310" t="e">
        <f t="shared" si="269"/>
        <v>#REF!</v>
      </c>
      <c r="AM458" s="310" t="e">
        <f t="shared" si="269"/>
        <v>#REF!</v>
      </c>
      <c r="AN458" s="310" t="e">
        <f t="shared" si="269"/>
        <v>#REF!</v>
      </c>
      <c r="AO458" s="310" t="e">
        <f t="shared" si="269"/>
        <v>#REF!</v>
      </c>
    </row>
    <row r="459" spans="2:41" collapsed="1">
      <c r="B459" s="301"/>
      <c r="C459" s="309" t="s">
        <v>1511</v>
      </c>
      <c r="D459" s="303" t="s">
        <v>88</v>
      </c>
      <c r="E459" s="303"/>
      <c r="F459" s="303"/>
      <c r="G459" s="310">
        <f t="shared" ref="G459:Z459" si="270">IFERROR(ROUND( G457 / G456,2) - 1, 0)</f>
        <v>0</v>
      </c>
      <c r="H459" s="310">
        <f t="shared" si="270"/>
        <v>0</v>
      </c>
      <c r="I459" s="310">
        <f t="shared" si="270"/>
        <v>0</v>
      </c>
      <c r="J459" s="310">
        <f t="shared" si="270"/>
        <v>0</v>
      </c>
      <c r="K459" s="310">
        <f t="shared" si="270"/>
        <v>0</v>
      </c>
      <c r="L459" s="310">
        <f t="shared" si="270"/>
        <v>0</v>
      </c>
      <c r="M459" s="310">
        <f t="shared" si="270"/>
        <v>0</v>
      </c>
      <c r="N459" s="310">
        <f t="shared" si="270"/>
        <v>0</v>
      </c>
      <c r="O459" s="310">
        <f t="shared" si="270"/>
        <v>0</v>
      </c>
      <c r="P459" s="310">
        <f t="shared" si="270"/>
        <v>0</v>
      </c>
      <c r="Q459" s="310">
        <f t="shared" si="270"/>
        <v>0</v>
      </c>
      <c r="R459" s="310">
        <f t="shared" si="270"/>
        <v>0</v>
      </c>
      <c r="S459" s="310">
        <f t="shared" si="270"/>
        <v>0</v>
      </c>
      <c r="T459" s="310">
        <f t="shared" si="270"/>
        <v>0</v>
      </c>
      <c r="U459" s="310">
        <f t="shared" si="270"/>
        <v>0</v>
      </c>
      <c r="V459" s="310">
        <f t="shared" si="270"/>
        <v>0</v>
      </c>
      <c r="W459" s="310">
        <f t="shared" si="270"/>
        <v>0</v>
      </c>
      <c r="X459" s="310">
        <f t="shared" si="270"/>
        <v>0</v>
      </c>
      <c r="Y459" s="310">
        <f t="shared" si="270"/>
        <v>0</v>
      </c>
      <c r="Z459" s="310">
        <f t="shared" si="270"/>
        <v>0</v>
      </c>
      <c r="AA459" s="310"/>
      <c r="AB459" s="309" t="str">
        <f t="shared" si="234"/>
        <v>- Revision</v>
      </c>
      <c r="AC459" s="303" t="str">
        <f t="shared" si="235"/>
        <v>%</v>
      </c>
      <c r="AD459" s="303"/>
      <c r="AE459" s="303"/>
      <c r="AF459" s="310">
        <f t="shared" ref="AF459:AO459" si="271">IFERROR(ROUND( AF457 / AF456,2) - 1, 0)</f>
        <v>0</v>
      </c>
      <c r="AG459" s="310">
        <f t="shared" si="271"/>
        <v>0</v>
      </c>
      <c r="AH459" s="310">
        <f t="shared" si="271"/>
        <v>0</v>
      </c>
      <c r="AI459" s="310">
        <f t="shared" si="271"/>
        <v>0</v>
      </c>
      <c r="AJ459" s="310">
        <f t="shared" si="271"/>
        <v>0</v>
      </c>
      <c r="AK459" s="310">
        <f t="shared" si="271"/>
        <v>0</v>
      </c>
      <c r="AL459" s="310">
        <f t="shared" si="271"/>
        <v>0</v>
      </c>
      <c r="AM459" s="310">
        <f t="shared" si="271"/>
        <v>0</v>
      </c>
      <c r="AN459" s="310">
        <f t="shared" si="271"/>
        <v>0</v>
      </c>
      <c r="AO459" s="310">
        <f t="shared" si="271"/>
        <v>0</v>
      </c>
    </row>
    <row r="460" spans="2:41">
      <c r="B460" s="301" t="s">
        <v>1481</v>
      </c>
      <c r="C460" s="302" t="s">
        <v>1562</v>
      </c>
      <c r="D460" s="303" t="str">
        <f t="array" ref="D460">_xlfn.XLOOKUP($B460,$B$114:$B$212,_xlfn.XLOOKUP(D$219,$D$5:$AO$5,$D$114:$AO$212))</f>
        <v>NZ$m</v>
      </c>
      <c r="E460" s="303"/>
      <c r="F460" s="303"/>
      <c r="G460" s="304" t="e">
        <f t="array" ref="G460">_xlfn.XLOOKUP($B460,$B$114:$B$212,_xlfn.XLOOKUP(G$219,$D$5:$AO$5,$D$114:$AO$212))</f>
        <v>#REF!</v>
      </c>
      <c r="H460" s="304" t="e">
        <f t="array" ref="H460">_xlfn.XLOOKUP($B460,$B$114:$B$212,_xlfn.XLOOKUP(H$219,$D$5:$AO$5,$D$114:$AO$212))</f>
        <v>#REF!</v>
      </c>
      <c r="I460" s="304" t="e">
        <f t="array" ref="I460">_xlfn.XLOOKUP($B460,$B$114:$B$212,_xlfn.XLOOKUP(I$219,$D$5:$AO$5,$D$114:$AO$212))</f>
        <v>#REF!</v>
      </c>
      <c r="J460" s="304" t="e">
        <f t="array" ref="J460">_xlfn.XLOOKUP($B460,$B$114:$B$212,_xlfn.XLOOKUP(J$219,$D$5:$AO$5,$D$114:$AO$212))</f>
        <v>#REF!</v>
      </c>
      <c r="K460" s="304" t="e">
        <f t="array" ref="K460">_xlfn.XLOOKUP($B460,$B$114:$B$212,_xlfn.XLOOKUP(K$219,$D$5:$AO$5,$D$114:$AO$212))</f>
        <v>#REF!</v>
      </c>
      <c r="L460" s="304" t="e">
        <f t="array" ref="L460">_xlfn.XLOOKUP($B460,$B$114:$B$212,_xlfn.XLOOKUP(L$219,$D$5:$AO$5,$D$114:$AO$212))</f>
        <v>#REF!</v>
      </c>
      <c r="M460" s="304" t="e">
        <f t="array" ref="M460">_xlfn.XLOOKUP($B460,$B$114:$B$212,_xlfn.XLOOKUP(M$219,$D$5:$AO$5,$D$114:$AO$212))</f>
        <v>#REF!</v>
      </c>
      <c r="N460" s="304" t="e">
        <f t="array" ref="N460">_xlfn.XLOOKUP($B460,$B$114:$B$212,_xlfn.XLOOKUP(N$219,$D$5:$AO$5,$D$114:$AO$212))</f>
        <v>#REF!</v>
      </c>
      <c r="O460" s="304" t="e">
        <f t="array" ref="O460">_xlfn.XLOOKUP($B460,$B$114:$B$212,_xlfn.XLOOKUP(O$219,$D$5:$AO$5,$D$114:$AO$212))</f>
        <v>#REF!</v>
      </c>
      <c r="P460" s="304" t="e">
        <f t="array" ref="P460">_xlfn.XLOOKUP($B460,$B$114:$B$212,_xlfn.XLOOKUP(P$219,$D$5:$AO$5,$D$114:$AO$212))</f>
        <v>#REF!</v>
      </c>
      <c r="Q460" s="304" t="e">
        <f t="array" ref="Q460">_xlfn.XLOOKUP($B460,$B$114:$B$212,_xlfn.XLOOKUP(Q$219,$D$5:$AO$5,$D$114:$AO$212))</f>
        <v>#REF!</v>
      </c>
      <c r="R460" s="304" t="e">
        <f t="array" ref="R460">_xlfn.XLOOKUP($B460,$B$114:$B$212,_xlfn.XLOOKUP(R$219,$D$5:$AO$5,$D$114:$AO$212))</f>
        <v>#REF!</v>
      </c>
      <c r="S460" s="304" t="e">
        <f t="array" ref="S460">_xlfn.XLOOKUP($B460,$B$114:$B$212,_xlfn.XLOOKUP(S$219,$D$5:$AO$5,$D$114:$AO$212))</f>
        <v>#REF!</v>
      </c>
      <c r="T460" s="304" t="e">
        <f t="array" ref="T460">_xlfn.XLOOKUP($B460,$B$114:$B$212,_xlfn.XLOOKUP(T$219,$D$5:$AO$5,$D$114:$AO$212))</f>
        <v>#REF!</v>
      </c>
      <c r="U460" s="304" t="e">
        <f t="array" ref="U460">_xlfn.XLOOKUP($B460,$B$114:$B$212,_xlfn.XLOOKUP(U$219,$D$5:$AO$5,$D$114:$AO$212))</f>
        <v>#REF!</v>
      </c>
      <c r="V460" s="304" t="e">
        <f t="array" ref="V460">_xlfn.XLOOKUP($B460,$B$114:$B$212,_xlfn.XLOOKUP(V$219,$D$5:$AO$5,$D$114:$AO$212))</f>
        <v>#REF!</v>
      </c>
      <c r="W460" s="304" t="e">
        <f t="array" ref="W460">_xlfn.XLOOKUP($B460,$B$114:$B$212,_xlfn.XLOOKUP(W$219,$D$5:$AO$5,$D$114:$AO$212))</f>
        <v>#REF!</v>
      </c>
      <c r="X460" s="304" t="e">
        <f t="array" ref="X460">_xlfn.XLOOKUP($B460,$B$114:$B$212,_xlfn.XLOOKUP(X$219,$D$5:$AO$5,$D$114:$AO$212))</f>
        <v>#REF!</v>
      </c>
      <c r="Y460" s="304" t="e">
        <f t="array" ref="Y460">_xlfn.XLOOKUP($B460,$B$114:$B$212,_xlfn.XLOOKUP(Y$219,$D$5:$AO$5,$D$114:$AO$212))</f>
        <v>#REF!</v>
      </c>
      <c r="Z460" s="304" t="e">
        <f t="array" ref="Z460">_xlfn.XLOOKUP($B460,$B$114:$B$212,_xlfn.XLOOKUP(Z$219,$D$5:$AO$5,$D$114:$AO$212))</f>
        <v>#REF!</v>
      </c>
      <c r="AA460" s="305"/>
      <c r="AB460" s="302" t="str">
        <f t="shared" si="234"/>
        <v>Total Normalised EBITDA - old</v>
      </c>
      <c r="AC460" s="303" t="str">
        <f t="shared" si="235"/>
        <v>NZ$m</v>
      </c>
      <c r="AD460" s="303"/>
      <c r="AE460" s="303"/>
      <c r="AF460" s="304" t="e">
        <f t="array" ref="AF460">_xlfn.XLOOKUP($B460,$B$114:$B$212,_xlfn.XLOOKUP(AF$219,$D$5:$AO$5,$D$114:$AO$212))</f>
        <v>#REF!</v>
      </c>
      <c r="AG460" s="304" t="e">
        <f t="array" ref="AG460">_xlfn.XLOOKUP($B460,$B$114:$B$212,_xlfn.XLOOKUP(AG$219,$D$5:$AO$5,$D$114:$AO$212))</f>
        <v>#REF!</v>
      </c>
      <c r="AH460" s="304" t="e">
        <f t="array" ref="AH460">_xlfn.XLOOKUP($B460,$B$114:$B$212,_xlfn.XLOOKUP(AH$219,$D$5:$AO$5,$D$114:$AO$212))</f>
        <v>#REF!</v>
      </c>
      <c r="AI460" s="304" t="e">
        <f t="array" ref="AI460">_xlfn.XLOOKUP($B460,$B$114:$B$212,_xlfn.XLOOKUP(AI$219,$D$5:$AO$5,$D$114:$AO$212))</f>
        <v>#REF!</v>
      </c>
      <c r="AJ460" s="304" t="e">
        <f t="array" ref="AJ460">_xlfn.XLOOKUP($B460,$B$114:$B$212,_xlfn.XLOOKUP(AJ$219,$D$5:$AO$5,$D$114:$AO$212))</f>
        <v>#REF!</v>
      </c>
      <c r="AK460" s="304" t="e">
        <f t="array" ref="AK460">_xlfn.XLOOKUP($B460,$B$114:$B$212,_xlfn.XLOOKUP(AK$219,$D$5:$AO$5,$D$114:$AO$212))</f>
        <v>#REF!</v>
      </c>
      <c r="AL460" s="304" t="e">
        <f t="array" ref="AL460">_xlfn.XLOOKUP($B460,$B$114:$B$212,_xlfn.XLOOKUP(AL$219,$D$5:$AO$5,$D$114:$AO$212))</f>
        <v>#REF!</v>
      </c>
      <c r="AM460" s="304" t="e">
        <f t="array" ref="AM460">_xlfn.XLOOKUP($B460,$B$114:$B$212,_xlfn.XLOOKUP(AM$219,$D$5:$AO$5,$D$114:$AO$212))</f>
        <v>#REF!</v>
      </c>
      <c r="AN460" s="304" t="e">
        <f t="array" ref="AN460">_xlfn.XLOOKUP($B460,$B$114:$B$212,_xlfn.XLOOKUP(AN$219,$D$5:$AO$5,$D$114:$AO$212))</f>
        <v>#REF!</v>
      </c>
      <c r="AO460" s="304" t="e">
        <f t="array" ref="AO460">_xlfn.XLOOKUP($B460,$B$114:$B$212,_xlfn.XLOOKUP(AO$219,$D$5:$AO$5,$D$114:$AO$212))</f>
        <v>#REF!</v>
      </c>
    </row>
    <row r="461" spans="2:41">
      <c r="B461" s="301" t="s">
        <v>1481</v>
      </c>
      <c r="C461" s="306" t="s">
        <v>1563</v>
      </c>
      <c r="D461" s="307" t="str">
        <f t="array" ref="D461">_xlfn.XLOOKUP($B461,$B$11:$B$109,_xlfn.XLOOKUP(D$219,$D$5:$AO$5,$D$11:$AO$109))</f>
        <v>NZ$m</v>
      </c>
      <c r="E461" s="307"/>
      <c r="F461" s="307"/>
      <c r="G461" s="308" t="e">
        <f t="array" ref="G461">_xlfn.XLOOKUP($B461,$B$11:$B$109,_xlfn.XLOOKUP(G$219,$D$5:$AO$5,$D$11:$AO$109))</f>
        <v>#REF!</v>
      </c>
      <c r="H461" s="308" t="e">
        <f t="array" ref="H461">_xlfn.XLOOKUP($B461,$B$11:$B$109,_xlfn.XLOOKUP(H$219,$D$5:$AO$5,$D$11:$AO$109))</f>
        <v>#REF!</v>
      </c>
      <c r="I461" s="308" t="e">
        <f t="array" ref="I461">_xlfn.XLOOKUP($B461,$B$11:$B$109,_xlfn.XLOOKUP(I$219,$D$5:$AO$5,$D$11:$AO$109))</f>
        <v>#REF!</v>
      </c>
      <c r="J461" s="308" t="e">
        <f t="array" ref="J461">_xlfn.XLOOKUP($B461,$B$11:$B$109,_xlfn.XLOOKUP(J$219,$D$5:$AO$5,$D$11:$AO$109))</f>
        <v>#REF!</v>
      </c>
      <c r="K461" s="308" t="e">
        <f t="array" ref="K461">_xlfn.XLOOKUP($B461,$B$11:$B$109,_xlfn.XLOOKUP(K$219,$D$5:$AO$5,$D$11:$AO$109))</f>
        <v>#REF!</v>
      </c>
      <c r="L461" s="308" t="e">
        <f t="array" ref="L461">_xlfn.XLOOKUP($B461,$B$11:$B$109,_xlfn.XLOOKUP(L$219,$D$5:$AO$5,$D$11:$AO$109))</f>
        <v>#REF!</v>
      </c>
      <c r="M461" s="308" t="e">
        <f t="array" ref="M461">_xlfn.XLOOKUP($B461,$B$11:$B$109,_xlfn.XLOOKUP(M$219,$D$5:$AO$5,$D$11:$AO$109))</f>
        <v>#REF!</v>
      </c>
      <c r="N461" s="308" t="e">
        <f t="array" ref="N461">_xlfn.XLOOKUP($B461,$B$11:$B$109,_xlfn.XLOOKUP(N$219,$D$5:$AO$5,$D$11:$AO$109))</f>
        <v>#REF!</v>
      </c>
      <c r="O461" s="308" t="e">
        <f t="array" ref="O461">_xlfn.XLOOKUP($B461,$B$11:$B$109,_xlfn.XLOOKUP(O$219,$D$5:$AO$5,$D$11:$AO$109))</f>
        <v>#REF!</v>
      </c>
      <c r="P461" s="308" t="e">
        <f t="array" ref="P461">_xlfn.XLOOKUP($B461,$B$11:$B$109,_xlfn.XLOOKUP(P$219,$D$5:$AO$5,$D$11:$AO$109))</f>
        <v>#REF!</v>
      </c>
      <c r="Q461" s="308" t="e">
        <f t="array" ref="Q461">_xlfn.XLOOKUP($B461,$B$11:$B$109,_xlfn.XLOOKUP(Q$219,$D$5:$AO$5,$D$11:$AO$109))</f>
        <v>#REF!</v>
      </c>
      <c r="R461" s="308" t="e">
        <f t="array" ref="R461">_xlfn.XLOOKUP($B461,$B$11:$B$109,_xlfn.XLOOKUP(R$219,$D$5:$AO$5,$D$11:$AO$109))</f>
        <v>#REF!</v>
      </c>
      <c r="S461" s="308" t="e">
        <f t="array" ref="S461">_xlfn.XLOOKUP($B461,$B$11:$B$109,_xlfn.XLOOKUP(S$219,$D$5:$AO$5,$D$11:$AO$109))</f>
        <v>#REF!</v>
      </c>
      <c r="T461" s="308" t="e">
        <f t="array" ref="T461">_xlfn.XLOOKUP($B461,$B$11:$B$109,_xlfn.XLOOKUP(T$219,$D$5:$AO$5,$D$11:$AO$109))</f>
        <v>#REF!</v>
      </c>
      <c r="U461" s="308" t="e">
        <f t="array" ref="U461">_xlfn.XLOOKUP($B461,$B$11:$B$109,_xlfn.XLOOKUP(U$219,$D$5:$AO$5,$D$11:$AO$109))</f>
        <v>#REF!</v>
      </c>
      <c r="V461" s="308" t="e">
        <f t="array" ref="V461">_xlfn.XLOOKUP($B461,$B$11:$B$109,_xlfn.XLOOKUP(V$219,$D$5:$AO$5,$D$11:$AO$109))</f>
        <v>#REF!</v>
      </c>
      <c r="W461" s="308" t="e">
        <f t="array" ref="W461">_xlfn.XLOOKUP($B461,$B$11:$B$109,_xlfn.XLOOKUP(W$219,$D$5:$AO$5,$D$11:$AO$109))</f>
        <v>#REF!</v>
      </c>
      <c r="X461" s="308" t="e">
        <f t="array" ref="X461">_xlfn.XLOOKUP($B461,$B$11:$B$109,_xlfn.XLOOKUP(X$219,$D$5:$AO$5,$D$11:$AO$109))</f>
        <v>#REF!</v>
      </c>
      <c r="Y461" s="308" t="e">
        <f t="array" ref="Y461">_xlfn.XLOOKUP($B461,$B$11:$B$109,_xlfn.XLOOKUP(Y$219,$D$5:$AO$5,$D$11:$AO$109))</f>
        <v>#REF!</v>
      </c>
      <c r="Z461" s="308" t="e">
        <f t="array" ref="Z461">_xlfn.XLOOKUP($B461,$B$11:$B$109,_xlfn.XLOOKUP(Z$219,$D$5:$AO$5,$D$11:$AO$109))</f>
        <v>#REF!</v>
      </c>
      <c r="AA461" s="308"/>
      <c r="AB461" s="306" t="str">
        <f t="shared" si="234"/>
        <v>Total Normalised EBITDA - New</v>
      </c>
      <c r="AC461" s="307" t="str">
        <f t="shared" si="235"/>
        <v>NZ$m</v>
      </c>
      <c r="AD461" s="307"/>
      <c r="AE461" s="307"/>
      <c r="AF461" s="308" t="e">
        <f t="array" ref="AF461">_xlfn.XLOOKUP($B461,$B$11:$B$109,_xlfn.XLOOKUP(AF$219,$D$5:$AO$5,$D$11:$AO$109))</f>
        <v>#REF!</v>
      </c>
      <c r="AG461" s="308" t="e">
        <f t="array" ref="AG461">_xlfn.XLOOKUP($B461,$B$11:$B$109,_xlfn.XLOOKUP(AG$219,$D$5:$AO$5,$D$11:$AO$109))</f>
        <v>#REF!</v>
      </c>
      <c r="AH461" s="308" t="e">
        <f t="array" ref="AH461">_xlfn.XLOOKUP($B461,$B$11:$B$109,_xlfn.XLOOKUP(AH$219,$D$5:$AO$5,$D$11:$AO$109))</f>
        <v>#REF!</v>
      </c>
      <c r="AI461" s="308" t="e">
        <f t="array" ref="AI461">_xlfn.XLOOKUP($B461,$B$11:$B$109,_xlfn.XLOOKUP(AI$219,$D$5:$AO$5,$D$11:$AO$109))</f>
        <v>#REF!</v>
      </c>
      <c r="AJ461" s="308" t="e">
        <f t="array" ref="AJ461">_xlfn.XLOOKUP($B461,$B$11:$B$109,_xlfn.XLOOKUP(AJ$219,$D$5:$AO$5,$D$11:$AO$109))</f>
        <v>#REF!</v>
      </c>
      <c r="AK461" s="308" t="e">
        <f t="array" ref="AK461">_xlfn.XLOOKUP($B461,$B$11:$B$109,_xlfn.XLOOKUP(AK$219,$D$5:$AO$5,$D$11:$AO$109))</f>
        <v>#REF!</v>
      </c>
      <c r="AL461" s="308" t="e">
        <f t="array" ref="AL461">_xlfn.XLOOKUP($B461,$B$11:$B$109,_xlfn.XLOOKUP(AL$219,$D$5:$AO$5,$D$11:$AO$109))</f>
        <v>#REF!</v>
      </c>
      <c r="AM461" s="308" t="e">
        <f t="array" ref="AM461">_xlfn.XLOOKUP($B461,$B$11:$B$109,_xlfn.XLOOKUP(AM$219,$D$5:$AO$5,$D$11:$AO$109))</f>
        <v>#REF!</v>
      </c>
      <c r="AN461" s="308" t="e">
        <f t="array" ref="AN461">_xlfn.XLOOKUP($B461,$B$11:$B$109,_xlfn.XLOOKUP(AN$219,$D$5:$AO$5,$D$11:$AO$109))</f>
        <v>#REF!</v>
      </c>
      <c r="AO461" s="308" t="e">
        <f t="array" ref="AO461">_xlfn.XLOOKUP($B461,$B$11:$B$109,_xlfn.XLOOKUP(AO$219,$D$5:$AO$5,$D$11:$AO$109))</f>
        <v>#REF!</v>
      </c>
    </row>
    <row r="462" spans="2:41" hidden="1" outlineLevel="1">
      <c r="B462" s="301"/>
      <c r="C462" s="309" t="s">
        <v>1510</v>
      </c>
      <c r="D462" s="303" t="s">
        <v>88</v>
      </c>
      <c r="E462" s="303"/>
      <c r="F462" s="303"/>
      <c r="G462" s="310" t="s">
        <v>967</v>
      </c>
      <c r="H462" s="310" t="s">
        <v>967</v>
      </c>
      <c r="I462" s="310" t="e">
        <f t="shared" ref="I462:Z462" si="272">I461/G461-1</f>
        <v>#REF!</v>
      </c>
      <c r="J462" s="310" t="e">
        <f t="shared" si="272"/>
        <v>#REF!</v>
      </c>
      <c r="K462" s="310" t="e">
        <f t="shared" si="272"/>
        <v>#REF!</v>
      </c>
      <c r="L462" s="310" t="e">
        <f t="shared" si="272"/>
        <v>#REF!</v>
      </c>
      <c r="M462" s="310" t="e">
        <f t="shared" si="272"/>
        <v>#REF!</v>
      </c>
      <c r="N462" s="310" t="e">
        <f t="shared" si="272"/>
        <v>#REF!</v>
      </c>
      <c r="O462" s="310" t="e">
        <f t="shared" si="272"/>
        <v>#REF!</v>
      </c>
      <c r="P462" s="310" t="e">
        <f t="shared" si="272"/>
        <v>#REF!</v>
      </c>
      <c r="Q462" s="310" t="e">
        <f t="shared" si="272"/>
        <v>#REF!</v>
      </c>
      <c r="R462" s="310" t="e">
        <f t="shared" si="272"/>
        <v>#REF!</v>
      </c>
      <c r="S462" s="310" t="e">
        <f t="shared" si="272"/>
        <v>#REF!</v>
      </c>
      <c r="T462" s="310" t="e">
        <f t="shared" si="272"/>
        <v>#REF!</v>
      </c>
      <c r="U462" s="310" t="e">
        <f t="shared" si="272"/>
        <v>#REF!</v>
      </c>
      <c r="V462" s="310" t="e">
        <f t="shared" si="272"/>
        <v>#REF!</v>
      </c>
      <c r="W462" s="310" t="e">
        <f t="shared" si="272"/>
        <v>#REF!</v>
      </c>
      <c r="X462" s="310" t="e">
        <f t="shared" si="272"/>
        <v>#REF!</v>
      </c>
      <c r="Y462" s="310" t="e">
        <f t="shared" si="272"/>
        <v>#REF!</v>
      </c>
      <c r="Z462" s="310" t="e">
        <f t="shared" si="272"/>
        <v>#REF!</v>
      </c>
      <c r="AA462" s="311"/>
      <c r="AB462" s="309" t="str">
        <f t="shared" si="234"/>
        <v>- Growth</v>
      </c>
      <c r="AC462" s="303" t="str">
        <f t="shared" si="235"/>
        <v>%</v>
      </c>
      <c r="AD462" s="303"/>
      <c r="AE462" s="303"/>
      <c r="AF462" s="310" t="s">
        <v>967</v>
      </c>
      <c r="AG462" s="310" t="e">
        <f t="shared" ref="AG462:AO462" si="273">AG461/AF461-1</f>
        <v>#REF!</v>
      </c>
      <c r="AH462" s="310" t="e">
        <f t="shared" si="273"/>
        <v>#REF!</v>
      </c>
      <c r="AI462" s="310" t="e">
        <f t="shared" si="273"/>
        <v>#REF!</v>
      </c>
      <c r="AJ462" s="310" t="e">
        <f t="shared" si="273"/>
        <v>#REF!</v>
      </c>
      <c r="AK462" s="310" t="e">
        <f t="shared" si="273"/>
        <v>#REF!</v>
      </c>
      <c r="AL462" s="310" t="e">
        <f t="shared" si="273"/>
        <v>#REF!</v>
      </c>
      <c r="AM462" s="310" t="e">
        <f t="shared" si="273"/>
        <v>#REF!</v>
      </c>
      <c r="AN462" s="310" t="e">
        <f t="shared" si="273"/>
        <v>#REF!</v>
      </c>
      <c r="AO462" s="310" t="e">
        <f t="shared" si="273"/>
        <v>#REF!</v>
      </c>
    </row>
    <row r="463" spans="2:41" collapsed="1">
      <c r="B463" s="301"/>
      <c r="C463" s="309" t="s">
        <v>1511</v>
      </c>
      <c r="D463" s="303" t="s">
        <v>88</v>
      </c>
      <c r="E463" s="303"/>
      <c r="F463" s="303"/>
      <c r="G463" s="310">
        <f t="shared" ref="G463:Z463" si="274">IFERROR(ROUND( G461 / G460,2) - 1, 0)</f>
        <v>0</v>
      </c>
      <c r="H463" s="310">
        <f t="shared" si="274"/>
        <v>0</v>
      </c>
      <c r="I463" s="310">
        <f t="shared" si="274"/>
        <v>0</v>
      </c>
      <c r="J463" s="310">
        <f t="shared" si="274"/>
        <v>0</v>
      </c>
      <c r="K463" s="310">
        <f t="shared" si="274"/>
        <v>0</v>
      </c>
      <c r="L463" s="310">
        <f t="shared" si="274"/>
        <v>0</v>
      </c>
      <c r="M463" s="310">
        <f t="shared" si="274"/>
        <v>0</v>
      </c>
      <c r="N463" s="310">
        <f t="shared" si="274"/>
        <v>0</v>
      </c>
      <c r="O463" s="310">
        <f t="shared" si="274"/>
        <v>0</v>
      </c>
      <c r="P463" s="310">
        <f t="shared" si="274"/>
        <v>0</v>
      </c>
      <c r="Q463" s="310">
        <f t="shared" si="274"/>
        <v>0</v>
      </c>
      <c r="R463" s="310">
        <f t="shared" si="274"/>
        <v>0</v>
      </c>
      <c r="S463" s="310">
        <f t="shared" si="274"/>
        <v>0</v>
      </c>
      <c r="T463" s="310">
        <f t="shared" si="274"/>
        <v>0</v>
      </c>
      <c r="U463" s="310">
        <f t="shared" si="274"/>
        <v>0</v>
      </c>
      <c r="V463" s="310">
        <f t="shared" si="274"/>
        <v>0</v>
      </c>
      <c r="W463" s="310">
        <f t="shared" si="274"/>
        <v>0</v>
      </c>
      <c r="X463" s="310">
        <f t="shared" si="274"/>
        <v>0</v>
      </c>
      <c r="Y463" s="310">
        <f t="shared" si="274"/>
        <v>0</v>
      </c>
      <c r="Z463" s="310">
        <f t="shared" si="274"/>
        <v>0</v>
      </c>
      <c r="AA463" s="310"/>
      <c r="AB463" s="309" t="str">
        <f t="shared" si="234"/>
        <v>- Revision</v>
      </c>
      <c r="AC463" s="303" t="str">
        <f t="shared" si="235"/>
        <v>%</v>
      </c>
      <c r="AD463" s="303"/>
      <c r="AE463" s="303"/>
      <c r="AF463" s="310">
        <f t="shared" ref="AF463:AO463" si="275">IFERROR(ROUND( AF461 / AF460,2) - 1, 0)</f>
        <v>0</v>
      </c>
      <c r="AG463" s="310">
        <f t="shared" si="275"/>
        <v>0</v>
      </c>
      <c r="AH463" s="310">
        <f t="shared" si="275"/>
        <v>0</v>
      </c>
      <c r="AI463" s="310">
        <f t="shared" si="275"/>
        <v>0</v>
      </c>
      <c r="AJ463" s="310">
        <f t="shared" si="275"/>
        <v>0</v>
      </c>
      <c r="AK463" s="310">
        <f t="shared" si="275"/>
        <v>0</v>
      </c>
      <c r="AL463" s="310">
        <f t="shared" si="275"/>
        <v>0</v>
      </c>
      <c r="AM463" s="310">
        <f t="shared" si="275"/>
        <v>0</v>
      </c>
      <c r="AN463" s="310">
        <f t="shared" si="275"/>
        <v>0</v>
      </c>
      <c r="AO463" s="310">
        <f t="shared" si="275"/>
        <v>0</v>
      </c>
    </row>
    <row r="464" spans="2:41">
      <c r="B464" s="301"/>
      <c r="C464" s="309"/>
      <c r="D464" s="303"/>
      <c r="E464" s="303"/>
      <c r="F464" s="303"/>
      <c r="G464" s="310"/>
      <c r="H464" s="310"/>
      <c r="I464" s="310"/>
      <c r="J464" s="310"/>
      <c r="K464" s="310"/>
      <c r="L464" s="310"/>
      <c r="M464" s="310"/>
      <c r="N464" s="310"/>
      <c r="O464" s="310"/>
      <c r="P464" s="310"/>
      <c r="Q464" s="310"/>
      <c r="R464" s="310"/>
      <c r="S464" s="310"/>
      <c r="T464" s="310"/>
      <c r="U464" s="310"/>
      <c r="V464" s="310"/>
      <c r="W464" s="310"/>
      <c r="X464" s="310"/>
      <c r="Y464" s="310"/>
      <c r="Z464" s="310"/>
      <c r="AA464" s="310"/>
      <c r="AB464" s="309"/>
      <c r="AC464" s="303"/>
      <c r="AD464" s="303"/>
      <c r="AE464" s="303"/>
      <c r="AF464" s="310"/>
      <c r="AG464" s="310"/>
      <c r="AH464" s="310"/>
      <c r="AI464" s="310"/>
      <c r="AJ464" s="310"/>
      <c r="AK464" s="310"/>
      <c r="AL464" s="310"/>
      <c r="AM464" s="310"/>
      <c r="AN464" s="310"/>
      <c r="AO464" s="310"/>
    </row>
    <row r="465" spans="1:41">
      <c r="B465" s="301"/>
      <c r="C465" s="309"/>
      <c r="D465" s="303"/>
      <c r="E465" s="303"/>
      <c r="F465" s="303"/>
      <c r="G465" s="310"/>
      <c r="H465" s="310"/>
      <c r="I465" s="310"/>
      <c r="J465" s="310"/>
      <c r="K465" s="310"/>
      <c r="L465" s="310"/>
      <c r="M465" s="310"/>
      <c r="N465" s="310"/>
      <c r="O465" s="310"/>
      <c r="P465" s="310"/>
      <c r="Q465" s="310"/>
      <c r="R465" s="310"/>
      <c r="S465" s="310"/>
      <c r="T465" s="310"/>
      <c r="U465" s="310"/>
      <c r="V465" s="310"/>
      <c r="W465" s="310"/>
      <c r="X465" s="310"/>
      <c r="Y465" s="310"/>
      <c r="Z465" s="310"/>
      <c r="AA465" s="310"/>
      <c r="AB465" s="309"/>
      <c r="AC465" s="303"/>
      <c r="AD465" s="303"/>
      <c r="AE465" s="303"/>
      <c r="AF465" s="310"/>
      <c r="AG465" s="310"/>
      <c r="AH465" s="310"/>
      <c r="AI465" s="310"/>
      <c r="AJ465" s="310"/>
      <c r="AK465" s="310"/>
      <c r="AL465" s="310"/>
      <c r="AM465" s="310"/>
      <c r="AN465" s="310"/>
      <c r="AO465" s="310"/>
    </row>
    <row r="466" spans="1:41">
      <c r="A466" t="s">
        <v>7</v>
      </c>
      <c r="B466" s="301"/>
      <c r="C466" s="285" t="s">
        <v>1159</v>
      </c>
      <c r="D466" s="303"/>
      <c r="E466" s="303"/>
      <c r="F466" s="303"/>
      <c r="G466" s="310"/>
      <c r="H466" s="310"/>
      <c r="I466" s="310"/>
      <c r="J466" s="310"/>
      <c r="K466" s="310"/>
      <c r="L466" s="310"/>
      <c r="M466" s="310"/>
      <c r="N466" s="310"/>
      <c r="O466" s="310"/>
      <c r="P466" s="310"/>
      <c r="Q466" s="310"/>
      <c r="R466" s="310"/>
      <c r="S466" s="310"/>
      <c r="T466" s="310"/>
      <c r="U466" s="310"/>
      <c r="V466" s="310"/>
      <c r="W466" s="310"/>
      <c r="X466" s="310"/>
      <c r="Y466" s="310"/>
      <c r="Z466" s="310"/>
      <c r="AA466" s="310"/>
      <c r="AB466" s="309"/>
      <c r="AC466" s="303"/>
      <c r="AD466" s="303"/>
      <c r="AE466" s="303"/>
      <c r="AF466" s="310"/>
      <c r="AG466" s="310"/>
      <c r="AH466" s="310"/>
      <c r="AI466" s="310"/>
      <c r="AJ466" s="310"/>
      <c r="AK466" s="310"/>
      <c r="AL466" s="310"/>
      <c r="AM466" s="310"/>
      <c r="AN466" s="310"/>
      <c r="AO466" s="310"/>
    </row>
    <row r="467" spans="1:41">
      <c r="B467" s="301"/>
      <c r="C467" s="309"/>
      <c r="D467" s="303"/>
      <c r="E467" s="303"/>
      <c r="F467" s="303"/>
      <c r="G467" s="310"/>
      <c r="H467" s="310"/>
      <c r="I467" s="310"/>
      <c r="J467" s="310"/>
      <c r="K467" s="310"/>
      <c r="L467" s="310"/>
      <c r="M467" s="310"/>
      <c r="N467" s="310"/>
      <c r="O467" s="310"/>
      <c r="P467" s="310"/>
      <c r="Q467" s="310"/>
      <c r="R467" s="310"/>
      <c r="S467" s="310"/>
      <c r="T467" s="310"/>
      <c r="U467" s="310"/>
      <c r="V467" s="310"/>
      <c r="W467" s="310"/>
      <c r="X467" s="310"/>
      <c r="Y467" s="310"/>
      <c r="Z467" s="310"/>
      <c r="AA467" s="310"/>
      <c r="AB467" s="309"/>
      <c r="AC467" s="303"/>
      <c r="AD467" s="303"/>
      <c r="AE467" s="303"/>
      <c r="AF467" s="310"/>
      <c r="AG467" s="310"/>
      <c r="AH467" s="310"/>
      <c r="AI467" s="310"/>
      <c r="AJ467" s="310"/>
      <c r="AK467" s="310"/>
      <c r="AL467" s="310"/>
      <c r="AM467" s="310"/>
      <c r="AN467" s="310"/>
      <c r="AO467" s="310"/>
    </row>
    <row r="468" spans="1:41">
      <c r="B468" s="301"/>
      <c r="C468" s="291"/>
      <c r="D468" s="291" t="s">
        <v>1329</v>
      </c>
      <c r="E468" s="291"/>
      <c r="F468" s="291" t="str">
        <f t="shared" ref="F468:Z468" si="276">F$5</f>
        <v>VAL</v>
      </c>
      <c r="G468" s="292" t="str">
        <f t="shared" si="276"/>
        <v>1H21A</v>
      </c>
      <c r="H468" s="293" t="str">
        <f t="shared" si="276"/>
        <v>2H21A</v>
      </c>
      <c r="I468" s="292" t="str">
        <f t="shared" si="276"/>
        <v>1H22A</v>
      </c>
      <c r="J468" s="293" t="str">
        <f t="shared" si="276"/>
        <v>2H22A</v>
      </c>
      <c r="K468" s="292" t="str">
        <f t="shared" si="276"/>
        <v>1H23A</v>
      </c>
      <c r="L468" s="293" t="str">
        <f t="shared" si="276"/>
        <v>2H23A</v>
      </c>
      <c r="M468" s="292" t="str">
        <f t="shared" si="276"/>
        <v>1H24E</v>
      </c>
      <c r="N468" s="293" t="str">
        <f t="shared" si="276"/>
        <v>2H24E</v>
      </c>
      <c r="O468" s="292" t="str">
        <f t="shared" si="276"/>
        <v>1H25E</v>
      </c>
      <c r="P468" s="293" t="str">
        <f t="shared" si="276"/>
        <v>2H25E</v>
      </c>
      <c r="Q468" s="292" t="str">
        <f t="shared" si="276"/>
        <v>1H26E</v>
      </c>
      <c r="R468" s="293" t="str">
        <f t="shared" si="276"/>
        <v>2H26E</v>
      </c>
      <c r="S468" s="292" t="str">
        <f t="shared" si="276"/>
        <v>1H27E</v>
      </c>
      <c r="T468" s="293" t="str">
        <f t="shared" si="276"/>
        <v>2H27E</v>
      </c>
      <c r="U468" s="292" t="str">
        <f t="shared" si="276"/>
        <v>1H28E</v>
      </c>
      <c r="V468" s="293" t="str">
        <f t="shared" si="276"/>
        <v>2H28E</v>
      </c>
      <c r="W468" s="292" t="str">
        <f t="shared" si="276"/>
        <v>1H29E</v>
      </c>
      <c r="X468" s="293" t="str">
        <f t="shared" si="276"/>
        <v>2H29E</v>
      </c>
      <c r="Y468" s="292" t="str">
        <f t="shared" si="276"/>
        <v>1H30E</v>
      </c>
      <c r="Z468" s="293" t="str">
        <f t="shared" si="276"/>
        <v>2H30E</v>
      </c>
      <c r="AA468" s="294"/>
      <c r="AB468" s="291"/>
      <c r="AC468" s="291" t="s">
        <v>1329</v>
      </c>
      <c r="AD468" s="291"/>
      <c r="AE468" s="291" t="str">
        <f t="shared" ref="AE468:AO468" si="277">AE$5</f>
        <v>VAL</v>
      </c>
      <c r="AF468" s="295" t="str">
        <f t="shared" si="277"/>
        <v>FY21A</v>
      </c>
      <c r="AG468" s="295" t="str">
        <f t="shared" si="277"/>
        <v>FY22A</v>
      </c>
      <c r="AH468" s="295" t="str">
        <f t="shared" si="277"/>
        <v>FY23A</v>
      </c>
      <c r="AI468" s="295" t="str">
        <f t="shared" si="277"/>
        <v>FY24A</v>
      </c>
      <c r="AJ468" s="295" t="str">
        <f t="shared" si="277"/>
        <v>FY25A</v>
      </c>
      <c r="AK468" s="295" t="str">
        <f t="shared" si="277"/>
        <v>FY26A</v>
      </c>
      <c r="AL468" s="295" t="str">
        <f t="shared" si="277"/>
        <v>FY27A</v>
      </c>
      <c r="AM468" s="295" t="str">
        <f t="shared" si="277"/>
        <v>FY28A</v>
      </c>
      <c r="AN468" s="295" t="str">
        <f t="shared" si="277"/>
        <v>FY29A</v>
      </c>
      <c r="AO468" s="295" t="str">
        <f t="shared" si="277"/>
        <v>FY30A</v>
      </c>
    </row>
    <row r="469" spans="1:41">
      <c r="B469" s="301"/>
      <c r="C469" s="296"/>
      <c r="D469" s="296"/>
      <c r="E469" s="296"/>
      <c r="F469" s="296"/>
      <c r="G469" s="297">
        <f t="shared" ref="G469:Z469" si="278">G$6</f>
        <v>44196</v>
      </c>
      <c r="H469" s="298">
        <f t="shared" si="278"/>
        <v>44377</v>
      </c>
      <c r="I469" s="297">
        <f t="shared" si="278"/>
        <v>44561</v>
      </c>
      <c r="J469" s="298">
        <f t="shared" si="278"/>
        <v>44742</v>
      </c>
      <c r="K469" s="297">
        <f t="shared" si="278"/>
        <v>44926</v>
      </c>
      <c r="L469" s="298">
        <f t="shared" si="278"/>
        <v>45107</v>
      </c>
      <c r="M469" s="297">
        <f t="shared" si="278"/>
        <v>45291</v>
      </c>
      <c r="N469" s="298">
        <f t="shared" si="278"/>
        <v>45473</v>
      </c>
      <c r="O469" s="297">
        <f t="shared" si="278"/>
        <v>45657</v>
      </c>
      <c r="P469" s="298">
        <f t="shared" si="278"/>
        <v>45838</v>
      </c>
      <c r="Q469" s="297">
        <f t="shared" si="278"/>
        <v>46022</v>
      </c>
      <c r="R469" s="298">
        <f t="shared" si="278"/>
        <v>46203</v>
      </c>
      <c r="S469" s="297">
        <f t="shared" si="278"/>
        <v>46387</v>
      </c>
      <c r="T469" s="298">
        <f t="shared" si="278"/>
        <v>46568</v>
      </c>
      <c r="U469" s="297">
        <f t="shared" si="278"/>
        <v>46752</v>
      </c>
      <c r="V469" s="298">
        <f t="shared" si="278"/>
        <v>46934</v>
      </c>
      <c r="W469" s="297">
        <f t="shared" si="278"/>
        <v>47118</v>
      </c>
      <c r="X469" s="298">
        <f t="shared" si="278"/>
        <v>47299</v>
      </c>
      <c r="Y469" s="297">
        <f t="shared" si="278"/>
        <v>47483</v>
      </c>
      <c r="Z469" s="296">
        <f t="shared" si="278"/>
        <v>47664</v>
      </c>
      <c r="AA469" s="299"/>
      <c r="AB469" s="296"/>
      <c r="AC469" s="296"/>
      <c r="AD469" s="296"/>
      <c r="AE469" s="296"/>
      <c r="AF469" s="300">
        <f t="shared" ref="AF469:AO469" si="279">AF$6</f>
        <v>44377</v>
      </c>
      <c r="AG469" s="300">
        <f t="shared" si="279"/>
        <v>44742</v>
      </c>
      <c r="AH469" s="300">
        <f t="shared" si="279"/>
        <v>45107</v>
      </c>
      <c r="AI469" s="300">
        <f t="shared" si="279"/>
        <v>45473</v>
      </c>
      <c r="AJ469" s="300">
        <f t="shared" si="279"/>
        <v>45838</v>
      </c>
      <c r="AK469" s="300">
        <f t="shared" si="279"/>
        <v>46203</v>
      </c>
      <c r="AL469" s="300">
        <f t="shared" si="279"/>
        <v>46568</v>
      </c>
      <c r="AM469" s="300">
        <f t="shared" si="279"/>
        <v>46934</v>
      </c>
      <c r="AN469" s="300">
        <f t="shared" si="279"/>
        <v>47299</v>
      </c>
      <c r="AO469" s="300">
        <f t="shared" si="279"/>
        <v>47664</v>
      </c>
    </row>
    <row r="470" spans="1:41">
      <c r="B470" s="301" t="s">
        <v>1482</v>
      </c>
      <c r="C470" s="302" t="s">
        <v>1564</v>
      </c>
      <c r="D470" s="303" t="str">
        <f t="array" ref="D470">_xlfn.XLOOKUP($B470,$B$114:$B$212,_xlfn.XLOOKUP(D$219,$D$5:$AO$5,$D$114:$AO$212))</f>
        <v>NZ$m</v>
      </c>
      <c r="E470" s="303"/>
      <c r="F470" s="303"/>
      <c r="G470" s="304" t="e">
        <f t="array" ref="G470">_xlfn.XLOOKUP($B470,$B$114:$B$212,_xlfn.XLOOKUP(G$219,$D$5:$AO$5,$D$114:$AO$212))</f>
        <v>#REF!</v>
      </c>
      <c r="H470" s="304" t="e">
        <f t="array" ref="H470">_xlfn.XLOOKUP($B470,$B$114:$B$212,_xlfn.XLOOKUP(H$219,$D$5:$AO$5,$D$114:$AO$212))</f>
        <v>#REF!</v>
      </c>
      <c r="I470" s="304" t="e">
        <f t="array" ref="I470">_xlfn.XLOOKUP($B470,$B$114:$B$212,_xlfn.XLOOKUP(I$219,$D$5:$AO$5,$D$114:$AO$212))</f>
        <v>#REF!</v>
      </c>
      <c r="J470" s="304" t="e">
        <f t="array" ref="J470">_xlfn.XLOOKUP($B470,$B$114:$B$212,_xlfn.XLOOKUP(J$219,$D$5:$AO$5,$D$114:$AO$212))</f>
        <v>#REF!</v>
      </c>
      <c r="K470" s="304" t="e">
        <f t="array" ref="K470">_xlfn.XLOOKUP($B470,$B$114:$B$212,_xlfn.XLOOKUP(K$219,$D$5:$AO$5,$D$114:$AO$212))</f>
        <v>#REF!</v>
      </c>
      <c r="L470" s="304" t="e">
        <f t="array" ref="L470">_xlfn.XLOOKUP($B470,$B$114:$B$212,_xlfn.XLOOKUP(L$219,$D$5:$AO$5,$D$114:$AO$212))</f>
        <v>#REF!</v>
      </c>
      <c r="M470" s="304" t="e">
        <f t="array" ref="M470">_xlfn.XLOOKUP($B470,$B$114:$B$212,_xlfn.XLOOKUP(M$219,$D$5:$AO$5,$D$114:$AO$212))</f>
        <v>#REF!</v>
      </c>
      <c r="N470" s="304" t="e">
        <f t="array" ref="N470">_xlfn.XLOOKUP($B470,$B$114:$B$212,_xlfn.XLOOKUP(N$219,$D$5:$AO$5,$D$114:$AO$212))</f>
        <v>#REF!</v>
      </c>
      <c r="O470" s="304" t="e">
        <f t="array" ref="O470">_xlfn.XLOOKUP($B470,$B$114:$B$212,_xlfn.XLOOKUP(O$219,$D$5:$AO$5,$D$114:$AO$212))</f>
        <v>#REF!</v>
      </c>
      <c r="P470" s="304" t="e">
        <f t="array" ref="P470">_xlfn.XLOOKUP($B470,$B$114:$B$212,_xlfn.XLOOKUP(P$219,$D$5:$AO$5,$D$114:$AO$212))</f>
        <v>#REF!</v>
      </c>
      <c r="Q470" s="304" t="e">
        <f t="array" ref="Q470">_xlfn.XLOOKUP($B470,$B$114:$B$212,_xlfn.XLOOKUP(Q$219,$D$5:$AO$5,$D$114:$AO$212))</f>
        <v>#REF!</v>
      </c>
      <c r="R470" s="304" t="e">
        <f t="array" ref="R470">_xlfn.XLOOKUP($B470,$B$114:$B$212,_xlfn.XLOOKUP(R$219,$D$5:$AO$5,$D$114:$AO$212))</f>
        <v>#REF!</v>
      </c>
      <c r="S470" s="304" t="e">
        <f t="array" ref="S470">_xlfn.XLOOKUP($B470,$B$114:$B$212,_xlfn.XLOOKUP(S$219,$D$5:$AO$5,$D$114:$AO$212))</f>
        <v>#REF!</v>
      </c>
      <c r="T470" s="304" t="e">
        <f t="array" ref="T470">_xlfn.XLOOKUP($B470,$B$114:$B$212,_xlfn.XLOOKUP(T$219,$D$5:$AO$5,$D$114:$AO$212))</f>
        <v>#REF!</v>
      </c>
      <c r="U470" s="304" t="e">
        <f t="array" ref="U470">_xlfn.XLOOKUP($B470,$B$114:$B$212,_xlfn.XLOOKUP(U$219,$D$5:$AO$5,$D$114:$AO$212))</f>
        <v>#REF!</v>
      </c>
      <c r="V470" s="304" t="e">
        <f t="array" ref="V470">_xlfn.XLOOKUP($B470,$B$114:$B$212,_xlfn.XLOOKUP(V$219,$D$5:$AO$5,$D$114:$AO$212))</f>
        <v>#REF!</v>
      </c>
      <c r="W470" s="304" t="e">
        <f t="array" ref="W470">_xlfn.XLOOKUP($B470,$B$114:$B$212,_xlfn.XLOOKUP(W$219,$D$5:$AO$5,$D$114:$AO$212))</f>
        <v>#REF!</v>
      </c>
      <c r="X470" s="304" t="e">
        <f t="array" ref="X470">_xlfn.XLOOKUP($B470,$B$114:$B$212,_xlfn.XLOOKUP(X$219,$D$5:$AO$5,$D$114:$AO$212))</f>
        <v>#REF!</v>
      </c>
      <c r="Y470" s="304" t="e">
        <f t="array" ref="Y470">_xlfn.XLOOKUP($B470,$B$114:$B$212,_xlfn.XLOOKUP(Y$219,$D$5:$AO$5,$D$114:$AO$212))</f>
        <v>#REF!</v>
      </c>
      <c r="Z470" s="304" t="e">
        <f t="array" ref="Z470">_xlfn.XLOOKUP($B470,$B$114:$B$212,_xlfn.XLOOKUP(Z$219,$D$5:$AO$5,$D$114:$AO$212))</f>
        <v>#REF!</v>
      </c>
      <c r="AA470" s="305"/>
      <c r="AB470" s="302" t="str">
        <f t="shared" ref="AB470:AB513" si="280">C470</f>
        <v>Normalised  Revenue - old</v>
      </c>
      <c r="AC470" s="303" t="str">
        <f t="shared" ref="AC470:AC513" si="281">D470</f>
        <v>NZ$m</v>
      </c>
      <c r="AD470" s="303"/>
      <c r="AE470" s="303"/>
      <c r="AF470" s="304" t="e">
        <f t="array" ref="AF470">_xlfn.XLOOKUP($B470,$B$114:$B$212,_xlfn.XLOOKUP(AF$219,$D$5:$AO$5,$D$114:$AO$212))</f>
        <v>#REF!</v>
      </c>
      <c r="AG470" s="304" t="e">
        <f t="array" ref="AG470">_xlfn.XLOOKUP($B470,$B$114:$B$212,_xlfn.XLOOKUP(AG$219,$D$5:$AO$5,$D$114:$AO$212))</f>
        <v>#REF!</v>
      </c>
      <c r="AH470" s="304" t="e">
        <f t="array" ref="AH470">_xlfn.XLOOKUP($B470,$B$114:$B$212,_xlfn.XLOOKUP(AH$219,$D$5:$AO$5,$D$114:$AO$212))</f>
        <v>#REF!</v>
      </c>
      <c r="AI470" s="304" t="e">
        <f t="array" ref="AI470">_xlfn.XLOOKUP($B470,$B$114:$B$212,_xlfn.XLOOKUP(AI$219,$D$5:$AO$5,$D$114:$AO$212))</f>
        <v>#REF!</v>
      </c>
      <c r="AJ470" s="304" t="e">
        <f t="array" ref="AJ470">_xlfn.XLOOKUP($B470,$B$114:$B$212,_xlfn.XLOOKUP(AJ$219,$D$5:$AO$5,$D$114:$AO$212))</f>
        <v>#REF!</v>
      </c>
      <c r="AK470" s="304" t="e">
        <f t="array" ref="AK470">_xlfn.XLOOKUP($B470,$B$114:$B$212,_xlfn.XLOOKUP(AK$219,$D$5:$AO$5,$D$114:$AO$212))</f>
        <v>#REF!</v>
      </c>
      <c r="AL470" s="304" t="e">
        <f t="array" ref="AL470">_xlfn.XLOOKUP($B470,$B$114:$B$212,_xlfn.XLOOKUP(AL$219,$D$5:$AO$5,$D$114:$AO$212))</f>
        <v>#REF!</v>
      </c>
      <c r="AM470" s="304" t="e">
        <f t="array" ref="AM470">_xlfn.XLOOKUP($B470,$B$114:$B$212,_xlfn.XLOOKUP(AM$219,$D$5:$AO$5,$D$114:$AO$212))</f>
        <v>#REF!</v>
      </c>
      <c r="AN470" s="304" t="e">
        <f t="array" ref="AN470">_xlfn.XLOOKUP($B470,$B$114:$B$212,_xlfn.XLOOKUP(AN$219,$D$5:$AO$5,$D$114:$AO$212))</f>
        <v>#REF!</v>
      </c>
      <c r="AO470" s="304" t="e">
        <f t="array" ref="AO470">_xlfn.XLOOKUP($B470,$B$114:$B$212,_xlfn.XLOOKUP(AO$219,$D$5:$AO$5,$D$114:$AO$212))</f>
        <v>#REF!</v>
      </c>
    </row>
    <row r="471" spans="1:41">
      <c r="B471" s="301" t="s">
        <v>1482</v>
      </c>
      <c r="C471" s="306" t="s">
        <v>1565</v>
      </c>
      <c r="D471" s="307" t="str">
        <f t="array" ref="D471">_xlfn.XLOOKUP($B471,$B$11:$B$109,_xlfn.XLOOKUP(D$219,$D$5:$AO$5,$D$11:$AO$109))</f>
        <v>NZ$m</v>
      </c>
      <c r="E471" s="307"/>
      <c r="F471" s="307"/>
      <c r="G471" s="308" t="e">
        <f t="array" ref="G471">_xlfn.XLOOKUP($B471,$B$11:$B$109,_xlfn.XLOOKUP(G$219,$D$5:$AO$5,$D$11:$AO$109))</f>
        <v>#REF!</v>
      </c>
      <c r="H471" s="308" t="e">
        <f t="array" ref="H471">_xlfn.XLOOKUP($B471,$B$11:$B$109,_xlfn.XLOOKUP(H$219,$D$5:$AO$5,$D$11:$AO$109))</f>
        <v>#REF!</v>
      </c>
      <c r="I471" s="308" t="e">
        <f t="array" ref="I471">_xlfn.XLOOKUP($B471,$B$11:$B$109,_xlfn.XLOOKUP(I$219,$D$5:$AO$5,$D$11:$AO$109))</f>
        <v>#REF!</v>
      </c>
      <c r="J471" s="308" t="e">
        <f t="array" ref="J471">_xlfn.XLOOKUP($B471,$B$11:$B$109,_xlfn.XLOOKUP(J$219,$D$5:$AO$5,$D$11:$AO$109))</f>
        <v>#REF!</v>
      </c>
      <c r="K471" s="308" t="e">
        <f t="array" ref="K471">_xlfn.XLOOKUP($B471,$B$11:$B$109,_xlfn.XLOOKUP(K$219,$D$5:$AO$5,$D$11:$AO$109))</f>
        <v>#REF!</v>
      </c>
      <c r="L471" s="308" t="e">
        <f t="array" ref="L471">_xlfn.XLOOKUP($B471,$B$11:$B$109,_xlfn.XLOOKUP(L$219,$D$5:$AO$5,$D$11:$AO$109))</f>
        <v>#REF!</v>
      </c>
      <c r="M471" s="308" t="e">
        <f t="array" ref="M471">_xlfn.XLOOKUP($B471,$B$11:$B$109,_xlfn.XLOOKUP(M$219,$D$5:$AO$5,$D$11:$AO$109))</f>
        <v>#REF!</v>
      </c>
      <c r="N471" s="308" t="e">
        <f t="array" ref="N471">_xlfn.XLOOKUP($B471,$B$11:$B$109,_xlfn.XLOOKUP(N$219,$D$5:$AO$5,$D$11:$AO$109))</f>
        <v>#REF!</v>
      </c>
      <c r="O471" s="308" t="e">
        <f t="array" ref="O471">_xlfn.XLOOKUP($B471,$B$11:$B$109,_xlfn.XLOOKUP(O$219,$D$5:$AO$5,$D$11:$AO$109))</f>
        <v>#REF!</v>
      </c>
      <c r="P471" s="308" t="e">
        <f t="array" ref="P471">_xlfn.XLOOKUP($B471,$B$11:$B$109,_xlfn.XLOOKUP(P$219,$D$5:$AO$5,$D$11:$AO$109))</f>
        <v>#REF!</v>
      </c>
      <c r="Q471" s="308" t="e">
        <f t="array" ref="Q471">_xlfn.XLOOKUP($B471,$B$11:$B$109,_xlfn.XLOOKUP(Q$219,$D$5:$AO$5,$D$11:$AO$109))</f>
        <v>#REF!</v>
      </c>
      <c r="R471" s="308" t="e">
        <f t="array" ref="R471">_xlfn.XLOOKUP($B471,$B$11:$B$109,_xlfn.XLOOKUP(R$219,$D$5:$AO$5,$D$11:$AO$109))</f>
        <v>#REF!</v>
      </c>
      <c r="S471" s="308" t="e">
        <f t="array" ref="S471">_xlfn.XLOOKUP($B471,$B$11:$B$109,_xlfn.XLOOKUP(S$219,$D$5:$AO$5,$D$11:$AO$109))</f>
        <v>#REF!</v>
      </c>
      <c r="T471" s="308" t="e">
        <f t="array" ref="T471">_xlfn.XLOOKUP($B471,$B$11:$B$109,_xlfn.XLOOKUP(T$219,$D$5:$AO$5,$D$11:$AO$109))</f>
        <v>#REF!</v>
      </c>
      <c r="U471" s="308" t="e">
        <f t="array" ref="U471">_xlfn.XLOOKUP($B471,$B$11:$B$109,_xlfn.XLOOKUP(U$219,$D$5:$AO$5,$D$11:$AO$109))</f>
        <v>#REF!</v>
      </c>
      <c r="V471" s="308" t="e">
        <f t="array" ref="V471">_xlfn.XLOOKUP($B471,$B$11:$B$109,_xlfn.XLOOKUP(V$219,$D$5:$AO$5,$D$11:$AO$109))</f>
        <v>#REF!</v>
      </c>
      <c r="W471" s="308" t="e">
        <f t="array" ref="W471">_xlfn.XLOOKUP($B471,$B$11:$B$109,_xlfn.XLOOKUP(W$219,$D$5:$AO$5,$D$11:$AO$109))</f>
        <v>#REF!</v>
      </c>
      <c r="X471" s="308" t="e">
        <f t="array" ref="X471">_xlfn.XLOOKUP($B471,$B$11:$B$109,_xlfn.XLOOKUP(X$219,$D$5:$AO$5,$D$11:$AO$109))</f>
        <v>#REF!</v>
      </c>
      <c r="Y471" s="308" t="e">
        <f t="array" ref="Y471">_xlfn.XLOOKUP($B471,$B$11:$B$109,_xlfn.XLOOKUP(Y$219,$D$5:$AO$5,$D$11:$AO$109))</f>
        <v>#REF!</v>
      </c>
      <c r="Z471" s="308" t="e">
        <f t="array" ref="Z471">_xlfn.XLOOKUP($B471,$B$11:$B$109,_xlfn.XLOOKUP(Z$219,$D$5:$AO$5,$D$11:$AO$109))</f>
        <v>#REF!</v>
      </c>
      <c r="AA471" s="308"/>
      <c r="AB471" s="306" t="str">
        <f t="shared" si="280"/>
        <v>Normalised  Revenue - New</v>
      </c>
      <c r="AC471" s="307" t="str">
        <f t="shared" si="281"/>
        <v>NZ$m</v>
      </c>
      <c r="AD471" s="307"/>
      <c r="AE471" s="307"/>
      <c r="AF471" s="308" t="e">
        <f t="array" ref="AF471">_xlfn.XLOOKUP($B471,$B$11:$B$109,_xlfn.XLOOKUP(AF$219,$D$5:$AO$5,$D$11:$AO$109))</f>
        <v>#REF!</v>
      </c>
      <c r="AG471" s="308" t="e">
        <f t="array" ref="AG471">_xlfn.XLOOKUP($B471,$B$11:$B$109,_xlfn.XLOOKUP(AG$219,$D$5:$AO$5,$D$11:$AO$109))</f>
        <v>#REF!</v>
      </c>
      <c r="AH471" s="308" t="e">
        <f t="array" ref="AH471">_xlfn.XLOOKUP($B471,$B$11:$B$109,_xlfn.XLOOKUP(AH$219,$D$5:$AO$5,$D$11:$AO$109))</f>
        <v>#REF!</v>
      </c>
      <c r="AI471" s="308" t="e">
        <f t="array" ref="AI471">_xlfn.XLOOKUP($B471,$B$11:$B$109,_xlfn.XLOOKUP(AI$219,$D$5:$AO$5,$D$11:$AO$109))</f>
        <v>#REF!</v>
      </c>
      <c r="AJ471" s="308" t="e">
        <f t="array" ref="AJ471">_xlfn.XLOOKUP($B471,$B$11:$B$109,_xlfn.XLOOKUP(AJ$219,$D$5:$AO$5,$D$11:$AO$109))</f>
        <v>#REF!</v>
      </c>
      <c r="AK471" s="308" t="e">
        <f t="array" ref="AK471">_xlfn.XLOOKUP($B471,$B$11:$B$109,_xlfn.XLOOKUP(AK$219,$D$5:$AO$5,$D$11:$AO$109))</f>
        <v>#REF!</v>
      </c>
      <c r="AL471" s="308" t="e">
        <f t="array" ref="AL471">_xlfn.XLOOKUP($B471,$B$11:$B$109,_xlfn.XLOOKUP(AL$219,$D$5:$AO$5,$D$11:$AO$109))</f>
        <v>#REF!</v>
      </c>
      <c r="AM471" s="308" t="e">
        <f t="array" ref="AM471">_xlfn.XLOOKUP($B471,$B$11:$B$109,_xlfn.XLOOKUP(AM$219,$D$5:$AO$5,$D$11:$AO$109))</f>
        <v>#REF!</v>
      </c>
      <c r="AN471" s="308" t="e">
        <f t="array" ref="AN471">_xlfn.XLOOKUP($B471,$B$11:$B$109,_xlfn.XLOOKUP(AN$219,$D$5:$AO$5,$D$11:$AO$109))</f>
        <v>#REF!</v>
      </c>
      <c r="AO471" s="308" t="e">
        <f t="array" ref="AO471">_xlfn.XLOOKUP($B471,$B$11:$B$109,_xlfn.XLOOKUP(AO$219,$D$5:$AO$5,$D$11:$AO$109))</f>
        <v>#REF!</v>
      </c>
    </row>
    <row r="472" spans="1:41" hidden="1" outlineLevel="1">
      <c r="B472" s="301"/>
      <c r="C472" s="309" t="s">
        <v>1510</v>
      </c>
      <c r="D472" s="303" t="s">
        <v>88</v>
      </c>
      <c r="E472" s="303"/>
      <c r="F472" s="303"/>
      <c r="G472" s="310" t="s">
        <v>967</v>
      </c>
      <c r="H472" s="310" t="s">
        <v>967</v>
      </c>
      <c r="I472" s="310" t="e">
        <f t="shared" ref="I472:Z472" si="282">I471/G471-1</f>
        <v>#REF!</v>
      </c>
      <c r="J472" s="310" t="e">
        <f t="shared" si="282"/>
        <v>#REF!</v>
      </c>
      <c r="K472" s="310" t="e">
        <f t="shared" si="282"/>
        <v>#REF!</v>
      </c>
      <c r="L472" s="310" t="e">
        <f t="shared" si="282"/>
        <v>#REF!</v>
      </c>
      <c r="M472" s="310" t="e">
        <f t="shared" si="282"/>
        <v>#REF!</v>
      </c>
      <c r="N472" s="310" t="e">
        <f t="shared" si="282"/>
        <v>#REF!</v>
      </c>
      <c r="O472" s="310" t="e">
        <f t="shared" si="282"/>
        <v>#REF!</v>
      </c>
      <c r="P472" s="310" t="e">
        <f t="shared" si="282"/>
        <v>#REF!</v>
      </c>
      <c r="Q472" s="310" t="e">
        <f t="shared" si="282"/>
        <v>#REF!</v>
      </c>
      <c r="R472" s="310" t="e">
        <f t="shared" si="282"/>
        <v>#REF!</v>
      </c>
      <c r="S472" s="310" t="e">
        <f t="shared" si="282"/>
        <v>#REF!</v>
      </c>
      <c r="T472" s="310" t="e">
        <f t="shared" si="282"/>
        <v>#REF!</v>
      </c>
      <c r="U472" s="310" t="e">
        <f t="shared" si="282"/>
        <v>#REF!</v>
      </c>
      <c r="V472" s="310" t="e">
        <f t="shared" si="282"/>
        <v>#REF!</v>
      </c>
      <c r="W472" s="310" t="e">
        <f t="shared" si="282"/>
        <v>#REF!</v>
      </c>
      <c r="X472" s="310" t="e">
        <f t="shared" si="282"/>
        <v>#REF!</v>
      </c>
      <c r="Y472" s="310" t="e">
        <f t="shared" si="282"/>
        <v>#REF!</v>
      </c>
      <c r="Z472" s="310" t="e">
        <f t="shared" si="282"/>
        <v>#REF!</v>
      </c>
      <c r="AA472" s="311"/>
      <c r="AB472" s="309" t="str">
        <f t="shared" si="280"/>
        <v>- Growth</v>
      </c>
      <c r="AC472" s="303" t="str">
        <f t="shared" si="281"/>
        <v>%</v>
      </c>
      <c r="AD472" s="303"/>
      <c r="AE472" s="303"/>
      <c r="AF472" s="310" t="s">
        <v>967</v>
      </c>
      <c r="AG472" s="310" t="e">
        <f t="shared" ref="AG472:AO472" si="283">AG471/AF471-1</f>
        <v>#REF!</v>
      </c>
      <c r="AH472" s="310" t="e">
        <f t="shared" si="283"/>
        <v>#REF!</v>
      </c>
      <c r="AI472" s="310" t="e">
        <f t="shared" si="283"/>
        <v>#REF!</v>
      </c>
      <c r="AJ472" s="310" t="e">
        <f t="shared" si="283"/>
        <v>#REF!</v>
      </c>
      <c r="AK472" s="310" t="e">
        <f t="shared" si="283"/>
        <v>#REF!</v>
      </c>
      <c r="AL472" s="310" t="e">
        <f t="shared" si="283"/>
        <v>#REF!</v>
      </c>
      <c r="AM472" s="310" t="e">
        <f t="shared" si="283"/>
        <v>#REF!</v>
      </c>
      <c r="AN472" s="310" t="e">
        <f t="shared" si="283"/>
        <v>#REF!</v>
      </c>
      <c r="AO472" s="310" t="e">
        <f t="shared" si="283"/>
        <v>#REF!</v>
      </c>
    </row>
    <row r="473" spans="1:41" collapsed="1">
      <c r="B473" s="301"/>
      <c r="C473" s="309" t="s">
        <v>1511</v>
      </c>
      <c r="D473" s="303" t="s">
        <v>88</v>
      </c>
      <c r="E473" s="303"/>
      <c r="F473" s="303"/>
      <c r="G473" s="310">
        <f t="shared" ref="G473:Z473" si="284">IFERROR(ROUND( G471 / G470,2) - 1, 0)</f>
        <v>0</v>
      </c>
      <c r="H473" s="310">
        <f t="shared" si="284"/>
        <v>0</v>
      </c>
      <c r="I473" s="310">
        <f t="shared" si="284"/>
        <v>0</v>
      </c>
      <c r="J473" s="310">
        <f t="shared" si="284"/>
        <v>0</v>
      </c>
      <c r="K473" s="310">
        <f t="shared" si="284"/>
        <v>0</v>
      </c>
      <c r="L473" s="310">
        <f t="shared" si="284"/>
        <v>0</v>
      </c>
      <c r="M473" s="310">
        <f t="shared" si="284"/>
        <v>0</v>
      </c>
      <c r="N473" s="310">
        <f t="shared" si="284"/>
        <v>0</v>
      </c>
      <c r="O473" s="310">
        <f t="shared" si="284"/>
        <v>0</v>
      </c>
      <c r="P473" s="310">
        <f t="shared" si="284"/>
        <v>0</v>
      </c>
      <c r="Q473" s="310">
        <f t="shared" si="284"/>
        <v>0</v>
      </c>
      <c r="R473" s="310">
        <f t="shared" si="284"/>
        <v>0</v>
      </c>
      <c r="S473" s="310">
        <f t="shared" si="284"/>
        <v>0</v>
      </c>
      <c r="T473" s="310">
        <f t="shared" si="284"/>
        <v>0</v>
      </c>
      <c r="U473" s="310">
        <f t="shared" si="284"/>
        <v>0</v>
      </c>
      <c r="V473" s="310">
        <f t="shared" si="284"/>
        <v>0</v>
      </c>
      <c r="W473" s="310">
        <f t="shared" si="284"/>
        <v>0</v>
      </c>
      <c r="X473" s="310">
        <f t="shared" si="284"/>
        <v>0</v>
      </c>
      <c r="Y473" s="310">
        <f t="shared" si="284"/>
        <v>0</v>
      </c>
      <c r="Z473" s="310">
        <f t="shared" si="284"/>
        <v>0</v>
      </c>
      <c r="AA473" s="310"/>
      <c r="AB473" s="309" t="str">
        <f t="shared" si="280"/>
        <v>- Revision</v>
      </c>
      <c r="AC473" s="303" t="str">
        <f t="shared" si="281"/>
        <v>%</v>
      </c>
      <c r="AD473" s="303"/>
      <c r="AE473" s="303"/>
      <c r="AF473" s="310">
        <f t="shared" ref="AF473:AO473" si="285">IFERROR(ROUND( AF471 / AF470,2) - 1, 0)</f>
        <v>0</v>
      </c>
      <c r="AG473" s="310">
        <f t="shared" si="285"/>
        <v>0</v>
      </c>
      <c r="AH473" s="310">
        <f t="shared" si="285"/>
        <v>0</v>
      </c>
      <c r="AI473" s="310">
        <f t="shared" si="285"/>
        <v>0</v>
      </c>
      <c r="AJ473" s="310">
        <f t="shared" si="285"/>
        <v>0</v>
      </c>
      <c r="AK473" s="310">
        <f t="shared" si="285"/>
        <v>0</v>
      </c>
      <c r="AL473" s="310">
        <f t="shared" si="285"/>
        <v>0</v>
      </c>
      <c r="AM473" s="310">
        <f t="shared" si="285"/>
        <v>0</v>
      </c>
      <c r="AN473" s="310">
        <f t="shared" si="285"/>
        <v>0</v>
      </c>
      <c r="AO473" s="310">
        <f t="shared" si="285"/>
        <v>0</v>
      </c>
    </row>
    <row r="474" spans="1:41">
      <c r="B474" s="301" t="s">
        <v>1483</v>
      </c>
      <c r="C474" s="302" t="s">
        <v>1536</v>
      </c>
      <c r="D474" s="303" t="str">
        <f t="array" ref="D474">_xlfn.XLOOKUP($B474,$B$114:$B$212,_xlfn.XLOOKUP(D$219,$D$5:$AO$5,$D$114:$AO$212))</f>
        <v>NZ$m</v>
      </c>
      <c r="E474" s="303"/>
      <c r="F474" s="303"/>
      <c r="G474" s="304">
        <f t="array" ref="G474">_xlfn.XLOOKUP($B474,$B$114:$B$212,_xlfn.XLOOKUP(G$219,$D$5:$AO$5,$D$114:$AO$212))</f>
        <v>-227.39929140775661</v>
      </c>
      <c r="H474" s="304">
        <f t="array" ref="H474">_xlfn.XLOOKUP($B474,$B$114:$B$212,_xlfn.XLOOKUP(H$219,$D$5:$AO$5,$D$114:$AO$212))</f>
        <v>-255.63718944038999</v>
      </c>
      <c r="I474" s="304">
        <f t="array" ref="I474">_xlfn.XLOOKUP($B474,$B$114:$B$212,_xlfn.XLOOKUP(I$219,$D$5:$AO$5,$D$114:$AO$212))</f>
        <v>-203.10042519685041</v>
      </c>
      <c r="J474" s="304">
        <f t="array" ref="J474">_xlfn.XLOOKUP($B474,$B$114:$B$212,_xlfn.XLOOKUP(J$219,$D$5:$AO$5,$D$114:$AO$212))</f>
        <v>-234.4196191030868</v>
      </c>
      <c r="K474" s="304">
        <f t="array" ref="K474">_xlfn.XLOOKUP($B474,$B$114:$B$212,_xlfn.XLOOKUP(K$219,$D$5:$AO$5,$D$114:$AO$212))</f>
        <v>-278.38143339587242</v>
      </c>
      <c r="L474" s="304">
        <f t="array" ref="L474">_xlfn.XLOOKUP($B474,$B$114:$B$212,_xlfn.XLOOKUP(L$219,$D$5:$AO$5,$D$114:$AO$212))</f>
        <v>-286.27762913846158</v>
      </c>
      <c r="M474" s="304">
        <f t="array" ref="M474">_xlfn.XLOOKUP($B474,$B$114:$B$212,_xlfn.XLOOKUP(M$219,$D$5:$AO$5,$D$114:$AO$212))</f>
        <v>-298.5</v>
      </c>
      <c r="N474" s="304">
        <f t="array" ref="N474">_xlfn.XLOOKUP($B474,$B$114:$B$212,_xlfn.XLOOKUP(N$219,$D$5:$AO$5,$D$114:$AO$212))</f>
        <v>-292.37776394011712</v>
      </c>
      <c r="O474" s="304">
        <f t="array" ref="O474">_xlfn.XLOOKUP($B474,$B$114:$B$212,_xlfn.XLOOKUP(O$219,$D$5:$AO$5,$D$114:$AO$212))</f>
        <v>-308.89999999999998</v>
      </c>
      <c r="P474" s="304">
        <f t="array" ref="P474">_xlfn.XLOOKUP($B474,$B$114:$B$212,_xlfn.XLOOKUP(P$219,$D$5:$AO$5,$D$114:$AO$212))</f>
        <v>-306.25106291999998</v>
      </c>
      <c r="Q474" s="304">
        <f t="array" ref="Q474">_xlfn.XLOOKUP($B474,$B$114:$B$212,_xlfn.XLOOKUP(Q$219,$D$5:$AO$5,$D$114:$AO$212))</f>
        <v>-331.11607559999999</v>
      </c>
      <c r="R474" s="304">
        <f t="array" ref="R474">_xlfn.XLOOKUP($B474,$B$114:$B$212,_xlfn.XLOOKUP(R$219,$D$5:$AO$5,$D$114:$AO$212))</f>
        <v>-328.93912342056001</v>
      </c>
      <c r="S474" s="304">
        <f t="array" ref="S474">_xlfn.XLOOKUP($B474,$B$114:$B$212,_xlfn.XLOOKUP(S$219,$D$5:$AO$5,$D$114:$AO$212))</f>
        <v>-345.34643495199998</v>
      </c>
      <c r="T474" s="304">
        <f t="array" ref="T474">_xlfn.XLOOKUP($B474,$B$114:$B$212,_xlfn.XLOOKUP(T$219,$D$5:$AO$5,$D$114:$AO$212))</f>
        <v>-340.5470377446776</v>
      </c>
      <c r="U474" s="304">
        <f t="array" ref="U474">_xlfn.XLOOKUP($B474,$B$114:$B$212,_xlfn.XLOOKUP(U$219,$D$5:$AO$5,$D$114:$AO$212))</f>
        <v>-357.55306816268001</v>
      </c>
      <c r="V474" s="304">
        <f t="array" ref="V474">_xlfn.XLOOKUP($B474,$B$114:$B$212,_xlfn.XLOOKUP(V$219,$D$5:$AO$5,$D$114:$AO$212))</f>
        <v>-352.57942260670649</v>
      </c>
      <c r="W474" s="304">
        <f t="array" ref="W474">_xlfn.XLOOKUP($B474,$B$114:$B$212,_xlfn.XLOOKUP(W$219,$D$5:$AO$5,$D$114:$AO$212))</f>
        <v>-371.81211408450969</v>
      </c>
      <c r="X474" s="304">
        <f t="array" ref="X474">_xlfn.XLOOKUP($B474,$B$114:$B$212,_xlfn.XLOOKUP(X$219,$D$5:$AO$5,$D$114:$AO$212))</f>
        <v>-366.95190720881948</v>
      </c>
      <c r="Y474" s="304">
        <f t="array" ref="Y474">_xlfn.XLOOKUP($B474,$B$114:$B$212,_xlfn.XLOOKUP(Y$219,$D$5:$AO$5,$D$114:$AO$212))</f>
        <v>-386.08295019293888</v>
      </c>
      <c r="Z474" s="304">
        <f t="array" ref="Z474">_xlfn.XLOOKUP($B474,$B$114:$B$212,_xlfn.XLOOKUP(Z$219,$D$5:$AO$5,$D$114:$AO$212))</f>
        <v>-380.98312275882358</v>
      </c>
      <c r="AA474" s="305"/>
      <c r="AB474" s="302" t="str">
        <f t="shared" si="280"/>
        <v>Expenses - old</v>
      </c>
      <c r="AC474" s="303" t="str">
        <f t="shared" si="281"/>
        <v>NZ$m</v>
      </c>
      <c r="AD474" s="303"/>
      <c r="AE474" s="303"/>
      <c r="AF474" s="304">
        <f t="array" ref="AF474">_xlfn.XLOOKUP($B474,$B$114:$B$212,_xlfn.XLOOKUP(AF$219,$D$5:$AO$5,$D$114:$AO$212))</f>
        <v>-483.0364808481466</v>
      </c>
      <c r="AG474" s="304">
        <f t="array" ref="AG474">_xlfn.XLOOKUP($B474,$B$114:$B$212,_xlfn.XLOOKUP(AG$219,$D$5:$AO$5,$D$114:$AO$212))</f>
        <v>-437.52004429993718</v>
      </c>
      <c r="AH474" s="304">
        <f t="array" ref="AH474">_xlfn.XLOOKUP($B474,$B$114:$B$212,_xlfn.XLOOKUP(AH$219,$D$5:$AO$5,$D$114:$AO$212))</f>
        <v>-564.659062534334</v>
      </c>
      <c r="AI474" s="304">
        <f t="array" ref="AI474">_xlfn.XLOOKUP($B474,$B$114:$B$212,_xlfn.XLOOKUP(AI$219,$D$5:$AO$5,$D$114:$AO$212))</f>
        <v>-590.87776394011712</v>
      </c>
      <c r="AJ474" s="304">
        <f t="array" ref="AJ474">_xlfn.XLOOKUP($B474,$B$114:$B$212,_xlfn.XLOOKUP(AJ$219,$D$5:$AO$5,$D$114:$AO$212))</f>
        <v>-615.15106291999996</v>
      </c>
      <c r="AK474" s="304">
        <f t="array" ref="AK474">_xlfn.XLOOKUP($B474,$B$114:$B$212,_xlfn.XLOOKUP(AK$219,$D$5:$AO$5,$D$114:$AO$212))</f>
        <v>-660.05519902056005</v>
      </c>
      <c r="AL474" s="304">
        <f t="array" ref="AL474">_xlfn.XLOOKUP($B474,$B$114:$B$212,_xlfn.XLOOKUP(AL$219,$D$5:$AO$5,$D$114:$AO$212))</f>
        <v>-685.89347269667758</v>
      </c>
      <c r="AM474" s="304">
        <f t="array" ref="AM474">_xlfn.XLOOKUP($B474,$B$114:$B$212,_xlfn.XLOOKUP(AM$219,$D$5:$AO$5,$D$114:$AO$212))</f>
        <v>-710.13249076938655</v>
      </c>
      <c r="AN474" s="304">
        <f t="array" ref="AN474">_xlfn.XLOOKUP($B474,$B$114:$B$212,_xlfn.XLOOKUP(AN$219,$D$5:$AO$5,$D$114:$AO$212))</f>
        <v>-738.76402129332928</v>
      </c>
      <c r="AO474" s="304">
        <f t="array" ref="AO474">_xlfn.XLOOKUP($B474,$B$114:$B$212,_xlfn.XLOOKUP(AO$219,$D$5:$AO$5,$D$114:$AO$212))</f>
        <v>-767.06607295176252</v>
      </c>
    </row>
    <row r="475" spans="1:41">
      <c r="B475" s="301" t="s">
        <v>1483</v>
      </c>
      <c r="C475" s="306" t="s">
        <v>1537</v>
      </c>
      <c r="D475" s="307" t="str">
        <f t="array" ref="D475">_xlfn.XLOOKUP($B475,$B$11:$B$109,_xlfn.XLOOKUP(D$219,$D$5:$AO$5,$D$11:$AO$109))</f>
        <v>NZ$m</v>
      </c>
      <c r="E475" s="307"/>
      <c r="F475" s="307"/>
      <c r="G475" s="308">
        <f t="array" ref="G475">_xlfn.XLOOKUP($B475,$B$11:$B$109,_xlfn.XLOOKUP(G$219,$D$5:$AO$5,$D$11:$AO$109))</f>
        <v>-227.39929140775661</v>
      </c>
      <c r="H475" s="308">
        <f t="array" ref="H475">_xlfn.XLOOKUP($B475,$B$11:$B$109,_xlfn.XLOOKUP(H$219,$D$5:$AO$5,$D$11:$AO$109))</f>
        <v>-255.6371894403901</v>
      </c>
      <c r="I475" s="308">
        <f t="array" ref="I475">_xlfn.XLOOKUP($B475,$B$11:$B$109,_xlfn.XLOOKUP(I$219,$D$5:$AO$5,$D$11:$AO$109))</f>
        <v>-203.10042519685038</v>
      </c>
      <c r="J475" s="308">
        <f t="array" ref="J475">_xlfn.XLOOKUP($B475,$B$11:$B$109,_xlfn.XLOOKUP(J$219,$D$5:$AO$5,$D$11:$AO$109))</f>
        <v>-234.41961910308675</v>
      </c>
      <c r="K475" s="308">
        <f t="array" ref="K475">_xlfn.XLOOKUP($B475,$B$11:$B$109,_xlfn.XLOOKUP(K$219,$D$5:$AO$5,$D$11:$AO$109))</f>
        <v>-277.09999999999997</v>
      </c>
      <c r="L475" s="308">
        <f t="array" ref="L475">_xlfn.XLOOKUP($B475,$B$11:$B$109,_xlfn.XLOOKUP(L$219,$D$5:$AO$5,$D$11:$AO$109))</f>
        <v>-283.70000000000005</v>
      </c>
      <c r="M475" s="308">
        <f t="array" ref="M475">_xlfn.XLOOKUP($B475,$B$11:$B$109,_xlfn.XLOOKUP(M$219,$D$5:$AO$5,$D$11:$AO$109))</f>
        <v>-298.5</v>
      </c>
      <c r="N475" s="308">
        <f t="array" ref="N475">_xlfn.XLOOKUP($B475,$B$11:$B$109,_xlfn.XLOOKUP(N$219,$D$5:$AO$5,$D$11:$AO$109))</f>
        <v>-294.2</v>
      </c>
      <c r="O475" s="308">
        <f t="array" ref="O475">_xlfn.XLOOKUP($B475,$B$11:$B$109,_xlfn.XLOOKUP(O$219,$D$5:$AO$5,$D$11:$AO$109))</f>
        <v>-302.5</v>
      </c>
      <c r="P475" s="308">
        <f t="array" ref="P475">_xlfn.XLOOKUP($B475,$B$11:$B$109,_xlfn.XLOOKUP(P$219,$D$5:$AO$5,$D$11:$AO$109))</f>
        <v>-289.00000000000006</v>
      </c>
      <c r="Q475" s="308">
        <f t="array" ref="Q475">_xlfn.XLOOKUP($B475,$B$11:$B$109,_xlfn.XLOOKUP(Q$219,$D$5:$AO$5,$D$11:$AO$109))</f>
        <v>-326.2</v>
      </c>
      <c r="R475" s="308">
        <f t="array" ref="R475">_xlfn.XLOOKUP($B475,$B$11:$B$109,_xlfn.XLOOKUP(R$219,$D$5:$AO$5,$D$11:$AO$109))</f>
        <v>-314.90000000000009</v>
      </c>
      <c r="S475" s="308">
        <f t="array" ref="S475">_xlfn.XLOOKUP($B475,$B$11:$B$109,_xlfn.XLOOKUP(S$219,$D$5:$AO$5,$D$11:$AO$109))</f>
        <v>-330.42936800000001</v>
      </c>
      <c r="T475" s="308">
        <f t="array" ref="T475">_xlfn.XLOOKUP($B475,$B$11:$B$109,_xlfn.XLOOKUP(T$219,$D$5:$AO$5,$D$11:$AO$109))</f>
        <v>-327.31849680000005</v>
      </c>
      <c r="U475" s="308">
        <f t="array" ref="U475">_xlfn.XLOOKUP($B475,$B$11:$B$109,_xlfn.XLOOKUP(U$219,$D$5:$AO$5,$D$11:$AO$109))</f>
        <v>-329.30683108799997</v>
      </c>
      <c r="V475" s="308">
        <f t="array" ref="V475">_xlfn.XLOOKUP($B475,$B$11:$B$109,_xlfn.XLOOKUP(V$219,$D$5:$AO$5,$D$11:$AO$109))</f>
        <v>-325.47325256799996</v>
      </c>
      <c r="W475" s="308">
        <f t="array" ref="W475">_xlfn.XLOOKUP($B475,$B$11:$B$109,_xlfn.XLOOKUP(W$219,$D$5:$AO$5,$D$11:$AO$109))</f>
        <v>-337.01786910032001</v>
      </c>
      <c r="X475" s="308">
        <f t="array" ref="X475">_xlfn.XLOOKUP($B475,$B$11:$B$109,_xlfn.XLOOKUP(X$219,$D$5:$AO$5,$D$11:$AO$109))</f>
        <v>-332.94952184567995</v>
      </c>
      <c r="Y475" s="308">
        <f t="array" ref="Y475">_xlfn.XLOOKUP($B475,$B$11:$B$109,_xlfn.XLOOKUP(Y$219,$D$5:$AO$5,$D$11:$AO$109))</f>
        <v>-350.71441908832156</v>
      </c>
      <c r="Z475" s="308">
        <f t="array" ref="Z475">_xlfn.XLOOKUP($B475,$B$11:$B$109,_xlfn.XLOOKUP(Z$219,$D$5:$AO$5,$D$11:$AO$109))</f>
        <v>-346.41118913981677</v>
      </c>
      <c r="AA475" s="308"/>
      <c r="AB475" s="306" t="str">
        <f t="shared" si="280"/>
        <v>Expenses - New</v>
      </c>
      <c r="AC475" s="307" t="str">
        <f t="shared" si="281"/>
        <v>NZ$m</v>
      </c>
      <c r="AD475" s="307"/>
      <c r="AE475" s="307"/>
      <c r="AF475" s="308">
        <f t="array" ref="AF475">_xlfn.XLOOKUP($B475,$B$11:$B$109,_xlfn.XLOOKUP(AF$219,$D$5:$AO$5,$D$11:$AO$109))</f>
        <v>-483.03648084814671</v>
      </c>
      <c r="AG475" s="308">
        <f t="array" ref="AG475">_xlfn.XLOOKUP($B475,$B$11:$B$109,_xlfn.XLOOKUP(AG$219,$D$5:$AO$5,$D$11:$AO$109))</f>
        <v>-437.52004429993713</v>
      </c>
      <c r="AH475" s="308">
        <f t="array" ref="AH475">_xlfn.XLOOKUP($B475,$B$11:$B$109,_xlfn.XLOOKUP(AH$219,$D$5:$AO$5,$D$11:$AO$109))</f>
        <v>-560.79999999999995</v>
      </c>
      <c r="AI475" s="308">
        <f t="array" ref="AI475">_xlfn.XLOOKUP($B475,$B$11:$B$109,_xlfn.XLOOKUP(AI$219,$D$5:$AO$5,$D$11:$AO$109))</f>
        <v>-592.70000000000005</v>
      </c>
      <c r="AJ475" s="308">
        <f t="array" ref="AJ475">_xlfn.XLOOKUP($B475,$B$11:$B$109,_xlfn.XLOOKUP(AJ$219,$D$5:$AO$5,$D$11:$AO$109))</f>
        <v>-591.5</v>
      </c>
      <c r="AK475" s="308">
        <f t="array" ref="AK475">_xlfn.XLOOKUP($B475,$B$11:$B$109,_xlfn.XLOOKUP(AK$219,$D$5:$AO$5,$D$11:$AO$109))</f>
        <v>-641.10000000000014</v>
      </c>
      <c r="AL475" s="308">
        <f t="array" ref="AL475">_xlfn.XLOOKUP($B475,$B$11:$B$109,_xlfn.XLOOKUP(AL$219,$D$5:$AO$5,$D$11:$AO$109))</f>
        <v>-657.74786480000012</v>
      </c>
      <c r="AM475" s="308">
        <f t="array" ref="AM475">_xlfn.XLOOKUP($B475,$B$11:$B$109,_xlfn.XLOOKUP(AM$219,$D$5:$AO$5,$D$11:$AO$109))</f>
        <v>-654.78008365599999</v>
      </c>
      <c r="AN475" s="308">
        <f t="array" ref="AN475">_xlfn.XLOOKUP($B475,$B$11:$B$109,_xlfn.XLOOKUP(AN$219,$D$5:$AO$5,$D$11:$AO$109))</f>
        <v>-669.96739094600002</v>
      </c>
      <c r="AO475" s="308">
        <f t="array" ref="AO475">_xlfn.XLOOKUP($B475,$B$11:$B$109,_xlfn.XLOOKUP(AO$219,$D$5:$AO$5,$D$11:$AO$109))</f>
        <v>-697.12560822813839</v>
      </c>
    </row>
    <row r="476" spans="1:41" hidden="1" outlineLevel="1">
      <c r="B476" s="301"/>
      <c r="C476" s="309" t="s">
        <v>1510</v>
      </c>
      <c r="D476" s="303" t="s">
        <v>88</v>
      </c>
      <c r="E476" s="303"/>
      <c r="F476" s="303"/>
      <c r="G476" s="310" t="s">
        <v>967</v>
      </c>
      <c r="H476" s="310" t="s">
        <v>967</v>
      </c>
      <c r="I476" s="310">
        <f t="shared" ref="I476:Z476" si="286">I475/G475-1</f>
        <v>-0.10685550539968569</v>
      </c>
      <c r="J476" s="310">
        <f t="shared" si="286"/>
        <v>-8.2998762362198941E-2</v>
      </c>
      <c r="K476" s="310">
        <f t="shared" si="286"/>
        <v>0.36434967938362117</v>
      </c>
      <c r="L476" s="310">
        <f t="shared" si="286"/>
        <v>0.21022293733547159</v>
      </c>
      <c r="M476" s="310">
        <f t="shared" si="286"/>
        <v>7.7228437387224957E-2</v>
      </c>
      <c r="N476" s="310">
        <f t="shared" si="286"/>
        <v>3.7010927035600716E-2</v>
      </c>
      <c r="O476" s="310">
        <f t="shared" si="286"/>
        <v>1.3400335008375119E-2</v>
      </c>
      <c r="P476" s="310">
        <f t="shared" si="286"/>
        <v>-1.767505098572375E-2</v>
      </c>
      <c r="Q476" s="310">
        <f t="shared" si="286"/>
        <v>7.8347107438016428E-2</v>
      </c>
      <c r="R476" s="310">
        <f t="shared" si="286"/>
        <v>8.961937716262991E-2</v>
      </c>
      <c r="S476" s="310">
        <f t="shared" si="286"/>
        <v>1.296556713672592E-2</v>
      </c>
      <c r="T476" s="310">
        <f t="shared" si="286"/>
        <v>3.9436318831374884E-2</v>
      </c>
      <c r="U476" s="310">
        <f t="shared" si="286"/>
        <v>-3.3972068487569951E-3</v>
      </c>
      <c r="V476" s="310">
        <f t="shared" si="286"/>
        <v>-5.637457858446604E-3</v>
      </c>
      <c r="W476" s="310">
        <f t="shared" si="286"/>
        <v>2.3415967372567126E-2</v>
      </c>
      <c r="X476" s="310">
        <f t="shared" si="286"/>
        <v>2.2970456769310088E-2</v>
      </c>
      <c r="Y476" s="310">
        <f t="shared" si="286"/>
        <v>4.0640426647301942E-2</v>
      </c>
      <c r="Z476" s="310">
        <f t="shared" si="286"/>
        <v>4.0431556169575167E-2</v>
      </c>
      <c r="AA476" s="311"/>
      <c r="AB476" s="309" t="str">
        <f t="shared" si="280"/>
        <v>- Growth</v>
      </c>
      <c r="AC476" s="303" t="str">
        <f t="shared" si="281"/>
        <v>%</v>
      </c>
      <c r="AD476" s="303"/>
      <c r="AE476" s="303"/>
      <c r="AF476" s="310" t="s">
        <v>967</v>
      </c>
      <c r="AG476" s="310">
        <f t="shared" ref="AG476:AO476" si="287">AG475/AF475-1</f>
        <v>-9.4229811521251761E-2</v>
      </c>
      <c r="AH476" s="310">
        <f t="shared" si="287"/>
        <v>0.28176984644742253</v>
      </c>
      <c r="AI476" s="310">
        <f t="shared" si="287"/>
        <v>5.6883024251070058E-2</v>
      </c>
      <c r="AJ476" s="310">
        <f t="shared" si="287"/>
        <v>-2.0246330352624575E-3</v>
      </c>
      <c r="AK476" s="310">
        <f t="shared" si="287"/>
        <v>8.385460693153024E-2</v>
      </c>
      <c r="AL476" s="310">
        <f t="shared" si="287"/>
        <v>2.5967656839806619E-2</v>
      </c>
      <c r="AM476" s="310">
        <f t="shared" si="287"/>
        <v>-4.5120346303253456E-3</v>
      </c>
      <c r="AN476" s="310">
        <f t="shared" si="287"/>
        <v>2.3194516249182229E-2</v>
      </c>
      <c r="AO476" s="310">
        <f t="shared" si="287"/>
        <v>4.0536625586792718E-2</v>
      </c>
    </row>
    <row r="477" spans="1:41" collapsed="1">
      <c r="B477" s="301"/>
      <c r="C477" s="309" t="s">
        <v>1511</v>
      </c>
      <c r="D477" s="303" t="s">
        <v>88</v>
      </c>
      <c r="E477" s="303"/>
      <c r="F477" s="316"/>
      <c r="G477" s="310">
        <f t="shared" ref="G477:Z477" si="288">IFERROR(ROUND( G475 / G474,2) - 1, 0)</f>
        <v>0</v>
      </c>
      <c r="H477" s="310">
        <f t="shared" si="288"/>
        <v>0</v>
      </c>
      <c r="I477" s="310">
        <f t="shared" si="288"/>
        <v>0</v>
      </c>
      <c r="J477" s="310">
        <f t="shared" si="288"/>
        <v>0</v>
      </c>
      <c r="K477" s="310">
        <f t="shared" si="288"/>
        <v>0</v>
      </c>
      <c r="L477" s="310">
        <f t="shared" si="288"/>
        <v>-1.0000000000000009E-2</v>
      </c>
      <c r="M477" s="310">
        <f t="shared" si="288"/>
        <v>0</v>
      </c>
      <c r="N477" s="310">
        <f t="shared" si="288"/>
        <v>1.0000000000000009E-2</v>
      </c>
      <c r="O477" s="310">
        <f t="shared" si="288"/>
        <v>-2.0000000000000018E-2</v>
      </c>
      <c r="P477" s="310">
        <f t="shared" si="288"/>
        <v>-6.0000000000000053E-2</v>
      </c>
      <c r="Q477" s="310">
        <f t="shared" si="288"/>
        <v>-1.0000000000000009E-2</v>
      </c>
      <c r="R477" s="310">
        <f t="shared" si="288"/>
        <v>-4.0000000000000036E-2</v>
      </c>
      <c r="S477" s="310">
        <f t="shared" si="288"/>
        <v>-4.0000000000000036E-2</v>
      </c>
      <c r="T477" s="310">
        <f t="shared" si="288"/>
        <v>-4.0000000000000036E-2</v>
      </c>
      <c r="U477" s="310">
        <f t="shared" si="288"/>
        <v>-7.999999999999996E-2</v>
      </c>
      <c r="V477" s="310">
        <f t="shared" si="288"/>
        <v>-7.999999999999996E-2</v>
      </c>
      <c r="W477" s="310">
        <f t="shared" si="288"/>
        <v>-8.9999999999999969E-2</v>
      </c>
      <c r="X477" s="310">
        <f t="shared" si="288"/>
        <v>-8.9999999999999969E-2</v>
      </c>
      <c r="Y477" s="310">
        <f t="shared" si="288"/>
        <v>-8.9999999999999969E-2</v>
      </c>
      <c r="Z477" s="310">
        <f t="shared" si="288"/>
        <v>-8.9999999999999969E-2</v>
      </c>
      <c r="AA477" s="310"/>
      <c r="AB477" s="309" t="str">
        <f t="shared" si="280"/>
        <v>- Revision</v>
      </c>
      <c r="AC477" s="303" t="str">
        <f t="shared" si="281"/>
        <v>%</v>
      </c>
      <c r="AD477" s="303"/>
      <c r="AE477" s="303"/>
      <c r="AF477" s="310">
        <f t="shared" ref="AF477:AO477" si="289">IFERROR(ROUND( AF475 / AF474,2) - 1, 0)</f>
        <v>0</v>
      </c>
      <c r="AG477" s="310">
        <f t="shared" si="289"/>
        <v>0</v>
      </c>
      <c r="AH477" s="310">
        <f t="shared" si="289"/>
        <v>-1.0000000000000009E-2</v>
      </c>
      <c r="AI477" s="310">
        <f t="shared" si="289"/>
        <v>0</v>
      </c>
      <c r="AJ477" s="310">
        <f t="shared" si="289"/>
        <v>-4.0000000000000036E-2</v>
      </c>
      <c r="AK477" s="310">
        <f t="shared" si="289"/>
        <v>-3.0000000000000027E-2</v>
      </c>
      <c r="AL477" s="310">
        <f t="shared" si="289"/>
        <v>-4.0000000000000036E-2</v>
      </c>
      <c r="AM477" s="310">
        <f t="shared" si="289"/>
        <v>-7.999999999999996E-2</v>
      </c>
      <c r="AN477" s="310">
        <f t="shared" si="289"/>
        <v>-8.9999999999999969E-2</v>
      </c>
      <c r="AO477" s="310">
        <f t="shared" si="289"/>
        <v>-8.9999999999999969E-2</v>
      </c>
    </row>
    <row r="478" spans="1:41">
      <c r="B478" s="301" t="s">
        <v>1484</v>
      </c>
      <c r="C478" s="302" t="s">
        <v>1530</v>
      </c>
      <c r="D478" s="303" t="str">
        <f t="array" ref="D478">_xlfn.XLOOKUP($B478,$B$114:$B$212,_xlfn.XLOOKUP(D$219,$D$5:$AO$5,$D$114:$AO$212))</f>
        <v>NZ$m</v>
      </c>
      <c r="E478" s="303"/>
      <c r="F478" s="316"/>
      <c r="G478" s="304" t="e">
        <f t="array" ref="G478">_xlfn.XLOOKUP($B478,$B$114:$B$212,_xlfn.XLOOKUP(G$219,$D$5:$AO$5,$D$114:$AO$212))</f>
        <v>#REF!</v>
      </c>
      <c r="H478" s="304" t="e">
        <f t="array" ref="H478">_xlfn.XLOOKUP($B478,$B$114:$B$212,_xlfn.XLOOKUP(H$219,$D$5:$AO$5,$D$114:$AO$212))</f>
        <v>#REF!</v>
      </c>
      <c r="I478" s="304" t="e">
        <f t="array" ref="I478">_xlfn.XLOOKUP($B478,$B$114:$B$212,_xlfn.XLOOKUP(I$219,$D$5:$AO$5,$D$114:$AO$212))</f>
        <v>#REF!</v>
      </c>
      <c r="J478" s="304" t="e">
        <f t="array" ref="J478">_xlfn.XLOOKUP($B478,$B$114:$B$212,_xlfn.XLOOKUP(J$219,$D$5:$AO$5,$D$114:$AO$212))</f>
        <v>#REF!</v>
      </c>
      <c r="K478" s="304" t="e">
        <f t="array" ref="K478">_xlfn.XLOOKUP($B478,$B$114:$B$212,_xlfn.XLOOKUP(K$219,$D$5:$AO$5,$D$114:$AO$212))</f>
        <v>#REF!</v>
      </c>
      <c r="L478" s="304" t="e">
        <f t="array" ref="L478">_xlfn.XLOOKUP($B478,$B$114:$B$212,_xlfn.XLOOKUP(L$219,$D$5:$AO$5,$D$114:$AO$212))</f>
        <v>#REF!</v>
      </c>
      <c r="M478" s="304" t="e">
        <f t="array" ref="M478">_xlfn.XLOOKUP($B478,$B$114:$B$212,_xlfn.XLOOKUP(M$219,$D$5:$AO$5,$D$114:$AO$212))</f>
        <v>#REF!</v>
      </c>
      <c r="N478" s="304" t="e">
        <f t="array" ref="N478">_xlfn.XLOOKUP($B478,$B$114:$B$212,_xlfn.XLOOKUP(N$219,$D$5:$AO$5,$D$114:$AO$212))</f>
        <v>#REF!</v>
      </c>
      <c r="O478" s="304" t="e">
        <f t="array" ref="O478">_xlfn.XLOOKUP($B478,$B$114:$B$212,_xlfn.XLOOKUP(O$219,$D$5:$AO$5,$D$114:$AO$212))</f>
        <v>#REF!</v>
      </c>
      <c r="P478" s="304" t="e">
        <f t="array" ref="P478">_xlfn.XLOOKUP($B478,$B$114:$B$212,_xlfn.XLOOKUP(P$219,$D$5:$AO$5,$D$114:$AO$212))</f>
        <v>#REF!</v>
      </c>
      <c r="Q478" s="304" t="e">
        <f t="array" ref="Q478">_xlfn.XLOOKUP($B478,$B$114:$B$212,_xlfn.XLOOKUP(Q$219,$D$5:$AO$5,$D$114:$AO$212))</f>
        <v>#REF!</v>
      </c>
      <c r="R478" s="304" t="e">
        <f t="array" ref="R478">_xlfn.XLOOKUP($B478,$B$114:$B$212,_xlfn.XLOOKUP(R$219,$D$5:$AO$5,$D$114:$AO$212))</f>
        <v>#REF!</v>
      </c>
      <c r="S478" s="304" t="e">
        <f t="array" ref="S478">_xlfn.XLOOKUP($B478,$B$114:$B$212,_xlfn.XLOOKUP(S$219,$D$5:$AO$5,$D$114:$AO$212))</f>
        <v>#REF!</v>
      </c>
      <c r="T478" s="304" t="e">
        <f t="array" ref="T478">_xlfn.XLOOKUP($B478,$B$114:$B$212,_xlfn.XLOOKUP(T$219,$D$5:$AO$5,$D$114:$AO$212))</f>
        <v>#REF!</v>
      </c>
      <c r="U478" s="304" t="e">
        <f t="array" ref="U478">_xlfn.XLOOKUP($B478,$B$114:$B$212,_xlfn.XLOOKUP(U$219,$D$5:$AO$5,$D$114:$AO$212))</f>
        <v>#REF!</v>
      </c>
      <c r="V478" s="304" t="e">
        <f t="array" ref="V478">_xlfn.XLOOKUP($B478,$B$114:$B$212,_xlfn.XLOOKUP(V$219,$D$5:$AO$5,$D$114:$AO$212))</f>
        <v>#REF!</v>
      </c>
      <c r="W478" s="304" t="e">
        <f t="array" ref="W478">_xlfn.XLOOKUP($B478,$B$114:$B$212,_xlfn.XLOOKUP(W$219,$D$5:$AO$5,$D$114:$AO$212))</f>
        <v>#REF!</v>
      </c>
      <c r="X478" s="304" t="e">
        <f t="array" ref="X478">_xlfn.XLOOKUP($B478,$B$114:$B$212,_xlfn.XLOOKUP(X$219,$D$5:$AO$5,$D$114:$AO$212))</f>
        <v>#REF!</v>
      </c>
      <c r="Y478" s="304" t="e">
        <f t="array" ref="Y478">_xlfn.XLOOKUP($B478,$B$114:$B$212,_xlfn.XLOOKUP(Y$219,$D$5:$AO$5,$D$114:$AO$212))</f>
        <v>#REF!</v>
      </c>
      <c r="Z478" s="304" t="e">
        <f t="array" ref="Z478">_xlfn.XLOOKUP($B478,$B$114:$B$212,_xlfn.XLOOKUP(Z$219,$D$5:$AO$5,$D$114:$AO$212))</f>
        <v>#REF!</v>
      </c>
      <c r="AA478" s="305"/>
      <c r="AB478" s="302" t="str">
        <f t="shared" si="280"/>
        <v>Normalised EBITDA - old</v>
      </c>
      <c r="AC478" s="303" t="str">
        <f t="shared" si="281"/>
        <v>NZ$m</v>
      </c>
      <c r="AD478" s="303"/>
      <c r="AE478" s="303"/>
      <c r="AF478" s="304" t="e">
        <f t="array" ref="AF478">_xlfn.XLOOKUP($B478,$B$114:$B$212,_xlfn.XLOOKUP(AF$219,$D$5:$AO$5,$D$114:$AO$212))</f>
        <v>#REF!</v>
      </c>
      <c r="AG478" s="304" t="e">
        <f t="array" ref="AG478">_xlfn.XLOOKUP($B478,$B$114:$B$212,_xlfn.XLOOKUP(AG$219,$D$5:$AO$5,$D$114:$AO$212))</f>
        <v>#REF!</v>
      </c>
      <c r="AH478" s="304" t="e">
        <f t="array" ref="AH478">_xlfn.XLOOKUP($B478,$B$114:$B$212,_xlfn.XLOOKUP(AH$219,$D$5:$AO$5,$D$114:$AO$212))</f>
        <v>#REF!</v>
      </c>
      <c r="AI478" s="304" t="e">
        <f t="array" ref="AI478">_xlfn.XLOOKUP($B478,$B$114:$B$212,_xlfn.XLOOKUP(AI$219,$D$5:$AO$5,$D$114:$AO$212))</f>
        <v>#REF!</v>
      </c>
      <c r="AJ478" s="304" t="e">
        <f t="array" ref="AJ478">_xlfn.XLOOKUP($B478,$B$114:$B$212,_xlfn.XLOOKUP(AJ$219,$D$5:$AO$5,$D$114:$AO$212))</f>
        <v>#REF!</v>
      </c>
      <c r="AK478" s="304" t="e">
        <f t="array" ref="AK478">_xlfn.XLOOKUP($B478,$B$114:$B$212,_xlfn.XLOOKUP(AK$219,$D$5:$AO$5,$D$114:$AO$212))</f>
        <v>#REF!</v>
      </c>
      <c r="AL478" s="304" t="e">
        <f t="array" ref="AL478">_xlfn.XLOOKUP($B478,$B$114:$B$212,_xlfn.XLOOKUP(AL$219,$D$5:$AO$5,$D$114:$AO$212))</f>
        <v>#REF!</v>
      </c>
      <c r="AM478" s="304" t="e">
        <f t="array" ref="AM478">_xlfn.XLOOKUP($B478,$B$114:$B$212,_xlfn.XLOOKUP(AM$219,$D$5:$AO$5,$D$114:$AO$212))</f>
        <v>#REF!</v>
      </c>
      <c r="AN478" s="304" t="e">
        <f t="array" ref="AN478">_xlfn.XLOOKUP($B478,$B$114:$B$212,_xlfn.XLOOKUP(AN$219,$D$5:$AO$5,$D$114:$AO$212))</f>
        <v>#REF!</v>
      </c>
      <c r="AO478" s="304" t="e">
        <f t="array" ref="AO478">_xlfn.XLOOKUP($B478,$B$114:$B$212,_xlfn.XLOOKUP(AO$219,$D$5:$AO$5,$D$114:$AO$212))</f>
        <v>#REF!</v>
      </c>
    </row>
    <row r="479" spans="1:41">
      <c r="B479" s="301" t="s">
        <v>1484</v>
      </c>
      <c r="C479" s="306" t="s">
        <v>1531</v>
      </c>
      <c r="D479" s="307" t="str">
        <f t="array" ref="D479">_xlfn.XLOOKUP($B479,$B$11:$B$109,_xlfn.XLOOKUP(D$219,$D$5:$AO$5,$D$11:$AO$109))</f>
        <v>NZ$m</v>
      </c>
      <c r="E479" s="307"/>
      <c r="F479" s="316"/>
      <c r="G479" s="308" t="e">
        <f t="array" ref="G479">_xlfn.XLOOKUP($B479,$B$11:$B$109,_xlfn.XLOOKUP(G$219,$D$5:$AO$5,$D$11:$AO$109))</f>
        <v>#REF!</v>
      </c>
      <c r="H479" s="308" t="e">
        <f t="array" ref="H479">_xlfn.XLOOKUP($B479,$B$11:$B$109,_xlfn.XLOOKUP(H$219,$D$5:$AO$5,$D$11:$AO$109))</f>
        <v>#REF!</v>
      </c>
      <c r="I479" s="308" t="e">
        <f t="array" ref="I479">_xlfn.XLOOKUP($B479,$B$11:$B$109,_xlfn.XLOOKUP(I$219,$D$5:$AO$5,$D$11:$AO$109))</f>
        <v>#REF!</v>
      </c>
      <c r="J479" s="308" t="e">
        <f t="array" ref="J479">_xlfn.XLOOKUP($B479,$B$11:$B$109,_xlfn.XLOOKUP(J$219,$D$5:$AO$5,$D$11:$AO$109))</f>
        <v>#REF!</v>
      </c>
      <c r="K479" s="308" t="e">
        <f t="array" ref="K479">_xlfn.XLOOKUP($B479,$B$11:$B$109,_xlfn.XLOOKUP(K$219,$D$5:$AO$5,$D$11:$AO$109))</f>
        <v>#REF!</v>
      </c>
      <c r="L479" s="308" t="e">
        <f t="array" ref="L479">_xlfn.XLOOKUP($B479,$B$11:$B$109,_xlfn.XLOOKUP(L$219,$D$5:$AO$5,$D$11:$AO$109))</f>
        <v>#REF!</v>
      </c>
      <c r="M479" s="308" t="e">
        <f t="array" ref="M479">_xlfn.XLOOKUP($B479,$B$11:$B$109,_xlfn.XLOOKUP(M$219,$D$5:$AO$5,$D$11:$AO$109))</f>
        <v>#REF!</v>
      </c>
      <c r="N479" s="308" t="e">
        <f t="array" ref="N479">_xlfn.XLOOKUP($B479,$B$11:$B$109,_xlfn.XLOOKUP(N$219,$D$5:$AO$5,$D$11:$AO$109))</f>
        <v>#REF!</v>
      </c>
      <c r="O479" s="308" t="e">
        <f t="array" ref="O479">_xlfn.XLOOKUP($B479,$B$11:$B$109,_xlfn.XLOOKUP(O$219,$D$5:$AO$5,$D$11:$AO$109))</f>
        <v>#REF!</v>
      </c>
      <c r="P479" s="308" t="e">
        <f t="array" ref="P479">_xlfn.XLOOKUP($B479,$B$11:$B$109,_xlfn.XLOOKUP(P$219,$D$5:$AO$5,$D$11:$AO$109))</f>
        <v>#REF!</v>
      </c>
      <c r="Q479" s="308" t="e">
        <f t="array" ref="Q479">_xlfn.XLOOKUP($B479,$B$11:$B$109,_xlfn.XLOOKUP(Q$219,$D$5:$AO$5,$D$11:$AO$109))</f>
        <v>#REF!</v>
      </c>
      <c r="R479" s="308" t="e">
        <f t="array" ref="R479">_xlfn.XLOOKUP($B479,$B$11:$B$109,_xlfn.XLOOKUP(R$219,$D$5:$AO$5,$D$11:$AO$109))</f>
        <v>#REF!</v>
      </c>
      <c r="S479" s="308" t="e">
        <f t="array" ref="S479">_xlfn.XLOOKUP($B479,$B$11:$B$109,_xlfn.XLOOKUP(S$219,$D$5:$AO$5,$D$11:$AO$109))</f>
        <v>#REF!</v>
      </c>
      <c r="T479" s="308" t="e">
        <f t="array" ref="T479">_xlfn.XLOOKUP($B479,$B$11:$B$109,_xlfn.XLOOKUP(T$219,$D$5:$AO$5,$D$11:$AO$109))</f>
        <v>#REF!</v>
      </c>
      <c r="U479" s="308" t="e">
        <f t="array" ref="U479">_xlfn.XLOOKUP($B479,$B$11:$B$109,_xlfn.XLOOKUP(U$219,$D$5:$AO$5,$D$11:$AO$109))</f>
        <v>#REF!</v>
      </c>
      <c r="V479" s="308" t="e">
        <f t="array" ref="V479">_xlfn.XLOOKUP($B479,$B$11:$B$109,_xlfn.XLOOKUP(V$219,$D$5:$AO$5,$D$11:$AO$109))</f>
        <v>#REF!</v>
      </c>
      <c r="W479" s="308" t="e">
        <f t="array" ref="W479">_xlfn.XLOOKUP($B479,$B$11:$B$109,_xlfn.XLOOKUP(W$219,$D$5:$AO$5,$D$11:$AO$109))</f>
        <v>#REF!</v>
      </c>
      <c r="X479" s="308" t="e">
        <f t="array" ref="X479">_xlfn.XLOOKUP($B479,$B$11:$B$109,_xlfn.XLOOKUP(X$219,$D$5:$AO$5,$D$11:$AO$109))</f>
        <v>#REF!</v>
      </c>
      <c r="Y479" s="308" t="e">
        <f t="array" ref="Y479">_xlfn.XLOOKUP($B479,$B$11:$B$109,_xlfn.XLOOKUP(Y$219,$D$5:$AO$5,$D$11:$AO$109))</f>
        <v>#REF!</v>
      </c>
      <c r="Z479" s="308" t="e">
        <f t="array" ref="Z479">_xlfn.XLOOKUP($B479,$B$11:$B$109,_xlfn.XLOOKUP(Z$219,$D$5:$AO$5,$D$11:$AO$109))</f>
        <v>#REF!</v>
      </c>
      <c r="AA479" s="308"/>
      <c r="AB479" s="306" t="str">
        <f t="shared" si="280"/>
        <v>Normalised EBITDA - New</v>
      </c>
      <c r="AC479" s="307" t="str">
        <f t="shared" si="281"/>
        <v>NZ$m</v>
      </c>
      <c r="AD479" s="307"/>
      <c r="AE479" s="307"/>
      <c r="AF479" s="308" t="e">
        <f t="array" ref="AF479">_xlfn.XLOOKUP($B479,$B$11:$B$109,_xlfn.XLOOKUP(AF$219,$D$5:$AO$5,$D$11:$AO$109))</f>
        <v>#REF!</v>
      </c>
      <c r="AG479" s="308" t="e">
        <f t="array" ref="AG479">_xlfn.XLOOKUP($B479,$B$11:$B$109,_xlfn.XLOOKUP(AG$219,$D$5:$AO$5,$D$11:$AO$109))</f>
        <v>#REF!</v>
      </c>
      <c r="AH479" s="308" t="e">
        <f t="array" ref="AH479">_xlfn.XLOOKUP($B479,$B$11:$B$109,_xlfn.XLOOKUP(AH$219,$D$5:$AO$5,$D$11:$AO$109))</f>
        <v>#REF!</v>
      </c>
      <c r="AI479" s="308" t="e">
        <f t="array" ref="AI479">_xlfn.XLOOKUP($B479,$B$11:$B$109,_xlfn.XLOOKUP(AI$219,$D$5:$AO$5,$D$11:$AO$109))</f>
        <v>#REF!</v>
      </c>
      <c r="AJ479" s="308" t="e">
        <f t="array" ref="AJ479">_xlfn.XLOOKUP($B479,$B$11:$B$109,_xlfn.XLOOKUP(AJ$219,$D$5:$AO$5,$D$11:$AO$109))</f>
        <v>#REF!</v>
      </c>
      <c r="AK479" s="308" t="e">
        <f t="array" ref="AK479">_xlfn.XLOOKUP($B479,$B$11:$B$109,_xlfn.XLOOKUP(AK$219,$D$5:$AO$5,$D$11:$AO$109))</f>
        <v>#REF!</v>
      </c>
      <c r="AL479" s="308" t="e">
        <f t="array" ref="AL479">_xlfn.XLOOKUP($B479,$B$11:$B$109,_xlfn.XLOOKUP(AL$219,$D$5:$AO$5,$D$11:$AO$109))</f>
        <v>#REF!</v>
      </c>
      <c r="AM479" s="308" t="e">
        <f t="array" ref="AM479">_xlfn.XLOOKUP($B479,$B$11:$B$109,_xlfn.XLOOKUP(AM$219,$D$5:$AO$5,$D$11:$AO$109))</f>
        <v>#REF!</v>
      </c>
      <c r="AN479" s="308" t="e">
        <f t="array" ref="AN479">_xlfn.XLOOKUP($B479,$B$11:$B$109,_xlfn.XLOOKUP(AN$219,$D$5:$AO$5,$D$11:$AO$109))</f>
        <v>#REF!</v>
      </c>
      <c r="AO479" s="308" t="e">
        <f t="array" ref="AO479">_xlfn.XLOOKUP($B479,$B$11:$B$109,_xlfn.XLOOKUP(AO$219,$D$5:$AO$5,$D$11:$AO$109))</f>
        <v>#REF!</v>
      </c>
    </row>
    <row r="480" spans="1:41" hidden="1" outlineLevel="1">
      <c r="B480" s="301"/>
      <c r="C480" s="309" t="s">
        <v>1510</v>
      </c>
      <c r="D480" s="303" t="s">
        <v>88</v>
      </c>
      <c r="E480" s="303"/>
      <c r="F480" s="316"/>
      <c r="G480" s="310" t="s">
        <v>967</v>
      </c>
      <c r="H480" s="310" t="s">
        <v>967</v>
      </c>
      <c r="I480" s="310" t="e">
        <f t="shared" ref="I480:Z480" si="290">I479/G479-1</f>
        <v>#REF!</v>
      </c>
      <c r="J480" s="310" t="e">
        <f t="shared" si="290"/>
        <v>#REF!</v>
      </c>
      <c r="K480" s="310" t="e">
        <f t="shared" si="290"/>
        <v>#REF!</v>
      </c>
      <c r="L480" s="310" t="e">
        <f t="shared" si="290"/>
        <v>#REF!</v>
      </c>
      <c r="M480" s="310" t="e">
        <f t="shared" si="290"/>
        <v>#REF!</v>
      </c>
      <c r="N480" s="310" t="e">
        <f t="shared" si="290"/>
        <v>#REF!</v>
      </c>
      <c r="O480" s="310" t="e">
        <f t="shared" si="290"/>
        <v>#REF!</v>
      </c>
      <c r="P480" s="310" t="e">
        <f t="shared" si="290"/>
        <v>#REF!</v>
      </c>
      <c r="Q480" s="310" t="e">
        <f t="shared" si="290"/>
        <v>#REF!</v>
      </c>
      <c r="R480" s="310" t="e">
        <f t="shared" si="290"/>
        <v>#REF!</v>
      </c>
      <c r="S480" s="310" t="e">
        <f t="shared" si="290"/>
        <v>#REF!</v>
      </c>
      <c r="T480" s="310" t="e">
        <f t="shared" si="290"/>
        <v>#REF!</v>
      </c>
      <c r="U480" s="310" t="e">
        <f t="shared" si="290"/>
        <v>#REF!</v>
      </c>
      <c r="V480" s="310" t="e">
        <f t="shared" si="290"/>
        <v>#REF!</v>
      </c>
      <c r="W480" s="310" t="e">
        <f t="shared" si="290"/>
        <v>#REF!</v>
      </c>
      <c r="X480" s="310" t="e">
        <f t="shared" si="290"/>
        <v>#REF!</v>
      </c>
      <c r="Y480" s="310" t="e">
        <f t="shared" si="290"/>
        <v>#REF!</v>
      </c>
      <c r="Z480" s="310" t="e">
        <f t="shared" si="290"/>
        <v>#REF!</v>
      </c>
      <c r="AA480" s="311"/>
      <c r="AB480" s="309" t="str">
        <f t="shared" si="280"/>
        <v>- Growth</v>
      </c>
      <c r="AC480" s="303" t="str">
        <f t="shared" si="281"/>
        <v>%</v>
      </c>
      <c r="AD480" s="303"/>
      <c r="AE480" s="303"/>
      <c r="AF480" s="310" t="s">
        <v>967</v>
      </c>
      <c r="AG480" s="310" t="e">
        <f t="shared" ref="AG480:AO480" si="291">AG479/AF479-1</f>
        <v>#REF!</v>
      </c>
      <c r="AH480" s="310" t="e">
        <f t="shared" si="291"/>
        <v>#REF!</v>
      </c>
      <c r="AI480" s="310" t="e">
        <f t="shared" si="291"/>
        <v>#REF!</v>
      </c>
      <c r="AJ480" s="310" t="e">
        <f t="shared" si="291"/>
        <v>#REF!</v>
      </c>
      <c r="AK480" s="310" t="e">
        <f t="shared" si="291"/>
        <v>#REF!</v>
      </c>
      <c r="AL480" s="310" t="e">
        <f t="shared" si="291"/>
        <v>#REF!</v>
      </c>
      <c r="AM480" s="310" t="e">
        <f t="shared" si="291"/>
        <v>#REF!</v>
      </c>
      <c r="AN480" s="310" t="e">
        <f t="shared" si="291"/>
        <v>#REF!</v>
      </c>
      <c r="AO480" s="310" t="e">
        <f t="shared" si="291"/>
        <v>#REF!</v>
      </c>
    </row>
    <row r="481" spans="2:41" collapsed="1">
      <c r="B481" s="301"/>
      <c r="C481" s="309" t="s">
        <v>1511</v>
      </c>
      <c r="D481" s="303" t="s">
        <v>88</v>
      </c>
      <c r="E481" s="303"/>
      <c r="F481" s="316"/>
      <c r="G481" s="310">
        <f t="shared" ref="G481:Z481" si="292">IFERROR(ROUND( G479 / G478,2) - 1, 0)</f>
        <v>0</v>
      </c>
      <c r="H481" s="310">
        <f t="shared" si="292"/>
        <v>0</v>
      </c>
      <c r="I481" s="310">
        <f t="shared" si="292"/>
        <v>0</v>
      </c>
      <c r="J481" s="310">
        <f t="shared" si="292"/>
        <v>0</v>
      </c>
      <c r="K481" s="310">
        <f t="shared" si="292"/>
        <v>0</v>
      </c>
      <c r="L481" s="310">
        <f t="shared" si="292"/>
        <v>0</v>
      </c>
      <c r="M481" s="310">
        <f t="shared" si="292"/>
        <v>0</v>
      </c>
      <c r="N481" s="310">
        <f t="shared" si="292"/>
        <v>0</v>
      </c>
      <c r="O481" s="310">
        <f t="shared" si="292"/>
        <v>0</v>
      </c>
      <c r="P481" s="310">
        <f t="shared" si="292"/>
        <v>0</v>
      </c>
      <c r="Q481" s="310">
        <f t="shared" si="292"/>
        <v>0</v>
      </c>
      <c r="R481" s="310">
        <f t="shared" si="292"/>
        <v>0</v>
      </c>
      <c r="S481" s="310">
        <f t="shared" si="292"/>
        <v>0</v>
      </c>
      <c r="T481" s="310">
        <f t="shared" si="292"/>
        <v>0</v>
      </c>
      <c r="U481" s="310">
        <f t="shared" si="292"/>
        <v>0</v>
      </c>
      <c r="V481" s="310">
        <f t="shared" si="292"/>
        <v>0</v>
      </c>
      <c r="W481" s="310">
        <f t="shared" si="292"/>
        <v>0</v>
      </c>
      <c r="X481" s="310">
        <f t="shared" si="292"/>
        <v>0</v>
      </c>
      <c r="Y481" s="310">
        <f t="shared" si="292"/>
        <v>0</v>
      </c>
      <c r="Z481" s="310">
        <f t="shared" si="292"/>
        <v>0</v>
      </c>
      <c r="AA481" s="310"/>
      <c r="AB481" s="309" t="str">
        <f t="shared" si="280"/>
        <v>- Revision</v>
      </c>
      <c r="AC481" s="303" t="str">
        <f t="shared" si="281"/>
        <v>%</v>
      </c>
      <c r="AD481" s="303"/>
      <c r="AE481" s="303"/>
      <c r="AF481" s="310">
        <f t="shared" ref="AF481:AO481" si="293">IFERROR(ROUND( AF479 / AF478,2) - 1, 0)</f>
        <v>0</v>
      </c>
      <c r="AG481" s="310">
        <f t="shared" si="293"/>
        <v>0</v>
      </c>
      <c r="AH481" s="310">
        <f t="shared" si="293"/>
        <v>0</v>
      </c>
      <c r="AI481" s="310">
        <f t="shared" si="293"/>
        <v>0</v>
      </c>
      <c r="AJ481" s="310">
        <f t="shared" si="293"/>
        <v>0</v>
      </c>
      <c r="AK481" s="310">
        <f t="shared" si="293"/>
        <v>0</v>
      </c>
      <c r="AL481" s="310">
        <f t="shared" si="293"/>
        <v>0</v>
      </c>
      <c r="AM481" s="310">
        <f t="shared" si="293"/>
        <v>0</v>
      </c>
      <c r="AN481" s="310">
        <f t="shared" si="293"/>
        <v>0</v>
      </c>
      <c r="AO481" s="310">
        <f t="shared" si="293"/>
        <v>0</v>
      </c>
    </row>
    <row r="482" spans="2:41">
      <c r="B482" s="301" t="s">
        <v>1485</v>
      </c>
      <c r="C482" s="302" t="s">
        <v>1566</v>
      </c>
      <c r="D482" s="303" t="str">
        <f t="array" ref="D482">_xlfn.XLOOKUP($B482,$B$114:$B$212,_xlfn.XLOOKUP(D$219,$D$5:$AO$5,$D$114:$AO$212))</f>
        <v>NZ$m</v>
      </c>
      <c r="E482" s="303"/>
      <c r="F482" s="316"/>
      <c r="G482" s="304">
        <f t="array" ref="G482">_xlfn.XLOOKUP($B482,$B$114:$B$212,_xlfn.XLOOKUP(G$219,$D$5:$AO$5,$D$114:$AO$212))</f>
        <v>-41.099999999999987</v>
      </c>
      <c r="H482" s="304">
        <f t="array" ref="H482">_xlfn.XLOOKUP($B482,$B$114:$B$212,_xlfn.XLOOKUP(H$219,$D$5:$AO$5,$D$114:$AO$212))</f>
        <v>-47.299999999999969</v>
      </c>
      <c r="I482" s="304">
        <f t="array" ref="I482">_xlfn.XLOOKUP($B482,$B$114:$B$212,_xlfn.XLOOKUP(I$219,$D$5:$AO$5,$D$114:$AO$212))</f>
        <v>-47.8</v>
      </c>
      <c r="J482" s="304">
        <f t="array" ref="J482">_xlfn.XLOOKUP($B482,$B$114:$B$212,_xlfn.XLOOKUP(J$219,$D$5:$AO$5,$D$114:$AO$212))</f>
        <v>-46.9</v>
      </c>
      <c r="K482" s="304">
        <f t="array" ref="K482">_xlfn.XLOOKUP($B482,$B$114:$B$212,_xlfn.XLOOKUP(K$219,$D$5:$AO$5,$D$114:$AO$212))</f>
        <v>-45.464000000000013</v>
      </c>
      <c r="L482" s="304">
        <f t="array" ref="L482">_xlfn.XLOOKUP($B482,$B$114:$B$212,_xlfn.XLOOKUP(L$219,$D$5:$AO$5,$D$114:$AO$212))</f>
        <v>-45.207999999999998</v>
      </c>
      <c r="M482" s="304">
        <f t="array" ref="M482">_xlfn.XLOOKUP($B482,$B$114:$B$212,_xlfn.XLOOKUP(M$219,$D$5:$AO$5,$D$114:$AO$212))</f>
        <v>-44.247</v>
      </c>
      <c r="N482" s="304">
        <f t="array" ref="N482">_xlfn.XLOOKUP($B482,$B$114:$B$212,_xlfn.XLOOKUP(N$219,$D$5:$AO$5,$D$114:$AO$212))</f>
        <v>-47.774000000000001</v>
      </c>
      <c r="O482" s="304">
        <f t="array" ref="O482">_xlfn.XLOOKUP($B482,$B$114:$B$212,_xlfn.XLOOKUP(O$219,$D$5:$AO$5,$D$114:$AO$212))</f>
        <v>-45.329000000000001</v>
      </c>
      <c r="P482" s="304">
        <f t="array" ref="P482">_xlfn.XLOOKUP($B482,$B$114:$B$212,_xlfn.XLOOKUP(P$219,$D$5:$AO$5,$D$114:$AO$212))</f>
        <v>-46.038206519304318</v>
      </c>
      <c r="Q482" s="304">
        <f t="array" ref="Q482">_xlfn.XLOOKUP($B482,$B$114:$B$212,_xlfn.XLOOKUP(Q$219,$D$5:$AO$5,$D$114:$AO$212))</f>
        <v>-46.560517064988368</v>
      </c>
      <c r="R482" s="304">
        <f t="array" ref="R482">_xlfn.XLOOKUP($B482,$B$114:$B$212,_xlfn.XLOOKUP(R$219,$D$5:$AO$5,$D$114:$AO$212))</f>
        <v>-46.803419708976449</v>
      </c>
      <c r="S482" s="304">
        <f t="array" ref="S482">_xlfn.XLOOKUP($B482,$B$114:$B$212,_xlfn.XLOOKUP(S$219,$D$5:$AO$5,$D$114:$AO$212))</f>
        <v>-46.685041834342059</v>
      </c>
      <c r="T482" s="304">
        <f t="array" ref="T482">_xlfn.XLOOKUP($B482,$B$114:$B$212,_xlfn.XLOOKUP(T$219,$D$5:$AO$5,$D$114:$AO$212))</f>
        <v>-46.612625545496982</v>
      </c>
      <c r="U482" s="304">
        <f t="array" ref="U482">_xlfn.XLOOKUP($B482,$B$114:$B$212,_xlfn.XLOOKUP(U$219,$D$5:$AO$5,$D$114:$AO$212))</f>
        <v>-46.550480999241898</v>
      </c>
      <c r="V482" s="304">
        <f t="array" ref="V482">_xlfn.XLOOKUP($B482,$B$114:$B$212,_xlfn.XLOOKUP(V$219,$D$5:$AO$5,$D$114:$AO$212))</f>
        <v>-46.525582079085162</v>
      </c>
      <c r="W482" s="304">
        <f t="array" ref="W482">_xlfn.XLOOKUP($B482,$B$114:$B$212,_xlfn.XLOOKUP(W$219,$D$5:$AO$5,$D$114:$AO$212))</f>
        <v>-46.505874402737923</v>
      </c>
      <c r="X482" s="304">
        <f t="array" ref="X482">_xlfn.XLOOKUP($B482,$B$114:$B$212,_xlfn.XLOOKUP(X$219,$D$5:$AO$5,$D$114:$AO$212))</f>
        <v>-46.519099041547953</v>
      </c>
      <c r="Y482" s="304">
        <f t="array" ref="Y482">_xlfn.XLOOKUP($B482,$B$114:$B$212,_xlfn.XLOOKUP(Y$219,$D$5:$AO$5,$D$114:$AO$212))</f>
        <v>-46.533934856202123</v>
      </c>
      <c r="Z482" s="304">
        <f t="array" ref="Z482">_xlfn.XLOOKUP($B482,$B$114:$B$212,_xlfn.XLOOKUP(Z$219,$D$5:$AO$5,$D$114:$AO$212))</f>
        <v>-46.579064676810439</v>
      </c>
      <c r="AA482" s="305"/>
      <c r="AB482" s="302" t="str">
        <f t="shared" si="280"/>
        <v>D&amp;A Expense - old</v>
      </c>
      <c r="AC482" s="303" t="str">
        <f t="shared" si="281"/>
        <v>NZ$m</v>
      </c>
      <c r="AD482" s="303"/>
      <c r="AE482" s="303"/>
      <c r="AF482" s="304">
        <f t="array" ref="AF482">_xlfn.XLOOKUP($B482,$B$114:$B$212,_xlfn.XLOOKUP(AF$219,$D$5:$AO$5,$D$114:$AO$212))</f>
        <v>-88.399999999999963</v>
      </c>
      <c r="AG482" s="304">
        <f t="array" ref="AG482">_xlfn.XLOOKUP($B482,$B$114:$B$212,_xlfn.XLOOKUP(AG$219,$D$5:$AO$5,$D$114:$AO$212))</f>
        <v>-94.699999999999989</v>
      </c>
      <c r="AH482" s="304">
        <f t="array" ref="AH482">_xlfn.XLOOKUP($B482,$B$114:$B$212,_xlfn.XLOOKUP(AH$219,$D$5:$AO$5,$D$114:$AO$212))</f>
        <v>-90.672000000000011</v>
      </c>
      <c r="AI482" s="304">
        <f t="array" ref="AI482">_xlfn.XLOOKUP($B482,$B$114:$B$212,_xlfn.XLOOKUP(AI$219,$D$5:$AO$5,$D$114:$AO$212))</f>
        <v>-92.021000000000001</v>
      </c>
      <c r="AJ482" s="304">
        <f t="array" ref="AJ482">_xlfn.XLOOKUP($B482,$B$114:$B$212,_xlfn.XLOOKUP(AJ$219,$D$5:$AO$5,$D$114:$AO$212))</f>
        <v>-91.367206519304318</v>
      </c>
      <c r="AK482" s="304">
        <f t="array" ref="AK482">_xlfn.XLOOKUP($B482,$B$114:$B$212,_xlfn.XLOOKUP(AK$219,$D$5:$AO$5,$D$114:$AO$212))</f>
        <v>-93.363936773964824</v>
      </c>
      <c r="AL482" s="304">
        <f t="array" ref="AL482">_xlfn.XLOOKUP($B482,$B$114:$B$212,_xlfn.XLOOKUP(AL$219,$D$5:$AO$5,$D$114:$AO$212))</f>
        <v>-93.297667379839041</v>
      </c>
      <c r="AM482" s="304">
        <f t="array" ref="AM482">_xlfn.XLOOKUP($B482,$B$114:$B$212,_xlfn.XLOOKUP(AM$219,$D$5:$AO$5,$D$114:$AO$212))</f>
        <v>-93.076063078327053</v>
      </c>
      <c r="AN482" s="304">
        <f t="array" ref="AN482">_xlfn.XLOOKUP($B482,$B$114:$B$212,_xlfn.XLOOKUP(AN$219,$D$5:$AO$5,$D$114:$AO$212))</f>
        <v>-93.024973444285877</v>
      </c>
      <c r="AO482" s="304">
        <f t="array" ref="AO482">_xlfn.XLOOKUP($B482,$B$114:$B$212,_xlfn.XLOOKUP(AO$219,$D$5:$AO$5,$D$114:$AO$212))</f>
        <v>-93.112999533012555</v>
      </c>
    </row>
    <row r="483" spans="2:41">
      <c r="B483" s="301" t="s">
        <v>1485</v>
      </c>
      <c r="C483" s="306" t="s">
        <v>1567</v>
      </c>
      <c r="D483" s="307" t="str">
        <f t="array" ref="D483">_xlfn.XLOOKUP($B483,$B$11:$B$109,_xlfn.XLOOKUP(D$219,$D$5:$AO$5,$D$11:$AO$109))</f>
        <v>NZ$m</v>
      </c>
      <c r="E483" s="307"/>
      <c r="F483" s="316"/>
      <c r="G483" s="308">
        <f t="array" ref="G483">_xlfn.XLOOKUP($B483,$B$11:$B$109,_xlfn.XLOOKUP(G$219,$D$5:$AO$5,$D$11:$AO$109))</f>
        <v>-41.099999999999994</v>
      </c>
      <c r="H483" s="308">
        <f t="array" ref="H483">_xlfn.XLOOKUP($B483,$B$11:$B$109,_xlfn.XLOOKUP(H$219,$D$5:$AO$5,$D$11:$AO$109))</f>
        <v>-47.299999999999969</v>
      </c>
      <c r="I483" s="308">
        <f t="array" ref="I483">_xlfn.XLOOKUP($B483,$B$11:$B$109,_xlfn.XLOOKUP(I$219,$D$5:$AO$5,$D$11:$AO$109))</f>
        <v>-47.8</v>
      </c>
      <c r="J483" s="308">
        <f t="array" ref="J483">_xlfn.XLOOKUP($B483,$B$11:$B$109,_xlfn.XLOOKUP(J$219,$D$5:$AO$5,$D$11:$AO$109))</f>
        <v>-46.9</v>
      </c>
      <c r="K483" s="308">
        <f t="array" ref="K483">_xlfn.XLOOKUP($B483,$B$11:$B$109,_xlfn.XLOOKUP(K$219,$D$5:$AO$5,$D$11:$AO$109))</f>
        <v>-45.464000000000013</v>
      </c>
      <c r="L483" s="308">
        <f t="array" ref="L483">_xlfn.XLOOKUP($B483,$B$11:$B$109,_xlfn.XLOOKUP(L$219,$D$5:$AO$5,$D$11:$AO$109))</f>
        <v>-45.207999999999998</v>
      </c>
      <c r="M483" s="308">
        <f t="array" ref="M483">_xlfn.XLOOKUP($B483,$B$11:$B$109,_xlfn.XLOOKUP(M$219,$D$5:$AO$5,$D$11:$AO$109))</f>
        <v>-44.247</v>
      </c>
      <c r="N483" s="308">
        <f t="array" ref="N483">_xlfn.XLOOKUP($B483,$B$11:$B$109,_xlfn.XLOOKUP(N$219,$D$5:$AO$5,$D$11:$AO$109))</f>
        <v>-47.774000000000001</v>
      </c>
      <c r="O483" s="308">
        <f t="array" ref="O483">_xlfn.XLOOKUP($B483,$B$11:$B$109,_xlfn.XLOOKUP(O$219,$D$5:$AO$5,$D$11:$AO$109))</f>
        <v>-45.329000000000001</v>
      </c>
      <c r="P483" s="308">
        <f t="array" ref="P483">_xlfn.XLOOKUP($B483,$B$11:$B$109,_xlfn.XLOOKUP(P$219,$D$5:$AO$5,$D$11:$AO$109))</f>
        <v>-48.884000000000007</v>
      </c>
      <c r="Q483" s="308">
        <f t="array" ref="Q483">_xlfn.XLOOKUP($B483,$B$11:$B$109,_xlfn.XLOOKUP(Q$219,$D$5:$AO$5,$D$11:$AO$109))</f>
        <v>-49.879000000000005</v>
      </c>
      <c r="R483" s="308">
        <f t="array" ref="R483">_xlfn.XLOOKUP($B483,$B$11:$B$109,_xlfn.XLOOKUP(R$219,$D$5:$AO$5,$D$11:$AO$109))</f>
        <v>-53.577999999999996</v>
      </c>
      <c r="S483" s="308">
        <f t="array" ref="S483">_xlfn.XLOOKUP($B483,$B$11:$B$109,_xlfn.XLOOKUP(S$219,$D$5:$AO$5,$D$11:$AO$109))</f>
        <v>-60.234767077484335</v>
      </c>
      <c r="T483" s="308">
        <f t="array" ref="T483">_xlfn.XLOOKUP($B483,$B$11:$B$109,_xlfn.XLOOKUP(T$219,$D$5:$AO$5,$D$11:$AO$109))</f>
        <v>-52.726792857311082</v>
      </c>
      <c r="U483" s="308">
        <f t="array" ref="U483">_xlfn.XLOOKUP($B483,$B$11:$B$109,_xlfn.XLOOKUP(U$219,$D$5:$AO$5,$D$11:$AO$109))</f>
        <v>-52.535213024364296</v>
      </c>
      <c r="V483" s="308">
        <f t="array" ref="V483">_xlfn.XLOOKUP($B483,$B$11:$B$109,_xlfn.XLOOKUP(V$219,$D$5:$AO$5,$D$11:$AO$109))</f>
        <v>-52.126873543863738</v>
      </c>
      <c r="W483" s="308">
        <f t="array" ref="W483">_xlfn.XLOOKUP($B483,$B$11:$B$109,_xlfn.XLOOKUP(W$219,$D$5:$AO$5,$D$11:$AO$109))</f>
        <v>-51.737331300583051</v>
      </c>
      <c r="X483" s="308">
        <f t="array" ref="X483">_xlfn.XLOOKUP($B483,$B$11:$B$109,_xlfn.XLOOKUP(X$219,$D$5:$AO$5,$D$11:$AO$109))</f>
        <v>-51.417164650271388</v>
      </c>
      <c r="Y483" s="308">
        <f t="array" ref="Y483">_xlfn.XLOOKUP($B483,$B$11:$B$109,_xlfn.XLOOKUP(Y$219,$D$5:$AO$5,$D$11:$AO$109))</f>
        <v>-51.097864285079076</v>
      </c>
      <c r="Z483" s="308">
        <f t="array" ref="Z483">_xlfn.XLOOKUP($B483,$B$11:$B$109,_xlfn.XLOOKUP(Z$219,$D$5:$AO$5,$D$11:$AO$109))</f>
        <v>-50.8489390117496</v>
      </c>
      <c r="AA483" s="308"/>
      <c r="AB483" s="306" t="str">
        <f t="shared" si="280"/>
        <v>D&amp;A Expense - New</v>
      </c>
      <c r="AC483" s="307" t="str">
        <f t="shared" si="281"/>
        <v>NZ$m</v>
      </c>
      <c r="AD483" s="307"/>
      <c r="AE483" s="307"/>
      <c r="AF483" s="308">
        <f t="array" ref="AF483">_xlfn.XLOOKUP($B483,$B$11:$B$109,_xlfn.XLOOKUP(AF$219,$D$5:$AO$5,$D$11:$AO$109))</f>
        <v>-88.399999999999963</v>
      </c>
      <c r="AG483" s="308">
        <f t="array" ref="AG483">_xlfn.XLOOKUP($B483,$B$11:$B$109,_xlfn.XLOOKUP(AG$219,$D$5:$AO$5,$D$11:$AO$109))</f>
        <v>-94.699999999999989</v>
      </c>
      <c r="AH483" s="308">
        <f t="array" ref="AH483">_xlfn.XLOOKUP($B483,$B$11:$B$109,_xlfn.XLOOKUP(AH$219,$D$5:$AO$5,$D$11:$AO$109))</f>
        <v>-90.672000000000011</v>
      </c>
      <c r="AI483" s="308">
        <f t="array" ref="AI483">_xlfn.XLOOKUP($B483,$B$11:$B$109,_xlfn.XLOOKUP(AI$219,$D$5:$AO$5,$D$11:$AO$109))</f>
        <v>-92.021000000000001</v>
      </c>
      <c r="AJ483" s="308">
        <f t="array" ref="AJ483">_xlfn.XLOOKUP($B483,$B$11:$B$109,_xlfn.XLOOKUP(AJ$219,$D$5:$AO$5,$D$11:$AO$109))</f>
        <v>-94.213000000000008</v>
      </c>
      <c r="AK483" s="308">
        <f t="array" ref="AK483">_xlfn.XLOOKUP($B483,$B$11:$B$109,_xlfn.XLOOKUP(AK$219,$D$5:$AO$5,$D$11:$AO$109))</f>
        <v>-103.45699999999999</v>
      </c>
      <c r="AL483" s="308">
        <f t="array" ref="AL483">_xlfn.XLOOKUP($B483,$B$11:$B$109,_xlfn.XLOOKUP(AL$219,$D$5:$AO$5,$D$11:$AO$109))</f>
        <v>-112.96155993479542</v>
      </c>
      <c r="AM483" s="308">
        <f t="array" ref="AM483">_xlfn.XLOOKUP($B483,$B$11:$B$109,_xlfn.XLOOKUP(AM$219,$D$5:$AO$5,$D$11:$AO$109))</f>
        <v>-104.66208656822803</v>
      </c>
      <c r="AN483" s="308">
        <f t="array" ref="AN483">_xlfn.XLOOKUP($B483,$B$11:$B$109,_xlfn.XLOOKUP(AN$219,$D$5:$AO$5,$D$11:$AO$109))</f>
        <v>-103.15449595085444</v>
      </c>
      <c r="AO483" s="308">
        <f t="array" ref="AO483">_xlfn.XLOOKUP($B483,$B$11:$B$109,_xlfn.XLOOKUP(AO$219,$D$5:$AO$5,$D$11:$AO$109))</f>
        <v>-101.94680329682868</v>
      </c>
    </row>
    <row r="484" spans="2:41" hidden="1" outlineLevel="1">
      <c r="B484" s="301"/>
      <c r="C484" s="309" t="s">
        <v>1510</v>
      </c>
      <c r="D484" s="303" t="s">
        <v>88</v>
      </c>
      <c r="E484" s="303"/>
      <c r="F484" s="316"/>
      <c r="G484" s="310" t="s">
        <v>967</v>
      </c>
      <c r="H484" s="310" t="s">
        <v>967</v>
      </c>
      <c r="I484" s="310">
        <f t="shared" ref="I484:Z484" si="294">I483/G483-1</f>
        <v>0.16301703163017045</v>
      </c>
      <c r="J484" s="310">
        <f t="shared" si="294"/>
        <v>-8.4566596194497468E-3</v>
      </c>
      <c r="K484" s="310">
        <f t="shared" si="294"/>
        <v>-4.8870292887028932E-2</v>
      </c>
      <c r="L484" s="310">
        <f t="shared" si="294"/>
        <v>-3.6076759061833719E-2</v>
      </c>
      <c r="M484" s="310">
        <f t="shared" si="294"/>
        <v>-2.676843216610969E-2</v>
      </c>
      <c r="N484" s="310">
        <f t="shared" si="294"/>
        <v>5.675986551052925E-2</v>
      </c>
      <c r="O484" s="310">
        <f t="shared" si="294"/>
        <v>2.4453635274708008E-2</v>
      </c>
      <c r="P484" s="310">
        <f t="shared" si="294"/>
        <v>2.3234395277766273E-2</v>
      </c>
      <c r="Q484" s="310">
        <f t="shared" si="294"/>
        <v>0.10037724194224462</v>
      </c>
      <c r="R484" s="310">
        <f t="shared" si="294"/>
        <v>9.6023238687504842E-2</v>
      </c>
      <c r="S484" s="310">
        <f t="shared" si="294"/>
        <v>0.2076177765689835</v>
      </c>
      <c r="T484" s="310">
        <f t="shared" si="294"/>
        <v>-1.5887251160717319E-2</v>
      </c>
      <c r="U484" s="310">
        <f t="shared" si="294"/>
        <v>-0.12782574627068033</v>
      </c>
      <c r="V484" s="310">
        <f t="shared" si="294"/>
        <v>-1.1377883632536556E-2</v>
      </c>
      <c r="W484" s="310">
        <f t="shared" si="294"/>
        <v>-1.5187560454189231E-2</v>
      </c>
      <c r="X484" s="310">
        <f t="shared" si="294"/>
        <v>-1.3615028973397836E-2</v>
      </c>
      <c r="Y484" s="310">
        <f t="shared" si="294"/>
        <v>-1.2359876310372608E-2</v>
      </c>
      <c r="Z484" s="310">
        <f t="shared" si="294"/>
        <v>-1.1051283017777025E-2</v>
      </c>
      <c r="AA484" s="311"/>
      <c r="AB484" s="309" t="str">
        <f t="shared" si="280"/>
        <v>- Growth</v>
      </c>
      <c r="AC484" s="303" t="str">
        <f t="shared" si="281"/>
        <v>%</v>
      </c>
      <c r="AD484" s="303"/>
      <c r="AE484" s="303"/>
      <c r="AF484" s="310" t="s">
        <v>967</v>
      </c>
      <c r="AG484" s="310">
        <f t="shared" ref="AG484:AO484" si="295">AG483/AF483-1</f>
        <v>7.1266968325792268E-2</v>
      </c>
      <c r="AH484" s="310">
        <f t="shared" si="295"/>
        <v>-4.2534318901794932E-2</v>
      </c>
      <c r="AI484" s="310">
        <f t="shared" si="295"/>
        <v>1.4877801305805516E-2</v>
      </c>
      <c r="AJ484" s="310">
        <f t="shared" si="295"/>
        <v>2.3820649634322733E-2</v>
      </c>
      <c r="AK484" s="310">
        <f t="shared" si="295"/>
        <v>9.8118094105908771E-2</v>
      </c>
      <c r="AL484" s="310">
        <f t="shared" si="295"/>
        <v>9.1869665027938474E-2</v>
      </c>
      <c r="AM484" s="310">
        <f t="shared" si="295"/>
        <v>-7.3471660371528746E-2</v>
      </c>
      <c r="AN484" s="310">
        <f t="shared" si="295"/>
        <v>-1.440436233220721E-2</v>
      </c>
      <c r="AO484" s="310">
        <f t="shared" si="295"/>
        <v>-1.17076104428947E-2</v>
      </c>
    </row>
    <row r="485" spans="2:41" collapsed="1">
      <c r="B485" s="301"/>
      <c r="C485" s="309" t="s">
        <v>1511</v>
      </c>
      <c r="D485" s="303" t="s">
        <v>88</v>
      </c>
      <c r="E485" s="303"/>
      <c r="F485" s="316"/>
      <c r="G485" s="310">
        <f t="shared" ref="G485:Z485" si="296">IFERROR(ROUND( G483 / G482,2) - 1, 0)</f>
        <v>0</v>
      </c>
      <c r="H485" s="310">
        <f t="shared" si="296"/>
        <v>0</v>
      </c>
      <c r="I485" s="310">
        <f t="shared" si="296"/>
        <v>0</v>
      </c>
      <c r="J485" s="310">
        <f t="shared" si="296"/>
        <v>0</v>
      </c>
      <c r="K485" s="310">
        <f t="shared" si="296"/>
        <v>0</v>
      </c>
      <c r="L485" s="310">
        <f t="shared" si="296"/>
        <v>0</v>
      </c>
      <c r="M485" s="310">
        <f t="shared" si="296"/>
        <v>0</v>
      </c>
      <c r="N485" s="310">
        <f t="shared" si="296"/>
        <v>0</v>
      </c>
      <c r="O485" s="310">
        <f t="shared" si="296"/>
        <v>0</v>
      </c>
      <c r="P485" s="310">
        <f t="shared" si="296"/>
        <v>6.0000000000000053E-2</v>
      </c>
      <c r="Q485" s="310">
        <f t="shared" si="296"/>
        <v>7.0000000000000062E-2</v>
      </c>
      <c r="R485" s="310">
        <f t="shared" si="296"/>
        <v>0.1399999999999999</v>
      </c>
      <c r="S485" s="310">
        <f t="shared" si="296"/>
        <v>0.29000000000000004</v>
      </c>
      <c r="T485" s="310">
        <f t="shared" si="296"/>
        <v>0.12999999999999989</v>
      </c>
      <c r="U485" s="310">
        <f t="shared" si="296"/>
        <v>0.12999999999999989</v>
      </c>
      <c r="V485" s="310">
        <f t="shared" si="296"/>
        <v>0.12000000000000011</v>
      </c>
      <c r="W485" s="310">
        <f t="shared" si="296"/>
        <v>0.1100000000000001</v>
      </c>
      <c r="X485" s="310">
        <f t="shared" si="296"/>
        <v>0.1100000000000001</v>
      </c>
      <c r="Y485" s="310">
        <f t="shared" si="296"/>
        <v>0.10000000000000009</v>
      </c>
      <c r="Z485" s="310">
        <f t="shared" si="296"/>
        <v>9.000000000000008E-2</v>
      </c>
      <c r="AA485" s="310"/>
      <c r="AB485" s="309" t="str">
        <f t="shared" si="280"/>
        <v>- Revision</v>
      </c>
      <c r="AC485" s="303" t="str">
        <f t="shared" si="281"/>
        <v>%</v>
      </c>
      <c r="AD485" s="303"/>
      <c r="AE485" s="303"/>
      <c r="AF485" s="310">
        <f t="shared" ref="AF485:AO485" si="297">IFERROR(ROUND( AF483 / AF482,2) - 1, 0)</f>
        <v>0</v>
      </c>
      <c r="AG485" s="310">
        <f t="shared" si="297"/>
        <v>0</v>
      </c>
      <c r="AH485" s="310">
        <f t="shared" si="297"/>
        <v>0</v>
      </c>
      <c r="AI485" s="310">
        <f t="shared" si="297"/>
        <v>0</v>
      </c>
      <c r="AJ485" s="310">
        <f t="shared" si="297"/>
        <v>3.0000000000000027E-2</v>
      </c>
      <c r="AK485" s="310">
        <f t="shared" si="297"/>
        <v>0.1100000000000001</v>
      </c>
      <c r="AL485" s="310">
        <f t="shared" si="297"/>
        <v>0.20999999999999996</v>
      </c>
      <c r="AM485" s="310">
        <f t="shared" si="297"/>
        <v>0.12000000000000011</v>
      </c>
      <c r="AN485" s="310">
        <f t="shared" si="297"/>
        <v>0.1100000000000001</v>
      </c>
      <c r="AO485" s="310">
        <f t="shared" si="297"/>
        <v>9.000000000000008E-2</v>
      </c>
    </row>
    <row r="486" spans="2:41">
      <c r="B486" s="301" t="s">
        <v>1486</v>
      </c>
      <c r="C486" s="302" t="s">
        <v>1568</v>
      </c>
      <c r="D486" s="303" t="str">
        <f t="array" ref="D486">_xlfn.XLOOKUP($B486,$B$114:$B$212,_xlfn.XLOOKUP(D$219,$D$5:$AO$5,$D$114:$AO$212))</f>
        <v>NZ$m</v>
      </c>
      <c r="E486" s="303"/>
      <c r="F486" s="316"/>
      <c r="G486" s="304">
        <f t="array" ref="G486">_xlfn.XLOOKUP($B486,$B$114:$B$212,_xlfn.XLOOKUP(G$219,$D$5:$AO$5,$D$114:$AO$212))</f>
        <v>76.699999999999989</v>
      </c>
      <c r="H486" s="304">
        <f t="array" ref="H486">_xlfn.XLOOKUP($B486,$B$114:$B$212,_xlfn.XLOOKUP(H$219,$D$5:$AO$5,$D$114:$AO$212))</f>
        <v>83.500000000000057</v>
      </c>
      <c r="I486" s="304">
        <f t="array" ref="I486">_xlfn.XLOOKUP($B486,$B$114:$B$212,_xlfn.XLOOKUP(I$219,$D$5:$AO$5,$D$114:$AO$212))</f>
        <v>-11.599999999999991</v>
      </c>
      <c r="J486" s="304">
        <f t="array" ref="J486">_xlfn.XLOOKUP($B486,$B$114:$B$212,_xlfn.XLOOKUP(J$219,$D$5:$AO$5,$D$114:$AO$212))</f>
        <v>54.8</v>
      </c>
      <c r="K486" s="304">
        <f t="array" ref="K486">_xlfn.XLOOKUP($B486,$B$114:$B$212,_xlfn.XLOOKUP(K$219,$D$5:$AO$5,$D$114:$AO$212))</f>
        <v>116.336</v>
      </c>
      <c r="L486" s="304">
        <f t="array" ref="L486">_xlfn.XLOOKUP($B486,$B$114:$B$212,_xlfn.XLOOKUP(L$219,$D$5:$AO$5,$D$114:$AO$212))</f>
        <v>94.792000000000002</v>
      </c>
      <c r="M486" s="304">
        <f t="array" ref="M486">_xlfn.XLOOKUP($B486,$B$114:$B$212,_xlfn.XLOOKUP(M$219,$D$5:$AO$5,$D$114:$AO$212))</f>
        <v>100.053</v>
      </c>
      <c r="N486" s="304">
        <f t="array" ref="N486">_xlfn.XLOOKUP($B486,$B$114:$B$212,_xlfn.XLOOKUP(N$219,$D$5:$AO$5,$D$114:$AO$212))</f>
        <v>85.725999999999999</v>
      </c>
      <c r="O486" s="304">
        <f t="array" ref="O486">_xlfn.XLOOKUP($B486,$B$114:$B$212,_xlfn.XLOOKUP(O$219,$D$5:$AO$5,$D$114:$AO$212))</f>
        <v>67.770999999999987</v>
      </c>
      <c r="P486" s="304">
        <f t="array" ref="P486">_xlfn.XLOOKUP($B486,$B$114:$B$212,_xlfn.XLOOKUP(P$219,$D$5:$AO$5,$D$114:$AO$212))</f>
        <v>71.975330560695767</v>
      </c>
      <c r="Q486" s="304">
        <f t="array" ref="Q486">_xlfn.XLOOKUP($B486,$B$114:$B$212,_xlfn.XLOOKUP(Q$219,$D$5:$AO$5,$D$114:$AO$212))</f>
        <v>62.523407335011548</v>
      </c>
      <c r="R486" s="304">
        <f t="array" ref="R486">_xlfn.XLOOKUP($B486,$B$114:$B$212,_xlfn.XLOOKUP(R$219,$D$5:$AO$5,$D$114:$AO$212))</f>
        <v>77.875587870463605</v>
      </c>
      <c r="S486" s="304">
        <f t="array" ref="S486">_xlfn.XLOOKUP($B486,$B$114:$B$212,_xlfn.XLOOKUP(S$219,$D$5:$AO$5,$D$114:$AO$212))</f>
        <v>85.192643213657931</v>
      </c>
      <c r="T486" s="304">
        <f t="array" ref="T486">_xlfn.XLOOKUP($B486,$B$114:$B$212,_xlfn.XLOOKUP(T$219,$D$5:$AO$5,$D$114:$AO$212))</f>
        <v>94.850769889825486</v>
      </c>
      <c r="U486" s="304">
        <f t="array" ref="U486">_xlfn.XLOOKUP($B486,$B$114:$B$212,_xlfn.XLOOKUP(U$219,$D$5:$AO$5,$D$114:$AO$212))</f>
        <v>97.430612638078145</v>
      </c>
      <c r="V486" s="304">
        <f t="array" ref="V486">_xlfn.XLOOKUP($B486,$B$114:$B$212,_xlfn.XLOOKUP(V$219,$D$5:$AO$5,$D$114:$AO$212))</f>
        <v>105.0039439140083</v>
      </c>
      <c r="W486" s="304">
        <f t="array" ref="W486">_xlfn.XLOOKUP($B486,$B$114:$B$212,_xlfn.XLOOKUP(W$219,$D$5:$AO$5,$D$114:$AO$212))</f>
        <v>103.4607977187525</v>
      </c>
      <c r="X486" s="304">
        <f t="array" ref="X486">_xlfn.XLOOKUP($B486,$B$114:$B$212,_xlfn.XLOOKUP(X$219,$D$5:$AO$5,$D$114:$AO$212))</f>
        <v>109.3766955421446</v>
      </c>
      <c r="Y486" s="304">
        <f t="array" ref="Y486">_xlfn.XLOOKUP($B486,$B$114:$B$212,_xlfn.XLOOKUP(Y$219,$D$5:$AO$5,$D$114:$AO$212))</f>
        <v>106.864214924259</v>
      </c>
      <c r="Z486" s="304">
        <f t="array" ref="Z486">_xlfn.XLOOKUP($B486,$B$114:$B$212,_xlfn.XLOOKUP(Z$219,$D$5:$AO$5,$D$114:$AO$212))</f>
        <v>113.29260082855851</v>
      </c>
      <c r="AA486" s="305"/>
      <c r="AB486" s="302" t="str">
        <f t="shared" si="280"/>
        <v>Normalised EBIT - old</v>
      </c>
      <c r="AC486" s="303" t="str">
        <f t="shared" si="281"/>
        <v>NZ$m</v>
      </c>
      <c r="AD486" s="303"/>
      <c r="AE486" s="303"/>
      <c r="AF486" s="304">
        <f t="array" ref="AF486">_xlfn.XLOOKUP($B486,$B$114:$B$212,_xlfn.XLOOKUP(AF$219,$D$5:$AO$5,$D$114:$AO$212))</f>
        <v>160.19999999999999</v>
      </c>
      <c r="AG486" s="304">
        <f t="array" ref="AG486">_xlfn.XLOOKUP($B486,$B$114:$B$212,_xlfn.XLOOKUP(AG$219,$D$5:$AO$5,$D$114:$AO$212))</f>
        <v>43.200000000000017</v>
      </c>
      <c r="AH486" s="304">
        <f t="array" ref="AH486">_xlfn.XLOOKUP($B486,$B$114:$B$212,_xlfn.XLOOKUP(AH$219,$D$5:$AO$5,$D$114:$AO$212))</f>
        <v>211.12799999999999</v>
      </c>
      <c r="AI486" s="304">
        <f t="array" ref="AI486">_xlfn.XLOOKUP($B486,$B$114:$B$212,_xlfn.XLOOKUP(AI$219,$D$5:$AO$5,$D$114:$AO$212))</f>
        <v>185.779</v>
      </c>
      <c r="AJ486" s="304">
        <f t="array" ref="AJ486">_xlfn.XLOOKUP($B486,$B$114:$B$212,_xlfn.XLOOKUP(AJ$219,$D$5:$AO$5,$D$114:$AO$212))</f>
        <v>139.74633056069581</v>
      </c>
      <c r="AK486" s="304">
        <f t="array" ref="AK486">_xlfn.XLOOKUP($B486,$B$114:$B$212,_xlfn.XLOOKUP(AK$219,$D$5:$AO$5,$D$114:$AO$212))</f>
        <v>140.39899520547519</v>
      </c>
      <c r="AL486" s="304">
        <f t="array" ref="AL486">_xlfn.XLOOKUP($B486,$B$114:$B$212,_xlfn.XLOOKUP(AL$219,$D$5:$AO$5,$D$114:$AO$212))</f>
        <v>180.0434131034834</v>
      </c>
      <c r="AM486" s="304">
        <f t="array" ref="AM486">_xlfn.XLOOKUP($B486,$B$114:$B$212,_xlfn.XLOOKUP(AM$219,$D$5:$AO$5,$D$114:$AO$212))</f>
        <v>202.43455655208641</v>
      </c>
      <c r="AN486" s="304">
        <f t="array" ref="AN486">_xlfn.XLOOKUP($B486,$B$114:$B$212,_xlfn.XLOOKUP(AN$219,$D$5:$AO$5,$D$114:$AO$212))</f>
        <v>212.83749326089711</v>
      </c>
      <c r="AO486" s="304">
        <f t="array" ref="AO486">_xlfn.XLOOKUP($B486,$B$114:$B$212,_xlfn.XLOOKUP(AO$219,$D$5:$AO$5,$D$114:$AO$212))</f>
        <v>220.15681575281749</v>
      </c>
    </row>
    <row r="487" spans="2:41">
      <c r="B487" s="301" t="s">
        <v>1486</v>
      </c>
      <c r="C487" s="306" t="s">
        <v>1569</v>
      </c>
      <c r="D487" s="307" t="str">
        <f t="array" ref="D487">_xlfn.XLOOKUP($B487,$B$11:$B$109,_xlfn.XLOOKUP(D$219,$D$5:$AO$5,$D$11:$AO$109))</f>
        <v>NZ$m</v>
      </c>
      <c r="E487" s="307"/>
      <c r="F487" s="316"/>
      <c r="G487" s="308">
        <f t="array" ref="G487">_xlfn.XLOOKUP($B487,$B$11:$B$109,_xlfn.XLOOKUP(G$219,$D$5:$AO$5,$D$11:$AO$109))</f>
        <v>76.7</v>
      </c>
      <c r="H487" s="308">
        <f t="array" ref="H487">_xlfn.XLOOKUP($B487,$B$11:$B$109,_xlfn.XLOOKUP(H$219,$D$5:$AO$5,$D$11:$AO$109))</f>
        <v>83.500000000000043</v>
      </c>
      <c r="I487" s="308">
        <f t="array" ref="I487">_xlfn.XLOOKUP($B487,$B$11:$B$109,_xlfn.XLOOKUP(I$219,$D$5:$AO$5,$D$11:$AO$109))</f>
        <v>-11.599999999999994</v>
      </c>
      <c r="J487" s="308">
        <f t="array" ref="J487">_xlfn.XLOOKUP($B487,$B$11:$B$109,_xlfn.XLOOKUP(J$219,$D$5:$AO$5,$D$11:$AO$109))</f>
        <v>54.800000000000004</v>
      </c>
      <c r="K487" s="308">
        <f t="array" ref="K487">_xlfn.XLOOKUP($B487,$B$11:$B$109,_xlfn.XLOOKUP(K$219,$D$5:$AO$5,$D$11:$AO$109))</f>
        <v>116.336</v>
      </c>
      <c r="L487" s="308">
        <f t="array" ref="L487">_xlfn.XLOOKUP($B487,$B$11:$B$109,_xlfn.XLOOKUP(L$219,$D$5:$AO$5,$D$11:$AO$109))</f>
        <v>94.792000000000002</v>
      </c>
      <c r="M487" s="308">
        <f t="array" ref="M487">_xlfn.XLOOKUP($B487,$B$11:$B$109,_xlfn.XLOOKUP(M$219,$D$5:$AO$5,$D$11:$AO$109))</f>
        <v>100.05300000000001</v>
      </c>
      <c r="N487" s="308">
        <f t="array" ref="N487">_xlfn.XLOOKUP($B487,$B$11:$B$109,_xlfn.XLOOKUP(N$219,$D$5:$AO$5,$D$11:$AO$109))</f>
        <v>85.725999999999999</v>
      </c>
      <c r="O487" s="308">
        <f t="array" ref="O487">_xlfn.XLOOKUP($B487,$B$11:$B$109,_xlfn.XLOOKUP(O$219,$D$5:$AO$5,$D$11:$AO$109))</f>
        <v>74.170999999999992</v>
      </c>
      <c r="P487" s="308">
        <f t="array" ref="P487">_xlfn.XLOOKUP($B487,$B$11:$B$109,_xlfn.XLOOKUP(P$219,$D$5:$AO$5,$D$11:$AO$109))</f>
        <v>65.315999999999974</v>
      </c>
      <c r="Q487" s="308">
        <f t="array" ref="Q487">_xlfn.XLOOKUP($B487,$B$11:$B$109,_xlfn.XLOOKUP(Q$219,$D$5:$AO$5,$D$11:$AO$109))</f>
        <v>35.620999999999995</v>
      </c>
      <c r="R487" s="308">
        <f t="array" ref="R487">_xlfn.XLOOKUP($B487,$B$11:$B$109,_xlfn.XLOOKUP(R$219,$D$5:$AO$5,$D$11:$AO$109))</f>
        <v>42.521999999999998</v>
      </c>
      <c r="S487" s="308">
        <f t="array" ref="S487">_xlfn.XLOOKUP($B487,$B$11:$B$109,_xlfn.XLOOKUP(S$219,$D$5:$AO$5,$D$11:$AO$109))</f>
        <v>28.900864922515652</v>
      </c>
      <c r="T487" s="308">
        <f t="array" ref="T487">_xlfn.XLOOKUP($B487,$B$11:$B$109,_xlfn.XLOOKUP(T$219,$D$5:$AO$5,$D$11:$AO$109))</f>
        <v>41.323710342688912</v>
      </c>
      <c r="U487" s="308">
        <f t="array" ref="U487">_xlfn.XLOOKUP($B487,$B$11:$B$109,_xlfn.XLOOKUP(U$219,$D$5:$AO$5,$D$11:$AO$109))</f>
        <v>46.906495887635728</v>
      </c>
      <c r="V487" s="308">
        <f t="array" ref="V487">_xlfn.XLOOKUP($B487,$B$11:$B$109,_xlfn.XLOOKUP(V$219,$D$5:$AO$5,$D$11:$AO$109))</f>
        <v>53.263563888136204</v>
      </c>
      <c r="W487" s="308">
        <f t="array" ref="W487">_xlfn.XLOOKUP($B487,$B$11:$B$109,_xlfn.XLOOKUP(W$219,$D$5:$AO$5,$D$11:$AO$109))</f>
        <v>62.539060199096937</v>
      </c>
      <c r="X487" s="308">
        <f t="array" ref="X487">_xlfn.XLOOKUP($B487,$B$11:$B$109,_xlfn.XLOOKUP(X$219,$D$5:$AO$5,$D$11:$AO$109))</f>
        <v>63.650940404048683</v>
      </c>
      <c r="Y487" s="308">
        <f t="array" ref="Y487">_xlfn.XLOOKUP($B487,$B$11:$B$109,_xlfn.XLOOKUP(Y$219,$D$5:$AO$5,$D$11:$AO$109))</f>
        <v>67.808882904599272</v>
      </c>
      <c r="Z487" s="308">
        <f t="array" ref="Z487">_xlfn.XLOOKUP($B487,$B$11:$B$109,_xlfn.XLOOKUP(Z$219,$D$5:$AO$5,$D$11:$AO$109))</f>
        <v>68.94275001743361</v>
      </c>
      <c r="AA487" s="308"/>
      <c r="AB487" s="306" t="str">
        <f t="shared" si="280"/>
        <v>Normalised EBIT - New</v>
      </c>
      <c r="AC487" s="307" t="str">
        <f t="shared" si="281"/>
        <v>NZ$m</v>
      </c>
      <c r="AD487" s="307"/>
      <c r="AE487" s="307"/>
      <c r="AF487" s="308">
        <f t="array" ref="AF487">_xlfn.XLOOKUP($B487,$B$11:$B$109,_xlfn.XLOOKUP(AF$219,$D$5:$AO$5,$D$11:$AO$109))</f>
        <v>160.20000000000005</v>
      </c>
      <c r="AG487" s="308">
        <f t="array" ref="AG487">_xlfn.XLOOKUP($B487,$B$11:$B$109,_xlfn.XLOOKUP(AG$219,$D$5:$AO$5,$D$11:$AO$109))</f>
        <v>43.20000000000001</v>
      </c>
      <c r="AH487" s="308">
        <f t="array" ref="AH487">_xlfn.XLOOKUP($B487,$B$11:$B$109,_xlfn.XLOOKUP(AH$219,$D$5:$AO$5,$D$11:$AO$109))</f>
        <v>211.12799999999999</v>
      </c>
      <c r="AI487" s="308">
        <f t="array" ref="AI487">_xlfn.XLOOKUP($B487,$B$11:$B$109,_xlfn.XLOOKUP(AI$219,$D$5:$AO$5,$D$11:$AO$109))</f>
        <v>185.779</v>
      </c>
      <c r="AJ487" s="308">
        <f t="array" ref="AJ487">_xlfn.XLOOKUP($B487,$B$11:$B$109,_xlfn.XLOOKUP(AJ$219,$D$5:$AO$5,$D$11:$AO$109))</f>
        <v>139.48699999999997</v>
      </c>
      <c r="AK487" s="308">
        <f t="array" ref="AK487">_xlfn.XLOOKUP($B487,$B$11:$B$109,_xlfn.XLOOKUP(AK$219,$D$5:$AO$5,$D$11:$AO$109))</f>
        <v>78.143000000000001</v>
      </c>
      <c r="AL487" s="308">
        <f t="array" ref="AL487">_xlfn.XLOOKUP($B487,$B$11:$B$109,_xlfn.XLOOKUP(AL$219,$D$5:$AO$5,$D$11:$AO$109))</f>
        <v>70.224575265204564</v>
      </c>
      <c r="AM487" s="308">
        <f t="array" ref="AM487">_xlfn.XLOOKUP($B487,$B$11:$B$109,_xlfn.XLOOKUP(AM$219,$D$5:$AO$5,$D$11:$AO$109))</f>
        <v>100.17005977577193</v>
      </c>
      <c r="AN487" s="308">
        <f t="array" ref="AN487">_xlfn.XLOOKUP($B487,$B$11:$B$109,_xlfn.XLOOKUP(AN$219,$D$5:$AO$5,$D$11:$AO$109))</f>
        <v>126.19000060314562</v>
      </c>
      <c r="AO487" s="308">
        <f t="array" ref="AO487">_xlfn.XLOOKUP($B487,$B$11:$B$109,_xlfn.XLOOKUP(AO$219,$D$5:$AO$5,$D$11:$AO$109))</f>
        <v>136.75163292203288</v>
      </c>
    </row>
    <row r="488" spans="2:41" hidden="1" outlineLevel="1">
      <c r="B488" s="301"/>
      <c r="C488" s="309" t="s">
        <v>1510</v>
      </c>
      <c r="D488" s="303" t="s">
        <v>88</v>
      </c>
      <c r="E488" s="303"/>
      <c r="F488" s="303"/>
      <c r="G488" s="310" t="s">
        <v>967</v>
      </c>
      <c r="H488" s="310" t="s">
        <v>967</v>
      </c>
      <c r="I488" s="310">
        <f t="shared" ref="I488:Z488" si="298">I487/G487-1</f>
        <v>-1.151238591916558</v>
      </c>
      <c r="J488" s="310">
        <f t="shared" si="298"/>
        <v>-0.34371257485029971</v>
      </c>
      <c r="K488" s="310">
        <f t="shared" si="298"/>
        <v>-11.028965517241383</v>
      </c>
      <c r="L488" s="310">
        <f t="shared" si="298"/>
        <v>0.72978102189781002</v>
      </c>
      <c r="M488" s="310">
        <f t="shared" si="298"/>
        <v>-0.13996527300233796</v>
      </c>
      <c r="N488" s="310">
        <f t="shared" si="298"/>
        <v>-9.5640982361380744E-2</v>
      </c>
      <c r="O488" s="310">
        <f t="shared" si="298"/>
        <v>-0.25868289806402622</v>
      </c>
      <c r="P488" s="310">
        <f t="shared" si="298"/>
        <v>-0.23808412850243832</v>
      </c>
      <c r="Q488" s="310">
        <f t="shared" si="298"/>
        <v>-0.51974491378031851</v>
      </c>
      <c r="R488" s="310">
        <f t="shared" si="298"/>
        <v>-0.34898034172331416</v>
      </c>
      <c r="S488" s="310">
        <f t="shared" si="298"/>
        <v>-0.18865655308622287</v>
      </c>
      <c r="T488" s="310">
        <f t="shared" si="298"/>
        <v>-2.8180463226355479E-2</v>
      </c>
      <c r="U488" s="310">
        <f t="shared" si="298"/>
        <v>0.62301356770442262</v>
      </c>
      <c r="V488" s="310">
        <f t="shared" si="298"/>
        <v>0.28893469261188254</v>
      </c>
      <c r="W488" s="310">
        <f t="shared" si="298"/>
        <v>0.33327077658729687</v>
      </c>
      <c r="X488" s="310">
        <f t="shared" si="298"/>
        <v>0.19501842831486038</v>
      </c>
      <c r="Y488" s="310">
        <f t="shared" si="298"/>
        <v>8.426450107701533E-2</v>
      </c>
      <c r="Z488" s="310">
        <f t="shared" si="298"/>
        <v>8.3137964337889558E-2</v>
      </c>
      <c r="AA488" s="311"/>
      <c r="AB488" s="309" t="str">
        <f t="shared" si="280"/>
        <v>- Growth</v>
      </c>
      <c r="AC488" s="303" t="str">
        <f t="shared" si="281"/>
        <v>%</v>
      </c>
      <c r="AD488" s="303"/>
      <c r="AE488" s="303"/>
      <c r="AF488" s="310" t="s">
        <v>967</v>
      </c>
      <c r="AG488" s="310">
        <f t="shared" ref="AG488:AO488" si="299">AG487/AF487-1</f>
        <v>-0.7303370786516854</v>
      </c>
      <c r="AH488" s="310">
        <f t="shared" si="299"/>
        <v>3.8872222222222206</v>
      </c>
      <c r="AI488" s="310">
        <f t="shared" si="299"/>
        <v>-0.1200646053578871</v>
      </c>
      <c r="AJ488" s="310">
        <f t="shared" si="299"/>
        <v>-0.24917778650977795</v>
      </c>
      <c r="AK488" s="310">
        <f t="shared" si="299"/>
        <v>-0.43978291883831455</v>
      </c>
      <c r="AL488" s="310">
        <f t="shared" si="299"/>
        <v>-0.10133248959977781</v>
      </c>
      <c r="AM488" s="310">
        <f t="shared" si="299"/>
        <v>0.42642457284330493</v>
      </c>
      <c r="AN488" s="310">
        <f t="shared" si="299"/>
        <v>0.25975766497113661</v>
      </c>
      <c r="AO488" s="310">
        <f t="shared" si="299"/>
        <v>8.3696269660085809E-2</v>
      </c>
    </row>
    <row r="489" spans="2:41" collapsed="1">
      <c r="B489" s="301"/>
      <c r="C489" s="309" t="s">
        <v>1511</v>
      </c>
      <c r="D489" s="303" t="s">
        <v>88</v>
      </c>
      <c r="E489" s="303"/>
      <c r="F489" s="303"/>
      <c r="G489" s="310">
        <f t="shared" ref="G489:Z489" si="300">IFERROR(ROUND( G487 / G486,2) - 1, 0)</f>
        <v>0</v>
      </c>
      <c r="H489" s="310">
        <f t="shared" si="300"/>
        <v>0</v>
      </c>
      <c r="I489" s="310">
        <f t="shared" si="300"/>
        <v>0</v>
      </c>
      <c r="J489" s="310">
        <f t="shared" si="300"/>
        <v>0</v>
      </c>
      <c r="K489" s="310">
        <f t="shared" si="300"/>
        <v>0</v>
      </c>
      <c r="L489" s="310">
        <f t="shared" si="300"/>
        <v>0</v>
      </c>
      <c r="M489" s="310">
        <f t="shared" si="300"/>
        <v>0</v>
      </c>
      <c r="N489" s="310">
        <f t="shared" si="300"/>
        <v>0</v>
      </c>
      <c r="O489" s="310">
        <f t="shared" si="300"/>
        <v>9.000000000000008E-2</v>
      </c>
      <c r="P489" s="310">
        <f t="shared" si="300"/>
        <v>-8.9999999999999969E-2</v>
      </c>
      <c r="Q489" s="310">
        <f t="shared" si="300"/>
        <v>-0.43000000000000005</v>
      </c>
      <c r="R489" s="310">
        <f t="shared" si="300"/>
        <v>-0.44999999999999996</v>
      </c>
      <c r="S489" s="310">
        <f t="shared" si="300"/>
        <v>-0.65999999999999992</v>
      </c>
      <c r="T489" s="310">
        <f t="shared" si="300"/>
        <v>-0.56000000000000005</v>
      </c>
      <c r="U489" s="310">
        <f t="shared" si="300"/>
        <v>-0.52</v>
      </c>
      <c r="V489" s="310">
        <f t="shared" si="300"/>
        <v>-0.49</v>
      </c>
      <c r="W489" s="310">
        <f t="shared" si="300"/>
        <v>-0.4</v>
      </c>
      <c r="X489" s="310">
        <f t="shared" si="300"/>
        <v>-0.42000000000000004</v>
      </c>
      <c r="Y489" s="310">
        <f t="shared" si="300"/>
        <v>-0.37</v>
      </c>
      <c r="Z489" s="310">
        <f t="shared" si="300"/>
        <v>-0.39</v>
      </c>
      <c r="AA489" s="310"/>
      <c r="AB489" s="309" t="str">
        <f t="shared" si="280"/>
        <v>- Revision</v>
      </c>
      <c r="AC489" s="303" t="str">
        <f t="shared" si="281"/>
        <v>%</v>
      </c>
      <c r="AD489" s="303"/>
      <c r="AE489" s="303"/>
      <c r="AF489" s="310">
        <f t="shared" ref="AF489:AO489" si="301">IFERROR(ROUND( AF487 / AF486,2) - 1, 0)</f>
        <v>0</v>
      </c>
      <c r="AG489" s="310">
        <f t="shared" si="301"/>
        <v>0</v>
      </c>
      <c r="AH489" s="310">
        <f t="shared" si="301"/>
        <v>0</v>
      </c>
      <c r="AI489" s="310">
        <f t="shared" si="301"/>
        <v>0</v>
      </c>
      <c r="AJ489" s="310">
        <f t="shared" si="301"/>
        <v>0</v>
      </c>
      <c r="AK489" s="310">
        <f t="shared" si="301"/>
        <v>-0.43999999999999995</v>
      </c>
      <c r="AL489" s="310">
        <f t="shared" si="301"/>
        <v>-0.61</v>
      </c>
      <c r="AM489" s="310">
        <f t="shared" si="301"/>
        <v>-0.51</v>
      </c>
      <c r="AN489" s="310">
        <f t="shared" si="301"/>
        <v>-0.41000000000000003</v>
      </c>
      <c r="AO489" s="310">
        <f t="shared" si="301"/>
        <v>-0.38</v>
      </c>
    </row>
    <row r="490" spans="2:41">
      <c r="B490" s="301" t="s">
        <v>1487</v>
      </c>
      <c r="C490" s="302" t="s">
        <v>1570</v>
      </c>
      <c r="D490" s="303" t="str">
        <f t="array" ref="D490">_xlfn.XLOOKUP($B490,$B$114:$B$212,_xlfn.XLOOKUP(D$219,$D$5:$AO$5,$D$114:$AO$212))</f>
        <v>NZ$m</v>
      </c>
      <c r="E490" s="303"/>
      <c r="F490" s="303"/>
      <c r="G490" s="304">
        <f t="array" ref="G490">_xlfn.XLOOKUP($B490,$B$114:$B$212,_xlfn.XLOOKUP(G$219,$D$5:$AO$5,$D$114:$AO$212))</f>
        <v>-14</v>
      </c>
      <c r="H490" s="304">
        <f t="array" ref="H490">_xlfn.XLOOKUP($B490,$B$114:$B$212,_xlfn.XLOOKUP(H$219,$D$5:$AO$5,$D$114:$AO$212))</f>
        <v>-18.5</v>
      </c>
      <c r="I490" s="304">
        <f t="array" ref="I490">_xlfn.XLOOKUP($B490,$B$114:$B$212,_xlfn.XLOOKUP(I$219,$D$5:$AO$5,$D$114:$AO$212))</f>
        <v>-17.2</v>
      </c>
      <c r="J490" s="304">
        <f t="array" ref="J490">_xlfn.XLOOKUP($B490,$B$114:$B$212,_xlfn.XLOOKUP(J$219,$D$5:$AO$5,$D$114:$AO$212))</f>
        <v>-17.8</v>
      </c>
      <c r="K490" s="304">
        <f t="array" ref="K490">_xlfn.XLOOKUP($B490,$B$114:$B$212,_xlfn.XLOOKUP(K$219,$D$5:$AO$5,$D$114:$AO$212))</f>
        <v>-15.848000000000001</v>
      </c>
      <c r="L490" s="304">
        <f t="array" ref="L490">_xlfn.XLOOKUP($B490,$B$114:$B$212,_xlfn.XLOOKUP(L$219,$D$5:$AO$5,$D$114:$AO$212))</f>
        <v>-12.278</v>
      </c>
      <c r="M490" s="304">
        <f t="array" ref="M490">_xlfn.XLOOKUP($B490,$B$114:$B$212,_xlfn.XLOOKUP(M$219,$D$5:$AO$5,$D$114:$AO$212))</f>
        <v>-8.7149999999999999</v>
      </c>
      <c r="N490" s="304">
        <f t="array" ref="N490">_xlfn.XLOOKUP($B490,$B$114:$B$212,_xlfn.XLOOKUP(N$219,$D$5:$AO$5,$D$114:$AO$212))</f>
        <v>-7.2810000000000006</v>
      </c>
      <c r="O490" s="304">
        <f t="array" ref="O490">_xlfn.XLOOKUP($B490,$B$114:$B$212,_xlfn.XLOOKUP(O$219,$D$5:$AO$5,$D$114:$AO$212))</f>
        <v>-12.3</v>
      </c>
      <c r="P490" s="304">
        <f t="array" ref="P490">_xlfn.XLOOKUP($B490,$B$114:$B$212,_xlfn.XLOOKUP(P$219,$D$5:$AO$5,$D$114:$AO$212))</f>
        <v>-31.25881405479452</v>
      </c>
      <c r="Q490" s="304">
        <f t="array" ref="Q490">_xlfn.XLOOKUP($B490,$B$114:$B$212,_xlfn.XLOOKUP(Q$219,$D$5:$AO$5,$D$114:$AO$212))</f>
        <v>-32.233920838684099</v>
      </c>
      <c r="R490" s="304">
        <f t="array" ref="R490">_xlfn.XLOOKUP($B490,$B$114:$B$212,_xlfn.XLOOKUP(R$219,$D$5:$AO$5,$D$114:$AO$212))</f>
        <v>-31.994538809275099</v>
      </c>
      <c r="S490" s="304">
        <f t="array" ref="S490">_xlfn.XLOOKUP($B490,$B$114:$B$212,_xlfn.XLOOKUP(S$219,$D$5:$AO$5,$D$114:$AO$212))</f>
        <v>-28.250639851242578</v>
      </c>
      <c r="T490" s="304">
        <f t="array" ref="T490">_xlfn.XLOOKUP($B490,$B$114:$B$212,_xlfn.XLOOKUP(T$219,$D$5:$AO$5,$D$114:$AO$212))</f>
        <v>-27.42042096632802</v>
      </c>
      <c r="U490" s="304">
        <f t="array" ref="U490">_xlfn.XLOOKUP($B490,$B$114:$B$212,_xlfn.XLOOKUP(U$219,$D$5:$AO$5,$D$114:$AO$212))</f>
        <v>-27.597374683673809</v>
      </c>
      <c r="V490" s="304">
        <f t="array" ref="V490">_xlfn.XLOOKUP($B490,$B$114:$B$212,_xlfn.XLOOKUP(V$219,$D$5:$AO$5,$D$114:$AO$212))</f>
        <v>-26.996398200643931</v>
      </c>
      <c r="W490" s="304">
        <f t="array" ref="W490">_xlfn.XLOOKUP($B490,$B$114:$B$212,_xlfn.XLOOKUP(W$219,$D$5:$AO$5,$D$114:$AO$212))</f>
        <v>-21.885638311676509</v>
      </c>
      <c r="X490" s="304">
        <f t="array" ref="X490">_xlfn.XLOOKUP($B490,$B$114:$B$212,_xlfn.XLOOKUP(X$219,$D$5:$AO$5,$D$114:$AO$212))</f>
        <v>-21.180279712643351</v>
      </c>
      <c r="Y490" s="304">
        <f t="array" ref="Y490">_xlfn.XLOOKUP($B490,$B$114:$B$212,_xlfn.XLOOKUP(Y$219,$D$5:$AO$5,$D$114:$AO$212))</f>
        <v>-21.291922319684051</v>
      </c>
      <c r="Z490" s="304">
        <f t="array" ref="Z490">_xlfn.XLOOKUP($B490,$B$114:$B$212,_xlfn.XLOOKUP(Z$219,$D$5:$AO$5,$D$114:$AO$212))</f>
        <v>-20.683186103560701</v>
      </c>
      <c r="AA490" s="305"/>
      <c r="AB490" s="302" t="str">
        <f t="shared" si="280"/>
        <v>Net Finance Costs - old</v>
      </c>
      <c r="AC490" s="303" t="str">
        <f t="shared" si="281"/>
        <v>NZ$m</v>
      </c>
      <c r="AD490" s="303"/>
      <c r="AE490" s="303"/>
      <c r="AF490" s="304">
        <f t="array" ref="AF490">_xlfn.XLOOKUP($B490,$B$114:$B$212,_xlfn.XLOOKUP(AF$219,$D$5:$AO$5,$D$114:$AO$212))</f>
        <v>-32.5</v>
      </c>
      <c r="AG490" s="304">
        <f t="array" ref="AG490">_xlfn.XLOOKUP($B490,$B$114:$B$212,_xlfn.XLOOKUP(AG$219,$D$5:$AO$5,$D$114:$AO$212))</f>
        <v>-35</v>
      </c>
      <c r="AH490" s="304">
        <f t="array" ref="AH490">_xlfn.XLOOKUP($B490,$B$114:$B$212,_xlfn.XLOOKUP(AH$219,$D$5:$AO$5,$D$114:$AO$212))</f>
        <v>-28.126000000000001</v>
      </c>
      <c r="AI490" s="304">
        <f t="array" ref="AI490">_xlfn.XLOOKUP($B490,$B$114:$B$212,_xlfn.XLOOKUP(AI$219,$D$5:$AO$5,$D$114:$AO$212))</f>
        <v>-15.996</v>
      </c>
      <c r="AJ490" s="304">
        <f t="array" ref="AJ490">_xlfn.XLOOKUP($B490,$B$114:$B$212,_xlfn.XLOOKUP(AJ$219,$D$5:$AO$5,$D$114:$AO$212))</f>
        <v>-43.558814054794517</v>
      </c>
      <c r="AK490" s="304">
        <f t="array" ref="AK490">_xlfn.XLOOKUP($B490,$B$114:$B$212,_xlfn.XLOOKUP(AK$219,$D$5:$AO$5,$D$114:$AO$212))</f>
        <v>-64.228459647959198</v>
      </c>
      <c r="AL490" s="304">
        <f t="array" ref="AL490">_xlfn.XLOOKUP($B490,$B$114:$B$212,_xlfn.XLOOKUP(AL$219,$D$5:$AO$5,$D$114:$AO$212))</f>
        <v>-55.671060817570613</v>
      </c>
      <c r="AM490" s="304">
        <f t="array" ref="AM490">_xlfn.XLOOKUP($B490,$B$114:$B$212,_xlfn.XLOOKUP(AM$219,$D$5:$AO$5,$D$114:$AO$212))</f>
        <v>-54.59377288431773</v>
      </c>
      <c r="AN490" s="304">
        <f t="array" ref="AN490">_xlfn.XLOOKUP($B490,$B$114:$B$212,_xlfn.XLOOKUP(AN$219,$D$5:$AO$5,$D$114:$AO$212))</f>
        <v>-43.06591802431987</v>
      </c>
      <c r="AO490" s="304">
        <f t="array" ref="AO490">_xlfn.XLOOKUP($B490,$B$114:$B$212,_xlfn.XLOOKUP(AO$219,$D$5:$AO$5,$D$114:$AO$212))</f>
        <v>-41.975108423244748</v>
      </c>
    </row>
    <row r="491" spans="2:41">
      <c r="B491" s="301" t="s">
        <v>1487</v>
      </c>
      <c r="C491" s="306" t="s">
        <v>1571</v>
      </c>
      <c r="D491" s="307" t="str">
        <f t="array" ref="D491">_xlfn.XLOOKUP($B491,$B$11:$B$109,_xlfn.XLOOKUP(D$219,$D$5:$AO$5,$D$11:$AO$109))</f>
        <v>NZ$m</v>
      </c>
      <c r="E491" s="307"/>
      <c r="F491" s="307"/>
      <c r="G491" s="308">
        <f t="array" ref="G491">_xlfn.XLOOKUP($B491,$B$11:$B$109,_xlfn.XLOOKUP(G$219,$D$5:$AO$5,$D$11:$AO$109))</f>
        <v>-14</v>
      </c>
      <c r="H491" s="308">
        <f t="array" ref="H491">_xlfn.XLOOKUP($B491,$B$11:$B$109,_xlfn.XLOOKUP(H$219,$D$5:$AO$5,$D$11:$AO$109))</f>
        <v>-18.5</v>
      </c>
      <c r="I491" s="308">
        <f t="array" ref="I491">_xlfn.XLOOKUP($B491,$B$11:$B$109,_xlfn.XLOOKUP(I$219,$D$5:$AO$5,$D$11:$AO$109))</f>
        <v>-17.2</v>
      </c>
      <c r="J491" s="308">
        <f t="array" ref="J491">_xlfn.XLOOKUP($B491,$B$11:$B$109,_xlfn.XLOOKUP(J$219,$D$5:$AO$5,$D$11:$AO$109))</f>
        <v>-17.8</v>
      </c>
      <c r="K491" s="308">
        <f t="array" ref="K491">_xlfn.XLOOKUP($B491,$B$11:$B$109,_xlfn.XLOOKUP(K$219,$D$5:$AO$5,$D$11:$AO$109))</f>
        <v>-15.848000000000001</v>
      </c>
      <c r="L491" s="308">
        <f t="array" ref="L491">_xlfn.XLOOKUP($B491,$B$11:$B$109,_xlfn.XLOOKUP(L$219,$D$5:$AO$5,$D$11:$AO$109))</f>
        <v>-12.278</v>
      </c>
      <c r="M491" s="308">
        <f t="array" ref="M491">_xlfn.XLOOKUP($B491,$B$11:$B$109,_xlfn.XLOOKUP(M$219,$D$5:$AO$5,$D$11:$AO$109))</f>
        <v>-8.7149999999999999</v>
      </c>
      <c r="N491" s="308">
        <f t="array" ref="N491">_xlfn.XLOOKUP($B491,$B$11:$B$109,_xlfn.XLOOKUP(N$219,$D$5:$AO$5,$D$11:$AO$109))</f>
        <v>-7.2850000000000001</v>
      </c>
      <c r="O491" s="308">
        <f t="array" ref="O491">_xlfn.XLOOKUP($B491,$B$11:$B$109,_xlfn.XLOOKUP(O$219,$D$5:$AO$5,$D$11:$AO$109))</f>
        <v>-12.3</v>
      </c>
      <c r="P491" s="308">
        <f t="array" ref="P491">_xlfn.XLOOKUP($B491,$B$11:$B$109,_xlfn.XLOOKUP(P$219,$D$5:$AO$5,$D$11:$AO$109))</f>
        <v>-14.099999999999998</v>
      </c>
      <c r="Q491" s="308">
        <f t="array" ref="Q491">_xlfn.XLOOKUP($B491,$B$11:$B$109,_xlfn.XLOOKUP(Q$219,$D$5:$AO$5,$D$11:$AO$109))</f>
        <v>-6.3</v>
      </c>
      <c r="R491" s="308">
        <f t="array" ref="R491">_xlfn.XLOOKUP($B491,$B$11:$B$109,_xlfn.XLOOKUP(R$219,$D$5:$AO$5,$D$11:$AO$109))</f>
        <v>-20.3</v>
      </c>
      <c r="S491" s="308">
        <f t="array" ref="S491">_xlfn.XLOOKUP($B491,$B$11:$B$109,_xlfn.XLOOKUP(S$219,$D$5:$AO$5,$D$11:$AO$109))</f>
        <v>-15.443709808219181</v>
      </c>
      <c r="T491" s="308">
        <f t="array" ref="T491">_xlfn.XLOOKUP($B491,$B$11:$B$109,_xlfn.XLOOKUP(T$219,$D$5:$AO$5,$D$11:$AO$109))</f>
        <v>-11.280404239932054</v>
      </c>
      <c r="U491" s="308">
        <f t="array" ref="U491">_xlfn.XLOOKUP($B491,$B$11:$B$109,_xlfn.XLOOKUP(U$219,$D$5:$AO$5,$D$11:$AO$109))</f>
        <v>-11.181148228190075</v>
      </c>
      <c r="V491" s="308">
        <f t="array" ref="V491">_xlfn.XLOOKUP($B491,$B$11:$B$109,_xlfn.XLOOKUP(V$219,$D$5:$AO$5,$D$11:$AO$109))</f>
        <v>-10.75403858181058</v>
      </c>
      <c r="W491" s="308">
        <f t="array" ref="W491">_xlfn.XLOOKUP($B491,$B$11:$B$109,_xlfn.XLOOKUP(W$219,$D$5:$AO$5,$D$11:$AO$109))</f>
        <v>-10.229402819888403</v>
      </c>
      <c r="X491" s="308">
        <f t="array" ref="X491">_xlfn.XLOOKUP($B491,$B$11:$B$109,_xlfn.XLOOKUP(X$219,$D$5:$AO$5,$D$11:$AO$109))</f>
        <v>-9.4215184320240404</v>
      </c>
      <c r="Y491" s="308">
        <f t="array" ref="Y491">_xlfn.XLOOKUP($B491,$B$11:$B$109,_xlfn.XLOOKUP(Y$219,$D$5:$AO$5,$D$11:$AO$109))</f>
        <v>-8.8306942874042189</v>
      </c>
      <c r="Z491" s="308">
        <f t="array" ref="Z491">_xlfn.XLOOKUP($B491,$B$11:$B$109,_xlfn.XLOOKUP(Z$219,$D$5:$AO$5,$D$11:$AO$109))</f>
        <v>-7.8766994818097498</v>
      </c>
      <c r="AA491" s="308"/>
      <c r="AB491" s="306" t="str">
        <f t="shared" si="280"/>
        <v>Net Finance Costs - New</v>
      </c>
      <c r="AC491" s="307" t="str">
        <f t="shared" si="281"/>
        <v>NZ$m</v>
      </c>
      <c r="AD491" s="307"/>
      <c r="AE491" s="307"/>
      <c r="AF491" s="308">
        <f t="array" ref="AF491">_xlfn.XLOOKUP($B491,$B$11:$B$109,_xlfn.XLOOKUP(AF$219,$D$5:$AO$5,$D$11:$AO$109))</f>
        <v>-32.5</v>
      </c>
      <c r="AG491" s="308">
        <f t="array" ref="AG491">_xlfn.XLOOKUP($B491,$B$11:$B$109,_xlfn.XLOOKUP(AG$219,$D$5:$AO$5,$D$11:$AO$109))</f>
        <v>-35</v>
      </c>
      <c r="AH491" s="308">
        <f t="array" ref="AH491">_xlfn.XLOOKUP($B491,$B$11:$B$109,_xlfn.XLOOKUP(AH$219,$D$5:$AO$5,$D$11:$AO$109))</f>
        <v>-28.126000000000001</v>
      </c>
      <c r="AI491" s="308">
        <f t="array" ref="AI491">_xlfn.XLOOKUP($B491,$B$11:$B$109,_xlfn.XLOOKUP(AI$219,$D$5:$AO$5,$D$11:$AO$109))</f>
        <v>-16</v>
      </c>
      <c r="AJ491" s="308">
        <f t="array" ref="AJ491">_xlfn.XLOOKUP($B491,$B$11:$B$109,_xlfn.XLOOKUP(AJ$219,$D$5:$AO$5,$D$11:$AO$109))</f>
        <v>-26.4</v>
      </c>
      <c r="AK491" s="308">
        <f t="array" ref="AK491">_xlfn.XLOOKUP($B491,$B$11:$B$109,_xlfn.XLOOKUP(AK$219,$D$5:$AO$5,$D$11:$AO$109))</f>
        <v>-26.6</v>
      </c>
      <c r="AL491" s="308">
        <f t="array" ref="AL491">_xlfn.XLOOKUP($B491,$B$11:$B$109,_xlfn.XLOOKUP(AL$219,$D$5:$AO$5,$D$11:$AO$109))</f>
        <v>-26.724114048151236</v>
      </c>
      <c r="AM491" s="308">
        <f t="array" ref="AM491">_xlfn.XLOOKUP($B491,$B$11:$B$109,_xlfn.XLOOKUP(AM$219,$D$5:$AO$5,$D$11:$AO$109))</f>
        <v>-21.935186810000655</v>
      </c>
      <c r="AN491" s="308">
        <f t="array" ref="AN491">_xlfn.XLOOKUP($B491,$B$11:$B$109,_xlfn.XLOOKUP(AN$219,$D$5:$AO$5,$D$11:$AO$109))</f>
        <v>-19.650921251912443</v>
      </c>
      <c r="AO491" s="308">
        <f t="array" ref="AO491">_xlfn.XLOOKUP($B491,$B$11:$B$109,_xlfn.XLOOKUP(AO$219,$D$5:$AO$5,$D$11:$AO$109))</f>
        <v>-16.707393769213969</v>
      </c>
    </row>
    <row r="492" spans="2:41" hidden="1" outlineLevel="1">
      <c r="B492" s="301"/>
      <c r="C492" s="309" t="s">
        <v>1510</v>
      </c>
      <c r="D492" s="303" t="s">
        <v>88</v>
      </c>
      <c r="E492" s="303"/>
      <c r="F492" s="303"/>
      <c r="G492" s="310" t="s">
        <v>967</v>
      </c>
      <c r="H492" s="310" t="s">
        <v>967</v>
      </c>
      <c r="I492" s="310">
        <f t="shared" ref="I492:Z492" si="302">I491/G491-1</f>
        <v>0.22857142857142843</v>
      </c>
      <c r="J492" s="310">
        <f t="shared" si="302"/>
        <v>-3.7837837837837784E-2</v>
      </c>
      <c r="K492" s="310">
        <f t="shared" si="302"/>
        <v>-7.8604651162790584E-2</v>
      </c>
      <c r="L492" s="310">
        <f t="shared" si="302"/>
        <v>-0.31022471910112359</v>
      </c>
      <c r="M492" s="310">
        <f t="shared" si="302"/>
        <v>-0.45008833922261493</v>
      </c>
      <c r="N492" s="310">
        <f t="shared" si="302"/>
        <v>-0.40666232285388504</v>
      </c>
      <c r="O492" s="310">
        <f t="shared" si="302"/>
        <v>0.41135972461273673</v>
      </c>
      <c r="P492" s="310">
        <f t="shared" si="302"/>
        <v>0.93548387096774155</v>
      </c>
      <c r="Q492" s="310">
        <f t="shared" si="302"/>
        <v>-0.48780487804878048</v>
      </c>
      <c r="R492" s="310">
        <f t="shared" si="302"/>
        <v>0.43971631205673778</v>
      </c>
      <c r="S492" s="310">
        <f t="shared" si="302"/>
        <v>1.4513825092411397</v>
      </c>
      <c r="T492" s="310">
        <f t="shared" si="302"/>
        <v>-0.44431506207231264</v>
      </c>
      <c r="U492" s="310">
        <f t="shared" si="302"/>
        <v>-0.27600632444935991</v>
      </c>
      <c r="V492" s="310">
        <f t="shared" si="302"/>
        <v>-4.6661949955495996E-2</v>
      </c>
      <c r="W492" s="310">
        <f t="shared" si="302"/>
        <v>-8.5120542978056379E-2</v>
      </c>
      <c r="X492" s="310">
        <f t="shared" si="302"/>
        <v>-0.12390881245677965</v>
      </c>
      <c r="Y492" s="310">
        <f t="shared" si="302"/>
        <v>-0.13673413366465148</v>
      </c>
      <c r="Z492" s="310">
        <f t="shared" si="302"/>
        <v>-0.16396708888913303</v>
      </c>
      <c r="AA492" s="311"/>
      <c r="AB492" s="309" t="str">
        <f t="shared" si="280"/>
        <v>- Growth</v>
      </c>
      <c r="AC492" s="303" t="str">
        <f t="shared" si="281"/>
        <v>%</v>
      </c>
      <c r="AD492" s="303"/>
      <c r="AE492" s="303"/>
      <c r="AF492" s="310" t="s">
        <v>967</v>
      </c>
      <c r="AG492" s="310">
        <f t="shared" ref="AG492:AO492" si="303">AG491/AF491-1</f>
        <v>7.6923076923076872E-2</v>
      </c>
      <c r="AH492" s="310">
        <f t="shared" si="303"/>
        <v>-0.19640000000000002</v>
      </c>
      <c r="AI492" s="310">
        <f t="shared" si="303"/>
        <v>-0.4311313375524426</v>
      </c>
      <c r="AJ492" s="310">
        <f t="shared" si="303"/>
        <v>0.64999999999999991</v>
      </c>
      <c r="AK492" s="310">
        <f t="shared" si="303"/>
        <v>7.5757575757577911E-3</v>
      </c>
      <c r="AL492" s="310">
        <f t="shared" si="303"/>
        <v>4.6659416598209269E-3</v>
      </c>
      <c r="AM492" s="310">
        <f t="shared" si="303"/>
        <v>-0.17919872776781076</v>
      </c>
      <c r="AN492" s="310">
        <f t="shared" si="303"/>
        <v>-0.10413704601078544</v>
      </c>
      <c r="AO492" s="310">
        <f t="shared" si="303"/>
        <v>-0.1497908136195909</v>
      </c>
    </row>
    <row r="493" spans="2:41" collapsed="1">
      <c r="B493" s="301"/>
      <c r="C493" s="309" t="s">
        <v>1511</v>
      </c>
      <c r="D493" s="303" t="s">
        <v>88</v>
      </c>
      <c r="E493" s="303"/>
      <c r="F493" s="303"/>
      <c r="G493" s="310">
        <f t="shared" ref="G493:Z493" si="304">IFERROR(ROUND( G491 / G490,2) - 1, 0)</f>
        <v>0</v>
      </c>
      <c r="H493" s="310">
        <f t="shared" si="304"/>
        <v>0</v>
      </c>
      <c r="I493" s="310">
        <f t="shared" si="304"/>
        <v>0</v>
      </c>
      <c r="J493" s="310">
        <f t="shared" si="304"/>
        <v>0</v>
      </c>
      <c r="K493" s="310">
        <f t="shared" si="304"/>
        <v>0</v>
      </c>
      <c r="L493" s="310">
        <f t="shared" si="304"/>
        <v>0</v>
      </c>
      <c r="M493" s="310">
        <f t="shared" si="304"/>
        <v>0</v>
      </c>
      <c r="N493" s="310">
        <f t="shared" si="304"/>
        <v>0</v>
      </c>
      <c r="O493" s="310">
        <f t="shared" si="304"/>
        <v>0</v>
      </c>
      <c r="P493" s="310">
        <f t="shared" si="304"/>
        <v>-0.55000000000000004</v>
      </c>
      <c r="Q493" s="310">
        <f t="shared" si="304"/>
        <v>-0.8</v>
      </c>
      <c r="R493" s="310">
        <f t="shared" si="304"/>
        <v>-0.37</v>
      </c>
      <c r="S493" s="310">
        <f t="shared" si="304"/>
        <v>-0.44999999999999996</v>
      </c>
      <c r="T493" s="310">
        <f t="shared" si="304"/>
        <v>-0.59000000000000008</v>
      </c>
      <c r="U493" s="310">
        <f t="shared" si="304"/>
        <v>-0.59000000000000008</v>
      </c>
      <c r="V493" s="310">
        <f t="shared" si="304"/>
        <v>-0.6</v>
      </c>
      <c r="W493" s="310">
        <f t="shared" si="304"/>
        <v>-0.53</v>
      </c>
      <c r="X493" s="310">
        <f t="shared" si="304"/>
        <v>-0.56000000000000005</v>
      </c>
      <c r="Y493" s="310">
        <f t="shared" si="304"/>
        <v>-0.59000000000000008</v>
      </c>
      <c r="Z493" s="310">
        <f t="shared" si="304"/>
        <v>-0.62</v>
      </c>
      <c r="AA493" s="310"/>
      <c r="AB493" s="309" t="str">
        <f t="shared" si="280"/>
        <v>- Revision</v>
      </c>
      <c r="AC493" s="303" t="str">
        <f t="shared" si="281"/>
        <v>%</v>
      </c>
      <c r="AD493" s="303"/>
      <c r="AE493" s="303"/>
      <c r="AF493" s="310">
        <f t="shared" ref="AF493:AO493" si="305">IFERROR(ROUND( AF491 / AF490,2) - 1, 0)</f>
        <v>0</v>
      </c>
      <c r="AG493" s="310">
        <f t="shared" si="305"/>
        <v>0</v>
      </c>
      <c r="AH493" s="310">
        <f t="shared" si="305"/>
        <v>0</v>
      </c>
      <c r="AI493" s="310">
        <f t="shared" si="305"/>
        <v>0</v>
      </c>
      <c r="AJ493" s="310">
        <f t="shared" si="305"/>
        <v>-0.39</v>
      </c>
      <c r="AK493" s="310">
        <f t="shared" si="305"/>
        <v>-0.59000000000000008</v>
      </c>
      <c r="AL493" s="310">
        <f t="shared" si="305"/>
        <v>-0.52</v>
      </c>
      <c r="AM493" s="310">
        <f t="shared" si="305"/>
        <v>-0.6</v>
      </c>
      <c r="AN493" s="310">
        <f t="shared" si="305"/>
        <v>-0.54</v>
      </c>
      <c r="AO493" s="310">
        <f t="shared" si="305"/>
        <v>-0.6</v>
      </c>
    </row>
    <row r="494" spans="2:41">
      <c r="B494" s="301" t="s">
        <v>1488</v>
      </c>
      <c r="C494" s="302" t="s">
        <v>1572</v>
      </c>
      <c r="D494" s="303" t="str">
        <f t="array" ref="D494">_xlfn.XLOOKUP($B494,$B$114:$B$212,_xlfn.XLOOKUP(D$219,$D$5:$AO$5,$D$114:$AO$212))</f>
        <v>NZ$m</v>
      </c>
      <c r="E494" s="303"/>
      <c r="F494" s="303"/>
      <c r="G494" s="304">
        <f t="array" ref="G494">_xlfn.XLOOKUP($B494,$B$114:$B$212,_xlfn.XLOOKUP(G$219,$D$5:$AO$5,$D$114:$AO$212))</f>
        <v>62.699999999999989</v>
      </c>
      <c r="H494" s="304">
        <f t="array" ref="H494">_xlfn.XLOOKUP($B494,$B$114:$B$212,_xlfn.XLOOKUP(H$219,$D$5:$AO$5,$D$114:$AO$212))</f>
        <v>65.000000000000057</v>
      </c>
      <c r="I494" s="304">
        <f t="array" ref="I494">_xlfn.XLOOKUP($B494,$B$114:$B$212,_xlfn.XLOOKUP(I$219,$D$5:$AO$5,$D$114:$AO$212))</f>
        <v>-28.79999999999999</v>
      </c>
      <c r="J494" s="304">
        <f t="array" ref="J494">_xlfn.XLOOKUP($B494,$B$114:$B$212,_xlfn.XLOOKUP(J$219,$D$5:$AO$5,$D$114:$AO$212))</f>
        <v>37</v>
      </c>
      <c r="K494" s="304">
        <f t="array" ref="K494">_xlfn.XLOOKUP($B494,$B$114:$B$212,_xlfn.XLOOKUP(K$219,$D$5:$AO$5,$D$114:$AO$212))</f>
        <v>100.488</v>
      </c>
      <c r="L494" s="304">
        <f t="array" ref="L494">_xlfn.XLOOKUP($B494,$B$114:$B$212,_xlfn.XLOOKUP(L$219,$D$5:$AO$5,$D$114:$AO$212))</f>
        <v>82.513999999999996</v>
      </c>
      <c r="M494" s="304">
        <f t="array" ref="M494">_xlfn.XLOOKUP($B494,$B$114:$B$212,_xlfn.XLOOKUP(M$219,$D$5:$AO$5,$D$114:$AO$212))</f>
        <v>91.338000000000008</v>
      </c>
      <c r="N494" s="304">
        <f t="array" ref="N494">_xlfn.XLOOKUP($B494,$B$114:$B$212,_xlfn.XLOOKUP(N$219,$D$5:$AO$5,$D$114:$AO$212))</f>
        <v>78.444999999999993</v>
      </c>
      <c r="O494" s="304">
        <f t="array" ref="O494">_xlfn.XLOOKUP($B494,$B$114:$B$212,_xlfn.XLOOKUP(O$219,$D$5:$AO$5,$D$114:$AO$212))</f>
        <v>55.470999999999989</v>
      </c>
      <c r="P494" s="304">
        <f t="array" ref="P494">_xlfn.XLOOKUP($B494,$B$114:$B$212,_xlfn.XLOOKUP(P$219,$D$5:$AO$5,$D$114:$AO$212))</f>
        <v>40.716516505901239</v>
      </c>
      <c r="Q494" s="304">
        <f t="array" ref="Q494">_xlfn.XLOOKUP($B494,$B$114:$B$212,_xlfn.XLOOKUP(Q$219,$D$5:$AO$5,$D$114:$AO$212))</f>
        <v>30.289486496327449</v>
      </c>
      <c r="R494" s="304">
        <f t="array" ref="R494">_xlfn.XLOOKUP($B494,$B$114:$B$212,_xlfn.XLOOKUP(R$219,$D$5:$AO$5,$D$114:$AO$212))</f>
        <v>45.881049061188513</v>
      </c>
      <c r="S494" s="304">
        <f t="array" ref="S494">_xlfn.XLOOKUP($B494,$B$114:$B$212,_xlfn.XLOOKUP(S$219,$D$5:$AO$5,$D$114:$AO$212))</f>
        <v>56.942003362415349</v>
      </c>
      <c r="T494" s="304">
        <f t="array" ref="T494">_xlfn.XLOOKUP($B494,$B$114:$B$212,_xlfn.XLOOKUP(T$219,$D$5:$AO$5,$D$114:$AO$212))</f>
        <v>67.430348923497462</v>
      </c>
      <c r="U494" s="304">
        <f t="array" ref="U494">_xlfn.XLOOKUP($B494,$B$114:$B$212,_xlfn.XLOOKUP(U$219,$D$5:$AO$5,$D$114:$AO$212))</f>
        <v>69.833237954404339</v>
      </c>
      <c r="V494" s="304">
        <f t="array" ref="V494">_xlfn.XLOOKUP($B494,$B$114:$B$212,_xlfn.XLOOKUP(V$219,$D$5:$AO$5,$D$114:$AO$212))</f>
        <v>78.007545713364351</v>
      </c>
      <c r="W494" s="304">
        <f t="array" ref="W494">_xlfn.XLOOKUP($B494,$B$114:$B$212,_xlfn.XLOOKUP(W$219,$D$5:$AO$5,$D$114:$AO$212))</f>
        <v>81.575159407075944</v>
      </c>
      <c r="X494" s="304">
        <f t="array" ref="X494">_xlfn.XLOOKUP($B494,$B$114:$B$212,_xlfn.XLOOKUP(X$219,$D$5:$AO$5,$D$114:$AO$212))</f>
        <v>88.196415829501291</v>
      </c>
      <c r="Y494" s="304">
        <f t="array" ref="Y494">_xlfn.XLOOKUP($B494,$B$114:$B$212,_xlfn.XLOOKUP(Y$219,$D$5:$AO$5,$D$114:$AO$212))</f>
        <v>85.57229260457494</v>
      </c>
      <c r="Z494" s="304">
        <f t="array" ref="Z494">_xlfn.XLOOKUP($B494,$B$114:$B$212,_xlfn.XLOOKUP(Z$219,$D$5:$AO$5,$D$114:$AO$212))</f>
        <v>92.609414724997833</v>
      </c>
      <c r="AA494" s="305"/>
      <c r="AB494" s="302" t="str">
        <f t="shared" si="280"/>
        <v>NPBT - old</v>
      </c>
      <c r="AC494" s="303" t="str">
        <f t="shared" si="281"/>
        <v>NZ$m</v>
      </c>
      <c r="AD494" s="303"/>
      <c r="AE494" s="303"/>
      <c r="AF494" s="304">
        <f t="array" ref="AF494">_xlfn.XLOOKUP($B494,$B$114:$B$212,_xlfn.XLOOKUP(AF$219,$D$5:$AO$5,$D$114:$AO$212))</f>
        <v>127.7</v>
      </c>
      <c r="AG494" s="304">
        <f t="array" ref="AG494">_xlfn.XLOOKUP($B494,$B$114:$B$212,_xlfn.XLOOKUP(AG$219,$D$5:$AO$5,$D$114:$AO$212))</f>
        <v>8.2000000000000099</v>
      </c>
      <c r="AH494" s="304">
        <f t="array" ref="AH494">_xlfn.XLOOKUP($B494,$B$114:$B$212,_xlfn.XLOOKUP(AH$219,$D$5:$AO$5,$D$114:$AO$212))</f>
        <v>183.00200000000001</v>
      </c>
      <c r="AI494" s="304">
        <f t="array" ref="AI494">_xlfn.XLOOKUP($B494,$B$114:$B$212,_xlfn.XLOOKUP(AI$219,$D$5:$AO$5,$D$114:$AO$212))</f>
        <v>169.78299999999999</v>
      </c>
      <c r="AJ494" s="304">
        <f t="array" ref="AJ494">_xlfn.XLOOKUP($B494,$B$114:$B$212,_xlfn.XLOOKUP(AJ$219,$D$5:$AO$5,$D$114:$AO$212))</f>
        <v>96.187516505901229</v>
      </c>
      <c r="AK494" s="304">
        <f t="array" ref="AK494">_xlfn.XLOOKUP($B494,$B$114:$B$212,_xlfn.XLOOKUP(AK$219,$D$5:$AO$5,$D$114:$AO$212))</f>
        <v>76.170535557515962</v>
      </c>
      <c r="AL494" s="304">
        <f t="array" ref="AL494">_xlfn.XLOOKUP($B494,$B$114:$B$212,_xlfn.XLOOKUP(AL$219,$D$5:$AO$5,$D$114:$AO$212))</f>
        <v>124.3723522859128</v>
      </c>
      <c r="AM494" s="304">
        <f t="array" ref="AM494">_xlfn.XLOOKUP($B494,$B$114:$B$212,_xlfn.XLOOKUP(AM$219,$D$5:$AO$5,$D$114:$AO$212))</f>
        <v>147.8407836677687</v>
      </c>
      <c r="AN494" s="304">
        <f t="array" ref="AN494">_xlfn.XLOOKUP($B494,$B$114:$B$212,_xlfn.XLOOKUP(AN$219,$D$5:$AO$5,$D$114:$AO$212))</f>
        <v>169.77157523657721</v>
      </c>
      <c r="AO494" s="304">
        <f t="array" ref="AO494">_xlfn.XLOOKUP($B494,$B$114:$B$212,_xlfn.XLOOKUP(AO$219,$D$5:$AO$5,$D$114:$AO$212))</f>
        <v>178.18170732957279</v>
      </c>
    </row>
    <row r="495" spans="2:41">
      <c r="B495" s="301" t="s">
        <v>1488</v>
      </c>
      <c r="C495" s="306" t="s">
        <v>1573</v>
      </c>
      <c r="D495" s="307" t="str">
        <f t="array" ref="D495">_xlfn.XLOOKUP($B495,$B$11:$B$109,_xlfn.XLOOKUP(D$219,$D$5:$AO$5,$D$11:$AO$109))</f>
        <v>NZ$m</v>
      </c>
      <c r="E495" s="307"/>
      <c r="F495" s="307"/>
      <c r="G495" s="308">
        <f t="array" ref="G495">_xlfn.XLOOKUP($B495,$B$11:$B$109,_xlfn.XLOOKUP(G$219,$D$5:$AO$5,$D$11:$AO$109))</f>
        <v>62.7</v>
      </c>
      <c r="H495" s="308">
        <f t="array" ref="H495">_xlfn.XLOOKUP($B495,$B$11:$B$109,_xlfn.XLOOKUP(H$219,$D$5:$AO$5,$D$11:$AO$109))</f>
        <v>65.000000000000043</v>
      </c>
      <c r="I495" s="308">
        <f t="array" ref="I495">_xlfn.XLOOKUP($B495,$B$11:$B$109,_xlfn.XLOOKUP(I$219,$D$5:$AO$5,$D$11:$AO$109))</f>
        <v>-28.799999999999994</v>
      </c>
      <c r="J495" s="308">
        <f t="array" ref="J495">_xlfn.XLOOKUP($B495,$B$11:$B$109,_xlfn.XLOOKUP(J$219,$D$5:$AO$5,$D$11:$AO$109))</f>
        <v>37</v>
      </c>
      <c r="K495" s="308">
        <f t="array" ref="K495">_xlfn.XLOOKUP($B495,$B$11:$B$109,_xlfn.XLOOKUP(K$219,$D$5:$AO$5,$D$11:$AO$109))</f>
        <v>100.488</v>
      </c>
      <c r="L495" s="308">
        <f t="array" ref="L495">_xlfn.XLOOKUP($B495,$B$11:$B$109,_xlfn.XLOOKUP(L$219,$D$5:$AO$5,$D$11:$AO$109))</f>
        <v>82.513999999999996</v>
      </c>
      <c r="M495" s="308">
        <f t="array" ref="M495">_xlfn.XLOOKUP($B495,$B$11:$B$109,_xlfn.XLOOKUP(M$219,$D$5:$AO$5,$D$11:$AO$109))</f>
        <v>91.338000000000008</v>
      </c>
      <c r="N495" s="308">
        <f t="array" ref="N495">_xlfn.XLOOKUP($B495,$B$11:$B$109,_xlfn.XLOOKUP(N$219,$D$5:$AO$5,$D$11:$AO$109))</f>
        <v>78.441000000000003</v>
      </c>
      <c r="O495" s="308">
        <f t="array" ref="O495">_xlfn.XLOOKUP($B495,$B$11:$B$109,_xlfn.XLOOKUP(O$219,$D$5:$AO$5,$D$11:$AO$109))</f>
        <v>61.870999999999995</v>
      </c>
      <c r="P495" s="308">
        <f t="array" ref="P495">_xlfn.XLOOKUP($B495,$B$11:$B$109,_xlfn.XLOOKUP(P$219,$D$5:$AO$5,$D$11:$AO$109))</f>
        <v>51.21599999999998</v>
      </c>
      <c r="Q495" s="308">
        <f t="array" ref="Q495">_xlfn.XLOOKUP($B495,$B$11:$B$109,_xlfn.XLOOKUP(Q$219,$D$5:$AO$5,$D$11:$AO$109))</f>
        <v>29.320999999999994</v>
      </c>
      <c r="R495" s="308">
        <f t="array" ref="R495">_xlfn.XLOOKUP($B495,$B$11:$B$109,_xlfn.XLOOKUP(R$219,$D$5:$AO$5,$D$11:$AO$109))</f>
        <v>22.221999999999998</v>
      </c>
      <c r="S495" s="308">
        <f t="array" ref="S495">_xlfn.XLOOKUP($B495,$B$11:$B$109,_xlfn.XLOOKUP(S$219,$D$5:$AO$5,$D$11:$AO$109))</f>
        <v>13.457155114296471</v>
      </c>
      <c r="T495" s="308">
        <f t="array" ref="T495">_xlfn.XLOOKUP($B495,$B$11:$B$109,_xlfn.XLOOKUP(T$219,$D$5:$AO$5,$D$11:$AO$109))</f>
        <v>30.043306102756858</v>
      </c>
      <c r="U495" s="308">
        <f t="array" ref="U495">_xlfn.XLOOKUP($B495,$B$11:$B$109,_xlfn.XLOOKUP(U$219,$D$5:$AO$5,$D$11:$AO$109))</f>
        <v>35.725347659445653</v>
      </c>
      <c r="V495" s="308">
        <f t="array" ref="V495">_xlfn.XLOOKUP($B495,$B$11:$B$109,_xlfn.XLOOKUP(V$219,$D$5:$AO$5,$D$11:$AO$109))</f>
        <v>42.509525306325628</v>
      </c>
      <c r="W495" s="308">
        <f t="array" ref="W495">_xlfn.XLOOKUP($B495,$B$11:$B$109,_xlfn.XLOOKUP(W$219,$D$5:$AO$5,$D$11:$AO$109))</f>
        <v>52.309657379208531</v>
      </c>
      <c r="X495" s="308">
        <f t="array" ref="X495">_xlfn.XLOOKUP($B495,$B$11:$B$109,_xlfn.XLOOKUP(X$219,$D$5:$AO$5,$D$11:$AO$109))</f>
        <v>54.229421972024639</v>
      </c>
      <c r="Y495" s="308">
        <f t="array" ref="Y495">_xlfn.XLOOKUP($B495,$B$11:$B$109,_xlfn.XLOOKUP(Y$219,$D$5:$AO$5,$D$11:$AO$109))</f>
        <v>58.978188617195052</v>
      </c>
      <c r="Z495" s="308">
        <f t="array" ref="Z495">_xlfn.XLOOKUP($B495,$B$11:$B$109,_xlfn.XLOOKUP(Z$219,$D$5:$AO$5,$D$11:$AO$109))</f>
        <v>61.066050535623859</v>
      </c>
      <c r="AA495" s="308"/>
      <c r="AB495" s="306" t="str">
        <f t="shared" si="280"/>
        <v>NPBT - New</v>
      </c>
      <c r="AC495" s="307" t="str">
        <f t="shared" si="281"/>
        <v>NZ$m</v>
      </c>
      <c r="AD495" s="307"/>
      <c r="AE495" s="307"/>
      <c r="AF495" s="308">
        <f t="array" ref="AF495">_xlfn.XLOOKUP($B495,$B$11:$B$109,_xlfn.XLOOKUP(AF$219,$D$5:$AO$5,$D$11:$AO$109))</f>
        <v>127.70000000000005</v>
      </c>
      <c r="AG495" s="308">
        <f t="array" ref="AG495">_xlfn.XLOOKUP($B495,$B$11:$B$109,_xlfn.XLOOKUP(AG$219,$D$5:$AO$5,$D$11:$AO$109))</f>
        <v>8.2000000000000064</v>
      </c>
      <c r="AH495" s="308">
        <f t="array" ref="AH495">_xlfn.XLOOKUP($B495,$B$11:$B$109,_xlfn.XLOOKUP(AH$219,$D$5:$AO$5,$D$11:$AO$109))</f>
        <v>183.00200000000001</v>
      </c>
      <c r="AI495" s="308">
        <f t="array" ref="AI495">_xlfn.XLOOKUP($B495,$B$11:$B$109,_xlfn.XLOOKUP(AI$219,$D$5:$AO$5,$D$11:$AO$109))</f>
        <v>169.779</v>
      </c>
      <c r="AJ495" s="308">
        <f t="array" ref="AJ495">_xlfn.XLOOKUP($B495,$B$11:$B$109,_xlfn.XLOOKUP(AJ$219,$D$5:$AO$5,$D$11:$AO$109))</f>
        <v>113.08699999999997</v>
      </c>
      <c r="AK495" s="308">
        <f t="array" ref="AK495">_xlfn.XLOOKUP($B495,$B$11:$B$109,_xlfn.XLOOKUP(AK$219,$D$5:$AO$5,$D$11:$AO$109))</f>
        <v>51.542999999999992</v>
      </c>
      <c r="AL495" s="308">
        <f t="array" ref="AL495">_xlfn.XLOOKUP($B495,$B$11:$B$109,_xlfn.XLOOKUP(AL$219,$D$5:$AO$5,$D$11:$AO$109))</f>
        <v>43.500461217053328</v>
      </c>
      <c r="AM495" s="308">
        <f t="array" ref="AM495">_xlfn.XLOOKUP($B495,$B$11:$B$109,_xlfn.XLOOKUP(AM$219,$D$5:$AO$5,$D$11:$AO$109))</f>
        <v>78.234872965771274</v>
      </c>
      <c r="AN495" s="308">
        <f t="array" ref="AN495">_xlfn.XLOOKUP($B495,$B$11:$B$109,_xlfn.XLOOKUP(AN$219,$D$5:$AO$5,$D$11:$AO$109))</f>
        <v>106.53907935123317</v>
      </c>
      <c r="AO495" s="308">
        <f t="array" ref="AO495">_xlfn.XLOOKUP($B495,$B$11:$B$109,_xlfn.XLOOKUP(AO$219,$D$5:$AO$5,$D$11:$AO$109))</f>
        <v>120.0442391528189</v>
      </c>
    </row>
    <row r="496" spans="2:41" hidden="1" outlineLevel="1">
      <c r="B496" s="301"/>
      <c r="C496" s="309" t="s">
        <v>1510</v>
      </c>
      <c r="D496" s="303" t="s">
        <v>88</v>
      </c>
      <c r="E496" s="303"/>
      <c r="F496" s="303"/>
      <c r="G496" s="310" t="s">
        <v>967</v>
      </c>
      <c r="H496" s="310" t="s">
        <v>967</v>
      </c>
      <c r="I496" s="310">
        <f t="shared" ref="I496:Z496" si="306">I495/G495-1</f>
        <v>-1.4593301435406698</v>
      </c>
      <c r="J496" s="310">
        <f t="shared" si="306"/>
        <v>-0.43076923076923113</v>
      </c>
      <c r="K496" s="310">
        <f t="shared" si="306"/>
        <v>-4.4891666666666676</v>
      </c>
      <c r="L496" s="310">
        <f t="shared" si="306"/>
        <v>1.2301081081081078</v>
      </c>
      <c r="M496" s="310">
        <f t="shared" si="306"/>
        <v>-9.1055648435634073E-2</v>
      </c>
      <c r="N496" s="310">
        <f t="shared" si="306"/>
        <v>-4.9361320503187311E-2</v>
      </c>
      <c r="O496" s="310">
        <f t="shared" si="306"/>
        <v>-0.32261490288817374</v>
      </c>
      <c r="P496" s="310">
        <f t="shared" si="306"/>
        <v>-0.34707614640302931</v>
      </c>
      <c r="Q496" s="310">
        <f t="shared" si="306"/>
        <v>-0.52609461621761411</v>
      </c>
      <c r="R496" s="310">
        <f t="shared" si="306"/>
        <v>-0.56611215245235846</v>
      </c>
      <c r="S496" s="310">
        <f t="shared" si="306"/>
        <v>-0.54104037671646688</v>
      </c>
      <c r="T496" s="310">
        <f t="shared" si="306"/>
        <v>0.35196229424700132</v>
      </c>
      <c r="U496" s="310">
        <f t="shared" si="306"/>
        <v>1.6547474080529945</v>
      </c>
      <c r="V496" s="310">
        <f t="shared" si="306"/>
        <v>0.41494165658501991</v>
      </c>
      <c r="W496" s="310">
        <f t="shared" si="306"/>
        <v>0.46421688818409712</v>
      </c>
      <c r="X496" s="310">
        <f t="shared" si="306"/>
        <v>0.27570048315630169</v>
      </c>
      <c r="Y496" s="310">
        <f t="shared" si="306"/>
        <v>0.12748183742906827</v>
      </c>
      <c r="Z496" s="310">
        <f t="shared" si="306"/>
        <v>0.12606862317518397</v>
      </c>
      <c r="AA496" s="311"/>
      <c r="AB496" s="309" t="str">
        <f t="shared" si="280"/>
        <v>- Growth</v>
      </c>
      <c r="AC496" s="303" t="str">
        <f t="shared" si="281"/>
        <v>%</v>
      </c>
      <c r="AD496" s="303"/>
      <c r="AE496" s="303"/>
      <c r="AF496" s="310" t="s">
        <v>967</v>
      </c>
      <c r="AG496" s="310">
        <f t="shared" ref="AG496:AO496" si="307">AG495/AF495-1</f>
        <v>-0.9357870007830853</v>
      </c>
      <c r="AH496" s="310">
        <f t="shared" si="307"/>
        <v>21.317317073170717</v>
      </c>
      <c r="AI496" s="310">
        <f t="shared" si="307"/>
        <v>-7.225604091758564E-2</v>
      </c>
      <c r="AJ496" s="310">
        <f t="shared" si="307"/>
        <v>-0.33391644431879108</v>
      </c>
      <c r="AK496" s="310">
        <f t="shared" si="307"/>
        <v>-0.54421816831289183</v>
      </c>
      <c r="AL496" s="310">
        <f t="shared" si="307"/>
        <v>-0.1560355195263502</v>
      </c>
      <c r="AM496" s="310">
        <f t="shared" si="307"/>
        <v>0.79848375803199856</v>
      </c>
      <c r="AN496" s="310">
        <f t="shared" si="307"/>
        <v>0.36178503667853246</v>
      </c>
      <c r="AO496" s="310">
        <f t="shared" si="307"/>
        <v>0.12676249770342518</v>
      </c>
    </row>
    <row r="497" spans="2:41" collapsed="1">
      <c r="B497" s="301"/>
      <c r="C497" s="309" t="s">
        <v>1511</v>
      </c>
      <c r="D497" s="303" t="s">
        <v>88</v>
      </c>
      <c r="E497" s="303"/>
      <c r="F497" s="303"/>
      <c r="G497" s="310">
        <f t="shared" ref="G497:Z497" si="308">IFERROR(ROUND( G495 / G494,2) - 1, 0)</f>
        <v>0</v>
      </c>
      <c r="H497" s="310">
        <f t="shared" si="308"/>
        <v>0</v>
      </c>
      <c r="I497" s="310">
        <f t="shared" si="308"/>
        <v>0</v>
      </c>
      <c r="J497" s="310">
        <f t="shared" si="308"/>
        <v>0</v>
      </c>
      <c r="K497" s="310">
        <f t="shared" si="308"/>
        <v>0</v>
      </c>
      <c r="L497" s="310">
        <f t="shared" si="308"/>
        <v>0</v>
      </c>
      <c r="M497" s="310">
        <f t="shared" si="308"/>
        <v>0</v>
      </c>
      <c r="N497" s="310">
        <f t="shared" si="308"/>
        <v>0</v>
      </c>
      <c r="O497" s="310">
        <f t="shared" si="308"/>
        <v>0.12000000000000011</v>
      </c>
      <c r="P497" s="310">
        <f t="shared" si="308"/>
        <v>0.26</v>
      </c>
      <c r="Q497" s="310">
        <f t="shared" si="308"/>
        <v>-3.0000000000000027E-2</v>
      </c>
      <c r="R497" s="310">
        <f t="shared" si="308"/>
        <v>-0.52</v>
      </c>
      <c r="S497" s="310">
        <f t="shared" si="308"/>
        <v>-0.76</v>
      </c>
      <c r="T497" s="310">
        <f t="shared" si="308"/>
        <v>-0.55000000000000004</v>
      </c>
      <c r="U497" s="310">
        <f t="shared" si="308"/>
        <v>-0.49</v>
      </c>
      <c r="V497" s="310">
        <f t="shared" si="308"/>
        <v>-0.45999999999999996</v>
      </c>
      <c r="W497" s="310">
        <f t="shared" si="308"/>
        <v>-0.36</v>
      </c>
      <c r="X497" s="310">
        <f t="shared" si="308"/>
        <v>-0.39</v>
      </c>
      <c r="Y497" s="310">
        <f t="shared" si="308"/>
        <v>-0.31000000000000005</v>
      </c>
      <c r="Z497" s="310">
        <f t="shared" si="308"/>
        <v>-0.33999999999999997</v>
      </c>
      <c r="AA497" s="310"/>
      <c r="AB497" s="309" t="str">
        <f t="shared" si="280"/>
        <v>- Revision</v>
      </c>
      <c r="AC497" s="303" t="str">
        <f t="shared" si="281"/>
        <v>%</v>
      </c>
      <c r="AD497" s="303"/>
      <c r="AE497" s="303"/>
      <c r="AF497" s="310">
        <f t="shared" ref="AF497:AO497" si="309">IFERROR(ROUND( AF495 / AF494,2) - 1, 0)</f>
        <v>0</v>
      </c>
      <c r="AG497" s="310">
        <f t="shared" si="309"/>
        <v>0</v>
      </c>
      <c r="AH497" s="310">
        <f t="shared" si="309"/>
        <v>0</v>
      </c>
      <c r="AI497" s="310">
        <f t="shared" si="309"/>
        <v>0</v>
      </c>
      <c r="AJ497" s="310">
        <f t="shared" si="309"/>
        <v>0.17999999999999994</v>
      </c>
      <c r="AK497" s="310">
        <f t="shared" si="309"/>
        <v>-0.31999999999999995</v>
      </c>
      <c r="AL497" s="310">
        <f t="shared" si="309"/>
        <v>-0.65</v>
      </c>
      <c r="AM497" s="310">
        <f t="shared" si="309"/>
        <v>-0.47</v>
      </c>
      <c r="AN497" s="310">
        <f t="shared" si="309"/>
        <v>-0.37</v>
      </c>
      <c r="AO497" s="310">
        <f t="shared" si="309"/>
        <v>-0.32999999999999996</v>
      </c>
    </row>
    <row r="498" spans="2:41">
      <c r="B498" s="301" t="s">
        <v>1489</v>
      </c>
      <c r="C498" s="302" t="s">
        <v>1574</v>
      </c>
      <c r="D498" s="303" t="str">
        <f t="array" ref="D498">_xlfn.XLOOKUP($B498,$B$114:$B$212,_xlfn.XLOOKUP(D$219,$D$5:$AO$5,$D$114:$AO$212))</f>
        <v>NZ$m</v>
      </c>
      <c r="E498" s="303"/>
      <c r="F498" s="303"/>
      <c r="G498" s="304">
        <f t="array" ref="G498">_xlfn.XLOOKUP($B498,$B$114:$B$212,_xlfn.XLOOKUP(G$219,$D$5:$AO$5,$D$114:$AO$212))</f>
        <v>-19.499999999999989</v>
      </c>
      <c r="H498" s="304">
        <f t="array" ref="H498">_xlfn.XLOOKUP($B498,$B$114:$B$212,_xlfn.XLOOKUP(H$219,$D$5:$AO$5,$D$114:$AO$212))</f>
        <v>-18.20000000000006</v>
      </c>
      <c r="I498" s="304">
        <f t="array" ref="I498">_xlfn.XLOOKUP($B498,$B$114:$B$212,_xlfn.XLOOKUP(I$219,$D$5:$AO$5,$D$114:$AO$212))</f>
        <v>9.2999999999999901</v>
      </c>
      <c r="J498" s="304">
        <f t="array" ref="J498">_xlfn.XLOOKUP($B498,$B$114:$B$212,_xlfn.XLOOKUP(J$219,$D$5:$AO$5,$D$114:$AO$212))</f>
        <v>-7.8000000000000007</v>
      </c>
      <c r="K498" s="304">
        <f t="array" ref="K498">_xlfn.XLOOKUP($B498,$B$114:$B$212,_xlfn.XLOOKUP(K$219,$D$5:$AO$5,$D$114:$AO$212))</f>
        <v>-27.687999999999999</v>
      </c>
      <c r="L498" s="304">
        <f t="array" ref="L498">_xlfn.XLOOKUP($B498,$B$114:$B$212,_xlfn.XLOOKUP(L$219,$D$5:$AO$5,$D$114:$AO$212))</f>
        <v>-22.614000000000001</v>
      </c>
      <c r="M498" s="304">
        <f t="array" ref="M498">_xlfn.XLOOKUP($B498,$B$114:$B$212,_xlfn.XLOOKUP(M$219,$D$5:$AO$5,$D$114:$AO$212))</f>
        <v>-26.838000000000012</v>
      </c>
      <c r="N498" s="304">
        <f t="array" ref="N498">_xlfn.XLOOKUP($B498,$B$114:$B$212,_xlfn.XLOOKUP(N$219,$D$5:$AO$5,$D$114:$AO$212))</f>
        <v>-19.74499999999999</v>
      </c>
      <c r="O498" s="304">
        <f t="array" ref="O498">_xlfn.XLOOKUP($B498,$B$114:$B$212,_xlfn.XLOOKUP(O$219,$D$5:$AO$5,$D$114:$AO$212))</f>
        <v>-17.670999999999989</v>
      </c>
      <c r="P498" s="304">
        <f t="array" ref="P498">_xlfn.XLOOKUP($B498,$B$114:$B$212,_xlfn.XLOOKUP(P$219,$D$5:$AO$5,$D$114:$AO$212))</f>
        <v>-12.21495495177037</v>
      </c>
      <c r="Q498" s="304">
        <f t="array" ref="Q498">_xlfn.XLOOKUP($B498,$B$114:$B$212,_xlfn.XLOOKUP(Q$219,$D$5:$AO$5,$D$114:$AO$212))</f>
        <v>-9.0868459488982349</v>
      </c>
      <c r="R498" s="304">
        <f t="array" ref="R498">_xlfn.XLOOKUP($B498,$B$114:$B$212,_xlfn.XLOOKUP(R$219,$D$5:$AO$5,$D$114:$AO$212))</f>
        <v>-13.76431471835655</v>
      </c>
      <c r="S498" s="304">
        <f t="array" ref="S498">_xlfn.XLOOKUP($B498,$B$114:$B$212,_xlfn.XLOOKUP(S$219,$D$5:$AO$5,$D$114:$AO$212))</f>
        <v>-17.082601008724609</v>
      </c>
      <c r="T498" s="304">
        <f t="array" ref="T498">_xlfn.XLOOKUP($B498,$B$114:$B$212,_xlfn.XLOOKUP(T$219,$D$5:$AO$5,$D$114:$AO$212))</f>
        <v>-20.229104677049239</v>
      </c>
      <c r="U498" s="304">
        <f t="array" ref="U498">_xlfn.XLOOKUP($B498,$B$114:$B$212,_xlfn.XLOOKUP(U$219,$D$5:$AO$5,$D$114:$AO$212))</f>
        <v>-20.949971386321302</v>
      </c>
      <c r="V498" s="304">
        <f t="array" ref="V498">_xlfn.XLOOKUP($B498,$B$114:$B$212,_xlfn.XLOOKUP(V$219,$D$5:$AO$5,$D$114:$AO$212))</f>
        <v>-23.402263714009301</v>
      </c>
      <c r="W498" s="304">
        <f t="array" ref="W498">_xlfn.XLOOKUP($B498,$B$114:$B$212,_xlfn.XLOOKUP(W$219,$D$5:$AO$5,$D$114:$AO$212))</f>
        <v>-24.472547822122781</v>
      </c>
      <c r="X498" s="304">
        <f t="array" ref="X498">_xlfn.XLOOKUP($B498,$B$114:$B$212,_xlfn.XLOOKUP(X$219,$D$5:$AO$5,$D$114:$AO$212))</f>
        <v>-26.458924748850389</v>
      </c>
      <c r="Y498" s="304">
        <f t="array" ref="Y498">_xlfn.XLOOKUP($B498,$B$114:$B$212,_xlfn.XLOOKUP(Y$219,$D$5:$AO$5,$D$114:$AO$212))</f>
        <v>-25.67168778137248</v>
      </c>
      <c r="Z498" s="304">
        <f t="array" ref="Z498">_xlfn.XLOOKUP($B498,$B$114:$B$212,_xlfn.XLOOKUP(Z$219,$D$5:$AO$5,$D$114:$AO$212))</f>
        <v>-27.782824417499349</v>
      </c>
      <c r="AA498" s="305"/>
      <c r="AB498" s="302" t="str">
        <f t="shared" si="280"/>
        <v>Income Tax Expense - old</v>
      </c>
      <c r="AC498" s="303" t="str">
        <f t="shared" si="281"/>
        <v>NZ$m</v>
      </c>
      <c r="AD498" s="303"/>
      <c r="AE498" s="303"/>
      <c r="AF498" s="304">
        <f t="array" ref="AF498">_xlfn.XLOOKUP($B498,$B$114:$B$212,_xlfn.XLOOKUP(AF$219,$D$5:$AO$5,$D$114:$AO$212))</f>
        <v>-37.700000000000053</v>
      </c>
      <c r="AG498" s="304">
        <f t="array" ref="AG498">_xlfn.XLOOKUP($B498,$B$114:$B$212,_xlfn.XLOOKUP(AG$219,$D$5:$AO$5,$D$114:$AO$212))</f>
        <v>1.4999999999999889</v>
      </c>
      <c r="AH498" s="304">
        <f t="array" ref="AH498">_xlfn.XLOOKUP($B498,$B$114:$B$212,_xlfn.XLOOKUP(AH$219,$D$5:$AO$5,$D$114:$AO$212))</f>
        <v>-50.302000000000007</v>
      </c>
      <c r="AI498" s="304">
        <f t="array" ref="AI498">_xlfn.XLOOKUP($B498,$B$114:$B$212,_xlfn.XLOOKUP(AI$219,$D$5:$AO$5,$D$114:$AO$212))</f>
        <v>-46.582999999999998</v>
      </c>
      <c r="AJ498" s="304">
        <f t="array" ref="AJ498">_xlfn.XLOOKUP($B498,$B$114:$B$212,_xlfn.XLOOKUP(AJ$219,$D$5:$AO$5,$D$114:$AO$212))</f>
        <v>-29.885954951770369</v>
      </c>
      <c r="AK498" s="304">
        <f t="array" ref="AK498">_xlfn.XLOOKUP($B498,$B$114:$B$212,_xlfn.XLOOKUP(AK$219,$D$5:$AO$5,$D$114:$AO$212))</f>
        <v>-22.851160667254788</v>
      </c>
      <c r="AL498" s="304">
        <f t="array" ref="AL498">_xlfn.XLOOKUP($B498,$B$114:$B$212,_xlfn.XLOOKUP(AL$219,$D$5:$AO$5,$D$114:$AO$212))</f>
        <v>-37.311705685773838</v>
      </c>
      <c r="AM498" s="304">
        <f t="array" ref="AM498">_xlfn.XLOOKUP($B498,$B$114:$B$212,_xlfn.XLOOKUP(AM$219,$D$5:$AO$5,$D$114:$AO$212))</f>
        <v>-44.352235100330603</v>
      </c>
      <c r="AN498" s="304">
        <f t="array" ref="AN498">_xlfn.XLOOKUP($B498,$B$114:$B$212,_xlfn.XLOOKUP(AN$219,$D$5:$AO$5,$D$114:$AO$212))</f>
        <v>-50.93147257097317</v>
      </c>
      <c r="AO498" s="304">
        <f t="array" ref="AO498">_xlfn.XLOOKUP($B498,$B$114:$B$212,_xlfn.XLOOKUP(AO$219,$D$5:$AO$5,$D$114:$AO$212))</f>
        <v>-53.454512198871832</v>
      </c>
    </row>
    <row r="499" spans="2:41">
      <c r="B499" s="301" t="s">
        <v>1489</v>
      </c>
      <c r="C499" s="306" t="s">
        <v>1575</v>
      </c>
      <c r="D499" s="307" t="str">
        <f t="array" ref="D499">_xlfn.XLOOKUP($B499,$B$11:$B$109,_xlfn.XLOOKUP(D$219,$D$5:$AO$5,$D$11:$AO$109))</f>
        <v>NZ$m</v>
      </c>
      <c r="E499" s="307"/>
      <c r="F499" s="307"/>
      <c r="G499" s="308">
        <f t="array" ref="G499">_xlfn.XLOOKUP($B499,$B$11:$B$109,_xlfn.XLOOKUP(G$219,$D$5:$AO$5,$D$11:$AO$109))</f>
        <v>-19.5</v>
      </c>
      <c r="H499" s="308">
        <f t="array" ref="H499">_xlfn.XLOOKUP($B499,$B$11:$B$109,_xlfn.XLOOKUP(H$219,$D$5:$AO$5,$D$11:$AO$109))</f>
        <v>-18.200000000000045</v>
      </c>
      <c r="I499" s="308">
        <f t="array" ref="I499">_xlfn.XLOOKUP($B499,$B$11:$B$109,_xlfn.XLOOKUP(I$219,$D$5:$AO$5,$D$11:$AO$109))</f>
        <v>9.2999999999999936</v>
      </c>
      <c r="J499" s="308">
        <f t="array" ref="J499">_xlfn.XLOOKUP($B499,$B$11:$B$109,_xlfn.XLOOKUP(J$219,$D$5:$AO$5,$D$11:$AO$109))</f>
        <v>-7.8000000000000007</v>
      </c>
      <c r="K499" s="308">
        <f t="array" ref="K499">_xlfn.XLOOKUP($B499,$B$11:$B$109,_xlfn.XLOOKUP(K$219,$D$5:$AO$5,$D$11:$AO$109))</f>
        <v>-27.688000000000002</v>
      </c>
      <c r="L499" s="308">
        <f t="array" ref="L499">_xlfn.XLOOKUP($B499,$B$11:$B$109,_xlfn.XLOOKUP(L$219,$D$5:$AO$5,$D$11:$AO$109))</f>
        <v>-22.614000000000004</v>
      </c>
      <c r="M499" s="308">
        <f t="array" ref="M499">_xlfn.XLOOKUP($B499,$B$11:$B$109,_xlfn.XLOOKUP(M$219,$D$5:$AO$5,$D$11:$AO$109))</f>
        <v>-26.838000000000008</v>
      </c>
      <c r="N499" s="308">
        <f t="array" ref="N499">_xlfn.XLOOKUP($B499,$B$11:$B$109,_xlfn.XLOOKUP(N$219,$D$5:$AO$5,$D$11:$AO$109))</f>
        <v>-19.741</v>
      </c>
      <c r="O499" s="308">
        <f t="array" ref="O499">_xlfn.XLOOKUP($B499,$B$11:$B$109,_xlfn.XLOOKUP(O$219,$D$5:$AO$5,$D$11:$AO$109))</f>
        <v>-17.670999999999992</v>
      </c>
      <c r="P499" s="308">
        <f t="array" ref="P499">_xlfn.XLOOKUP($B499,$B$11:$B$109,_xlfn.XLOOKUP(P$219,$D$5:$AO$5,$D$11:$AO$109))</f>
        <v>-23.915999999999983</v>
      </c>
      <c r="Q499" s="308">
        <f t="array" ref="Q499">_xlfn.XLOOKUP($B499,$B$11:$B$109,_xlfn.XLOOKUP(Q$219,$D$5:$AO$5,$D$11:$AO$109))</f>
        <v>-14.920999999999994</v>
      </c>
      <c r="R499" s="308">
        <f t="array" ref="R499">_xlfn.XLOOKUP($B499,$B$11:$B$109,_xlfn.XLOOKUP(R$219,$D$5:$AO$5,$D$11:$AO$109))</f>
        <v>1.3780000000000037</v>
      </c>
      <c r="S499" s="308">
        <f t="array" ref="S499">_xlfn.XLOOKUP($B499,$B$11:$B$109,_xlfn.XLOOKUP(S$219,$D$5:$AO$5,$D$11:$AO$109))</f>
        <v>-4.037146534288941</v>
      </c>
      <c r="T499" s="308">
        <f t="array" ref="T499">_xlfn.XLOOKUP($B499,$B$11:$B$109,_xlfn.XLOOKUP(T$219,$D$5:$AO$5,$D$11:$AO$109))</f>
        <v>-9.0129918308270565</v>
      </c>
      <c r="U499" s="308">
        <f t="array" ref="U499">_xlfn.XLOOKUP($B499,$B$11:$B$109,_xlfn.XLOOKUP(U$219,$D$5:$AO$5,$D$11:$AO$109))</f>
        <v>-10.717604297833695</v>
      </c>
      <c r="V499" s="308">
        <f t="array" ref="V499">_xlfn.XLOOKUP($B499,$B$11:$B$109,_xlfn.XLOOKUP(V$219,$D$5:$AO$5,$D$11:$AO$109))</f>
        <v>-12.752857591897689</v>
      </c>
      <c r="W499" s="308">
        <f t="array" ref="W499">_xlfn.XLOOKUP($B499,$B$11:$B$109,_xlfn.XLOOKUP(W$219,$D$5:$AO$5,$D$11:$AO$109))</f>
        <v>-15.692897213762558</v>
      </c>
      <c r="X499" s="308">
        <f t="array" ref="X499">_xlfn.XLOOKUP($B499,$B$11:$B$109,_xlfn.XLOOKUP(X$219,$D$5:$AO$5,$D$11:$AO$109))</f>
        <v>-16.26882659160739</v>
      </c>
      <c r="Y499" s="308">
        <f t="array" ref="Y499">_xlfn.XLOOKUP($B499,$B$11:$B$109,_xlfn.XLOOKUP(Y$219,$D$5:$AO$5,$D$11:$AO$109))</f>
        <v>-17.693456585158515</v>
      </c>
      <c r="Z499" s="308">
        <f t="array" ref="Z499">_xlfn.XLOOKUP($B499,$B$11:$B$109,_xlfn.XLOOKUP(Z$219,$D$5:$AO$5,$D$11:$AO$109))</f>
        <v>-18.319815160687156</v>
      </c>
      <c r="AA499" s="308"/>
      <c r="AB499" s="306" t="str">
        <f t="shared" si="280"/>
        <v>Income Tax Expense - New</v>
      </c>
      <c r="AC499" s="307" t="str">
        <f t="shared" si="281"/>
        <v>NZ$m</v>
      </c>
      <c r="AD499" s="307"/>
      <c r="AE499" s="307"/>
      <c r="AF499" s="308">
        <f t="array" ref="AF499">_xlfn.XLOOKUP($B499,$B$11:$B$109,_xlfn.XLOOKUP(AF$219,$D$5:$AO$5,$D$11:$AO$109))</f>
        <v>-37.700000000000045</v>
      </c>
      <c r="AG499" s="308">
        <f t="array" ref="AG499">_xlfn.XLOOKUP($B499,$B$11:$B$109,_xlfn.XLOOKUP(AG$219,$D$5:$AO$5,$D$11:$AO$109))</f>
        <v>1.4999999999999929</v>
      </c>
      <c r="AH499" s="308">
        <f t="array" ref="AH499">_xlfn.XLOOKUP($B499,$B$11:$B$109,_xlfn.XLOOKUP(AH$219,$D$5:$AO$5,$D$11:$AO$109))</f>
        <v>-50.302000000000007</v>
      </c>
      <c r="AI499" s="308">
        <f t="array" ref="AI499">_xlfn.XLOOKUP($B499,$B$11:$B$109,_xlfn.XLOOKUP(AI$219,$D$5:$AO$5,$D$11:$AO$109))</f>
        <v>-46.579000000000008</v>
      </c>
      <c r="AJ499" s="308">
        <f t="array" ref="AJ499">_xlfn.XLOOKUP($B499,$B$11:$B$109,_xlfn.XLOOKUP(AJ$219,$D$5:$AO$5,$D$11:$AO$109))</f>
        <v>-41.586999999999975</v>
      </c>
      <c r="AK499" s="308">
        <f t="array" ref="AK499">_xlfn.XLOOKUP($B499,$B$11:$B$109,_xlfn.XLOOKUP(AK$219,$D$5:$AO$5,$D$11:$AO$109))</f>
        <v>-13.54299999999999</v>
      </c>
      <c r="AL499" s="308">
        <f t="array" ref="AL499">_xlfn.XLOOKUP($B499,$B$11:$B$109,_xlfn.XLOOKUP(AL$219,$D$5:$AO$5,$D$11:$AO$109))</f>
        <v>-13.050138365115998</v>
      </c>
      <c r="AM499" s="308">
        <f t="array" ref="AM499">_xlfn.XLOOKUP($B499,$B$11:$B$109,_xlfn.XLOOKUP(AM$219,$D$5:$AO$5,$D$11:$AO$109))</f>
        <v>-23.470461889731382</v>
      </c>
      <c r="AN499" s="308">
        <f t="array" ref="AN499">_xlfn.XLOOKUP($B499,$B$11:$B$109,_xlfn.XLOOKUP(AN$219,$D$5:$AO$5,$D$11:$AO$109))</f>
        <v>-31.96172380536995</v>
      </c>
      <c r="AO499" s="308">
        <f t="array" ref="AO499">_xlfn.XLOOKUP($B499,$B$11:$B$109,_xlfn.XLOOKUP(AO$219,$D$5:$AO$5,$D$11:$AO$109))</f>
        <v>-36.013271745845671</v>
      </c>
    </row>
    <row r="500" spans="2:41" hidden="1" outlineLevel="1">
      <c r="B500" s="301"/>
      <c r="C500" s="309" t="s">
        <v>1510</v>
      </c>
      <c r="D500" s="303" t="s">
        <v>88</v>
      </c>
      <c r="E500" s="303"/>
      <c r="F500" s="303"/>
      <c r="G500" s="310" t="s">
        <v>967</v>
      </c>
      <c r="H500" s="310" t="s">
        <v>967</v>
      </c>
      <c r="I500" s="310">
        <f t="shared" ref="I500:Z500" si="310">I499/G499-1</f>
        <v>-1.4769230769230766</v>
      </c>
      <c r="J500" s="310">
        <f t="shared" si="310"/>
        <v>-0.57142857142857251</v>
      </c>
      <c r="K500" s="310">
        <f t="shared" si="310"/>
        <v>-3.9772043010752713</v>
      </c>
      <c r="L500" s="310">
        <f t="shared" si="310"/>
        <v>1.8992307692307695</v>
      </c>
      <c r="M500" s="310">
        <f t="shared" si="310"/>
        <v>-3.0699219878647543E-2</v>
      </c>
      <c r="N500" s="310">
        <f t="shared" si="310"/>
        <v>-0.12704519324312391</v>
      </c>
      <c r="O500" s="310">
        <f t="shared" si="310"/>
        <v>-0.34156792607496878</v>
      </c>
      <c r="P500" s="310">
        <f t="shared" si="310"/>
        <v>0.21148877969707636</v>
      </c>
      <c r="Q500" s="310">
        <f t="shared" si="310"/>
        <v>-0.15562220587403086</v>
      </c>
      <c r="R500" s="310">
        <f t="shared" si="310"/>
        <v>-1.0576183308245528</v>
      </c>
      <c r="S500" s="310">
        <f t="shared" si="310"/>
        <v>-0.7294319057510259</v>
      </c>
      <c r="T500" s="310">
        <f t="shared" si="310"/>
        <v>-7.5406326783940729</v>
      </c>
      <c r="U500" s="310">
        <f t="shared" si="310"/>
        <v>1.6547474080529945</v>
      </c>
      <c r="V500" s="310">
        <f t="shared" si="310"/>
        <v>0.41494165658502014</v>
      </c>
      <c r="W500" s="310">
        <f t="shared" si="310"/>
        <v>0.46421688818409712</v>
      </c>
      <c r="X500" s="310">
        <f t="shared" si="310"/>
        <v>0.27570048315630147</v>
      </c>
      <c r="Y500" s="310">
        <f t="shared" si="310"/>
        <v>0.12748183742906827</v>
      </c>
      <c r="Z500" s="310">
        <f t="shared" si="310"/>
        <v>0.12606862317518419</v>
      </c>
      <c r="AA500" s="311"/>
      <c r="AB500" s="309" t="str">
        <f t="shared" si="280"/>
        <v>- Growth</v>
      </c>
      <c r="AC500" s="303" t="str">
        <f t="shared" si="281"/>
        <v>%</v>
      </c>
      <c r="AD500" s="303"/>
      <c r="AE500" s="303"/>
      <c r="AF500" s="310" t="s">
        <v>967</v>
      </c>
      <c r="AG500" s="310">
        <f t="shared" ref="AG500:AO500" si="311">AG499/AF499-1</f>
        <v>-1.0397877984084878</v>
      </c>
      <c r="AH500" s="310">
        <f t="shared" si="311"/>
        <v>-34.53466666666683</v>
      </c>
      <c r="AI500" s="310">
        <f t="shared" si="311"/>
        <v>-7.4012961711263925E-2</v>
      </c>
      <c r="AJ500" s="310">
        <f t="shared" si="311"/>
        <v>-0.10717276025676881</v>
      </c>
      <c r="AK500" s="310">
        <f t="shared" si="311"/>
        <v>-0.67434534830596105</v>
      </c>
      <c r="AL500" s="310">
        <f t="shared" si="311"/>
        <v>-3.6392352867458677E-2</v>
      </c>
      <c r="AM500" s="310">
        <f t="shared" si="311"/>
        <v>0.79848375803199856</v>
      </c>
      <c r="AN500" s="310">
        <f t="shared" si="311"/>
        <v>0.36178503667853246</v>
      </c>
      <c r="AO500" s="310">
        <f t="shared" si="311"/>
        <v>0.12676249770342518</v>
      </c>
    </row>
    <row r="501" spans="2:41" collapsed="1">
      <c r="B501" s="301"/>
      <c r="C501" s="309" t="s">
        <v>1511</v>
      </c>
      <c r="D501" s="303" t="s">
        <v>88</v>
      </c>
      <c r="E501" s="303"/>
      <c r="F501" s="303"/>
      <c r="G501" s="310">
        <f t="shared" ref="G501:Z501" si="312">IFERROR(ROUND( G499 / G498,2) - 1, 0)</f>
        <v>0</v>
      </c>
      <c r="H501" s="310">
        <f t="shared" si="312"/>
        <v>0</v>
      </c>
      <c r="I501" s="310">
        <f t="shared" si="312"/>
        <v>0</v>
      </c>
      <c r="J501" s="310">
        <f t="shared" si="312"/>
        <v>0</v>
      </c>
      <c r="K501" s="310">
        <f t="shared" si="312"/>
        <v>0</v>
      </c>
      <c r="L501" s="310">
        <f t="shared" si="312"/>
        <v>0</v>
      </c>
      <c r="M501" s="310">
        <f t="shared" si="312"/>
        <v>0</v>
      </c>
      <c r="N501" s="310">
        <f t="shared" si="312"/>
        <v>0</v>
      </c>
      <c r="O501" s="310">
        <f t="shared" si="312"/>
        <v>0</v>
      </c>
      <c r="P501" s="310">
        <f t="shared" si="312"/>
        <v>0.96</v>
      </c>
      <c r="Q501" s="310">
        <f t="shared" si="312"/>
        <v>0.6399999999999999</v>
      </c>
      <c r="R501" s="310">
        <f t="shared" si="312"/>
        <v>-1.1000000000000001</v>
      </c>
      <c r="S501" s="310">
        <f t="shared" si="312"/>
        <v>-0.76</v>
      </c>
      <c r="T501" s="310">
        <f t="shared" si="312"/>
        <v>-0.55000000000000004</v>
      </c>
      <c r="U501" s="310">
        <f t="shared" si="312"/>
        <v>-0.49</v>
      </c>
      <c r="V501" s="310">
        <f t="shared" si="312"/>
        <v>-0.45999999999999996</v>
      </c>
      <c r="W501" s="310">
        <f t="shared" si="312"/>
        <v>-0.36</v>
      </c>
      <c r="X501" s="310">
        <f t="shared" si="312"/>
        <v>-0.39</v>
      </c>
      <c r="Y501" s="310">
        <f t="shared" si="312"/>
        <v>-0.31000000000000005</v>
      </c>
      <c r="Z501" s="310">
        <f t="shared" si="312"/>
        <v>-0.33999999999999997</v>
      </c>
      <c r="AA501" s="310"/>
      <c r="AB501" s="309" t="str">
        <f t="shared" si="280"/>
        <v>- Revision</v>
      </c>
      <c r="AC501" s="303" t="str">
        <f t="shared" si="281"/>
        <v>%</v>
      </c>
      <c r="AD501" s="303"/>
      <c r="AE501" s="303"/>
      <c r="AF501" s="310">
        <f t="shared" ref="AF501:AO501" si="313">IFERROR(ROUND( AF499 / AF498,2) - 1, 0)</f>
        <v>0</v>
      </c>
      <c r="AG501" s="310">
        <f t="shared" si="313"/>
        <v>0</v>
      </c>
      <c r="AH501" s="310">
        <f t="shared" si="313"/>
        <v>0</v>
      </c>
      <c r="AI501" s="310">
        <f t="shared" si="313"/>
        <v>0</v>
      </c>
      <c r="AJ501" s="310">
        <f t="shared" si="313"/>
        <v>0.3899999999999999</v>
      </c>
      <c r="AK501" s="310">
        <f t="shared" si="313"/>
        <v>-0.41000000000000003</v>
      </c>
      <c r="AL501" s="310">
        <f t="shared" si="313"/>
        <v>-0.65</v>
      </c>
      <c r="AM501" s="310">
        <f t="shared" si="313"/>
        <v>-0.47</v>
      </c>
      <c r="AN501" s="310">
        <f t="shared" si="313"/>
        <v>-0.37</v>
      </c>
      <c r="AO501" s="310">
        <f t="shared" si="313"/>
        <v>-0.32999999999999996</v>
      </c>
    </row>
    <row r="502" spans="2:41">
      <c r="B502" s="301" t="s">
        <v>1490</v>
      </c>
      <c r="C502" s="302" t="s">
        <v>1576</v>
      </c>
      <c r="D502" s="303" t="str">
        <f t="array" ref="D502">_xlfn.XLOOKUP($B502,$B$114:$B$212,_xlfn.XLOOKUP(D$219,$D$5:$AO$5,$D$114:$AO$212))</f>
        <v>NZ$m</v>
      </c>
      <c r="E502" s="303"/>
      <c r="F502" s="303"/>
      <c r="G502" s="304">
        <f t="array" ref="G502">_xlfn.XLOOKUP($B502,$B$114:$B$212,_xlfn.XLOOKUP(G$219,$D$5:$AO$5,$D$114:$AO$212))</f>
        <v>43.2</v>
      </c>
      <c r="H502" s="304">
        <f t="array" ref="H502">_xlfn.XLOOKUP($B502,$B$114:$B$212,_xlfn.XLOOKUP(H$219,$D$5:$AO$5,$D$114:$AO$212))</f>
        <v>46.8</v>
      </c>
      <c r="I502" s="304">
        <f t="array" ref="I502">_xlfn.XLOOKUP($B502,$B$114:$B$212,_xlfn.XLOOKUP(I$219,$D$5:$AO$5,$D$114:$AO$212))</f>
        <v>-19.5</v>
      </c>
      <c r="J502" s="304">
        <f t="array" ref="J502">_xlfn.XLOOKUP($B502,$B$114:$B$212,_xlfn.XLOOKUP(J$219,$D$5:$AO$5,$D$114:$AO$212))</f>
        <v>29.2</v>
      </c>
      <c r="K502" s="304">
        <f t="array" ref="K502">_xlfn.XLOOKUP($B502,$B$114:$B$212,_xlfn.XLOOKUP(K$219,$D$5:$AO$5,$D$114:$AO$212))</f>
        <v>72.8</v>
      </c>
      <c r="L502" s="304">
        <f t="array" ref="L502">_xlfn.XLOOKUP($B502,$B$114:$B$212,_xlfn.XLOOKUP(L$219,$D$5:$AO$5,$D$114:$AO$212))</f>
        <v>59.899999999999991</v>
      </c>
      <c r="M502" s="304">
        <f t="array" ref="M502">_xlfn.XLOOKUP($B502,$B$114:$B$212,_xlfn.XLOOKUP(M$219,$D$5:$AO$5,$D$114:$AO$212))</f>
        <v>64.5</v>
      </c>
      <c r="N502" s="304">
        <f t="array" ref="N502">_xlfn.XLOOKUP($B502,$B$114:$B$212,_xlfn.XLOOKUP(N$219,$D$5:$AO$5,$D$114:$AO$212))</f>
        <v>58.7</v>
      </c>
      <c r="O502" s="304">
        <f t="array" ref="O502">_xlfn.XLOOKUP($B502,$B$114:$B$212,_xlfn.XLOOKUP(O$219,$D$5:$AO$5,$D$114:$AO$212))</f>
        <v>37.799999999999997</v>
      </c>
      <c r="P502" s="304">
        <f t="array" ref="P502">_xlfn.XLOOKUP($B502,$B$114:$B$212,_xlfn.XLOOKUP(P$219,$D$5:$AO$5,$D$114:$AO$212))</f>
        <v>28.50156155413087</v>
      </c>
      <c r="Q502" s="304">
        <f t="array" ref="Q502">_xlfn.XLOOKUP($B502,$B$114:$B$212,_xlfn.XLOOKUP(Q$219,$D$5:$AO$5,$D$114:$AO$212))</f>
        <v>21.202640547429208</v>
      </c>
      <c r="R502" s="304">
        <f t="array" ref="R502">_xlfn.XLOOKUP($B502,$B$114:$B$212,_xlfn.XLOOKUP(R$219,$D$5:$AO$5,$D$114:$AO$212))</f>
        <v>32.116734342831947</v>
      </c>
      <c r="S502" s="304">
        <f t="array" ref="S502">_xlfn.XLOOKUP($B502,$B$114:$B$212,_xlfn.XLOOKUP(S$219,$D$5:$AO$5,$D$114:$AO$212))</f>
        <v>39.85940235369074</v>
      </c>
      <c r="T502" s="304">
        <f t="array" ref="T502">_xlfn.XLOOKUP($B502,$B$114:$B$212,_xlfn.XLOOKUP(T$219,$D$5:$AO$5,$D$114:$AO$212))</f>
        <v>47.201244246448233</v>
      </c>
      <c r="U502" s="304">
        <f t="array" ref="U502">_xlfn.XLOOKUP($B502,$B$114:$B$212,_xlfn.XLOOKUP(U$219,$D$5:$AO$5,$D$114:$AO$212))</f>
        <v>48.883266568083037</v>
      </c>
      <c r="V502" s="304">
        <f t="array" ref="V502">_xlfn.XLOOKUP($B502,$B$114:$B$212,_xlfn.XLOOKUP(V$219,$D$5:$AO$5,$D$114:$AO$212))</f>
        <v>54.605281999355043</v>
      </c>
      <c r="W502" s="304">
        <f t="array" ref="W502">_xlfn.XLOOKUP($B502,$B$114:$B$212,_xlfn.XLOOKUP(W$219,$D$5:$AO$5,$D$114:$AO$212))</f>
        <v>57.102611584953173</v>
      </c>
      <c r="X502" s="304">
        <f t="array" ref="X502">_xlfn.XLOOKUP($B502,$B$114:$B$212,_xlfn.XLOOKUP(X$219,$D$5:$AO$5,$D$114:$AO$212))</f>
        <v>61.737491080650898</v>
      </c>
      <c r="Y502" s="304">
        <f t="array" ref="Y502">_xlfn.XLOOKUP($B502,$B$114:$B$212,_xlfn.XLOOKUP(Y$219,$D$5:$AO$5,$D$114:$AO$212))</f>
        <v>59.900604823202457</v>
      </c>
      <c r="Z502" s="304">
        <f t="array" ref="Z502">_xlfn.XLOOKUP($B502,$B$114:$B$212,_xlfn.XLOOKUP(Z$219,$D$5:$AO$5,$D$114:$AO$212))</f>
        <v>64.826590307498492</v>
      </c>
      <c r="AA502" s="305"/>
      <c r="AB502" s="302" t="str">
        <f t="shared" si="280"/>
        <v>Normalised NPAT - old</v>
      </c>
      <c r="AC502" s="303" t="str">
        <f t="shared" si="281"/>
        <v>NZ$m</v>
      </c>
      <c r="AD502" s="303"/>
      <c r="AE502" s="303"/>
      <c r="AF502" s="304">
        <f t="array" ref="AF502">_xlfn.XLOOKUP($B502,$B$114:$B$212,_xlfn.XLOOKUP(AF$219,$D$5:$AO$5,$D$114:$AO$212))</f>
        <v>90</v>
      </c>
      <c r="AG502" s="304">
        <f t="array" ref="AG502">_xlfn.XLOOKUP($B502,$B$114:$B$212,_xlfn.XLOOKUP(AG$219,$D$5:$AO$5,$D$114:$AO$212))</f>
        <v>9.6999999999999993</v>
      </c>
      <c r="AH502" s="304">
        <f t="array" ref="AH502">_xlfn.XLOOKUP($B502,$B$114:$B$212,_xlfn.XLOOKUP(AH$219,$D$5:$AO$5,$D$114:$AO$212))</f>
        <v>132.69999999999999</v>
      </c>
      <c r="AI502" s="304">
        <f t="array" ref="AI502">_xlfn.XLOOKUP($B502,$B$114:$B$212,_xlfn.XLOOKUP(AI$219,$D$5:$AO$5,$D$114:$AO$212))</f>
        <v>123.2</v>
      </c>
      <c r="AJ502" s="304">
        <f t="array" ref="AJ502">_xlfn.XLOOKUP($B502,$B$114:$B$212,_xlfn.XLOOKUP(AJ$219,$D$5:$AO$5,$D$114:$AO$212))</f>
        <v>66.30156155413087</v>
      </c>
      <c r="AK502" s="304">
        <f t="array" ref="AK502">_xlfn.XLOOKUP($B502,$B$114:$B$212,_xlfn.XLOOKUP(AK$219,$D$5:$AO$5,$D$114:$AO$212))</f>
        <v>53.319374890261173</v>
      </c>
      <c r="AL502" s="304">
        <f t="array" ref="AL502">_xlfn.XLOOKUP($B502,$B$114:$B$212,_xlfn.XLOOKUP(AL$219,$D$5:$AO$5,$D$114:$AO$212))</f>
        <v>87.060646600138966</v>
      </c>
      <c r="AM502" s="304">
        <f t="array" ref="AM502">_xlfn.XLOOKUP($B502,$B$114:$B$212,_xlfn.XLOOKUP(AM$219,$D$5:$AO$5,$D$114:$AO$212))</f>
        <v>103.4885485674381</v>
      </c>
      <c r="AN502" s="304">
        <f t="array" ref="AN502">_xlfn.XLOOKUP($B502,$B$114:$B$212,_xlfn.XLOOKUP(AN$219,$D$5:$AO$5,$D$114:$AO$212))</f>
        <v>118.84010266560411</v>
      </c>
      <c r="AO502" s="304">
        <f t="array" ref="AO502">_xlfn.XLOOKUP($B502,$B$114:$B$212,_xlfn.XLOOKUP(AO$219,$D$5:$AO$5,$D$114:$AO$212))</f>
        <v>124.72719513070091</v>
      </c>
    </row>
    <row r="503" spans="2:41">
      <c r="B503" s="301" t="s">
        <v>1490</v>
      </c>
      <c r="C503" s="306" t="s">
        <v>1577</v>
      </c>
      <c r="D503" s="307" t="str">
        <f t="array" ref="D503">_xlfn.XLOOKUP($B503,$B$11:$B$109,_xlfn.XLOOKUP(D$219,$D$5:$AO$5,$D$11:$AO$109))</f>
        <v>NZ$m</v>
      </c>
      <c r="E503" s="307"/>
      <c r="F503" s="307"/>
      <c r="G503" s="308">
        <f t="array" ref="G503">_xlfn.XLOOKUP($B503,$B$11:$B$109,_xlfn.XLOOKUP(G$219,$D$5:$AO$5,$D$11:$AO$109))</f>
        <v>43.2</v>
      </c>
      <c r="H503" s="308">
        <f t="array" ref="H503">_xlfn.XLOOKUP($B503,$B$11:$B$109,_xlfn.XLOOKUP(H$219,$D$5:$AO$5,$D$11:$AO$109))</f>
        <v>46.8</v>
      </c>
      <c r="I503" s="308">
        <f t="array" ref="I503">_xlfn.XLOOKUP($B503,$B$11:$B$109,_xlfn.XLOOKUP(I$219,$D$5:$AO$5,$D$11:$AO$109))</f>
        <v>-19.5</v>
      </c>
      <c r="J503" s="308">
        <f t="array" ref="J503">_xlfn.XLOOKUP($B503,$B$11:$B$109,_xlfn.XLOOKUP(J$219,$D$5:$AO$5,$D$11:$AO$109))</f>
        <v>29.2</v>
      </c>
      <c r="K503" s="308">
        <f t="array" ref="K503">_xlfn.XLOOKUP($B503,$B$11:$B$109,_xlfn.XLOOKUP(K$219,$D$5:$AO$5,$D$11:$AO$109))</f>
        <v>72.8</v>
      </c>
      <c r="L503" s="308">
        <f t="array" ref="L503">_xlfn.XLOOKUP($B503,$B$11:$B$109,_xlfn.XLOOKUP(L$219,$D$5:$AO$5,$D$11:$AO$109))</f>
        <v>59.899999999999991</v>
      </c>
      <c r="M503" s="308">
        <f t="array" ref="M503">_xlfn.XLOOKUP($B503,$B$11:$B$109,_xlfn.XLOOKUP(M$219,$D$5:$AO$5,$D$11:$AO$109))</f>
        <v>64.5</v>
      </c>
      <c r="N503" s="308">
        <f t="array" ref="N503">_xlfn.XLOOKUP($B503,$B$11:$B$109,_xlfn.XLOOKUP(N$219,$D$5:$AO$5,$D$11:$AO$109))</f>
        <v>58.7</v>
      </c>
      <c r="O503" s="308">
        <f t="array" ref="O503">_xlfn.XLOOKUP($B503,$B$11:$B$109,_xlfn.XLOOKUP(O$219,$D$5:$AO$5,$D$11:$AO$109))</f>
        <v>44.2</v>
      </c>
      <c r="P503" s="308">
        <f t="array" ref="P503">_xlfn.XLOOKUP($B503,$B$11:$B$109,_xlfn.XLOOKUP(P$219,$D$5:$AO$5,$D$11:$AO$109))</f>
        <v>27.299999999999997</v>
      </c>
      <c r="Q503" s="308">
        <f t="array" ref="Q503">_xlfn.XLOOKUP($B503,$B$11:$B$109,_xlfn.XLOOKUP(Q$219,$D$5:$AO$5,$D$11:$AO$109))</f>
        <v>14.4</v>
      </c>
      <c r="R503" s="308">
        <f t="array" ref="R503">_xlfn.XLOOKUP($B503,$B$11:$B$109,_xlfn.XLOOKUP(R$219,$D$5:$AO$5,$D$11:$AO$109))</f>
        <v>23.6</v>
      </c>
      <c r="S503" s="308">
        <f t="array" ref="S503">_xlfn.XLOOKUP($B503,$B$11:$B$109,_xlfn.XLOOKUP(S$219,$D$5:$AO$5,$D$11:$AO$109))</f>
        <v>9.4200085800075293</v>
      </c>
      <c r="T503" s="308">
        <f t="array" ref="T503">_xlfn.XLOOKUP($B503,$B$11:$B$109,_xlfn.XLOOKUP(T$219,$D$5:$AO$5,$D$11:$AO$109))</f>
        <v>21.030314271929804</v>
      </c>
      <c r="U503" s="308">
        <f t="array" ref="U503">_xlfn.XLOOKUP($B503,$B$11:$B$109,_xlfn.XLOOKUP(U$219,$D$5:$AO$5,$D$11:$AO$109))</f>
        <v>25.007743361611958</v>
      </c>
      <c r="V503" s="308">
        <f t="array" ref="V503">_xlfn.XLOOKUP($B503,$B$11:$B$109,_xlfn.XLOOKUP(V$219,$D$5:$AO$5,$D$11:$AO$109))</f>
        <v>29.756667714427941</v>
      </c>
      <c r="W503" s="308">
        <f t="array" ref="W503">_xlfn.XLOOKUP($B503,$B$11:$B$109,_xlfn.XLOOKUP(W$219,$D$5:$AO$5,$D$11:$AO$109))</f>
        <v>36.616760165445974</v>
      </c>
      <c r="X503" s="308">
        <f t="array" ref="X503">_xlfn.XLOOKUP($B503,$B$11:$B$109,_xlfn.XLOOKUP(X$219,$D$5:$AO$5,$D$11:$AO$109))</f>
        <v>37.960595380417246</v>
      </c>
      <c r="Y503" s="308">
        <f t="array" ref="Y503">_xlfn.XLOOKUP($B503,$B$11:$B$109,_xlfn.XLOOKUP(Y$219,$D$5:$AO$5,$D$11:$AO$109))</f>
        <v>41.284732032036537</v>
      </c>
      <c r="Z503" s="308">
        <f t="array" ref="Z503">_xlfn.XLOOKUP($B503,$B$11:$B$109,_xlfn.XLOOKUP(Z$219,$D$5:$AO$5,$D$11:$AO$109))</f>
        <v>42.746235374936703</v>
      </c>
      <c r="AA503" s="308"/>
      <c r="AB503" s="306" t="str">
        <f t="shared" si="280"/>
        <v>Normalised NPAT - New</v>
      </c>
      <c r="AC503" s="307" t="str">
        <f t="shared" si="281"/>
        <v>NZ$m</v>
      </c>
      <c r="AD503" s="307"/>
      <c r="AE503" s="307"/>
      <c r="AF503" s="308">
        <f t="array" ref="AF503">_xlfn.XLOOKUP($B503,$B$11:$B$109,_xlfn.XLOOKUP(AF$219,$D$5:$AO$5,$D$11:$AO$109))</f>
        <v>90</v>
      </c>
      <c r="AG503" s="308">
        <f t="array" ref="AG503">_xlfn.XLOOKUP($B503,$B$11:$B$109,_xlfn.XLOOKUP(AG$219,$D$5:$AO$5,$D$11:$AO$109))</f>
        <v>9.6999999999999993</v>
      </c>
      <c r="AH503" s="308">
        <f t="array" ref="AH503">_xlfn.XLOOKUP($B503,$B$11:$B$109,_xlfn.XLOOKUP(AH$219,$D$5:$AO$5,$D$11:$AO$109))</f>
        <v>132.69999999999999</v>
      </c>
      <c r="AI503" s="308">
        <f t="array" ref="AI503">_xlfn.XLOOKUP($B503,$B$11:$B$109,_xlfn.XLOOKUP(AI$219,$D$5:$AO$5,$D$11:$AO$109))</f>
        <v>123.2</v>
      </c>
      <c r="AJ503" s="308">
        <f t="array" ref="AJ503">_xlfn.XLOOKUP($B503,$B$11:$B$109,_xlfn.XLOOKUP(AJ$219,$D$5:$AO$5,$D$11:$AO$109))</f>
        <v>71.5</v>
      </c>
      <c r="AK503" s="308">
        <f t="array" ref="AK503">_xlfn.XLOOKUP($B503,$B$11:$B$109,_xlfn.XLOOKUP(AK$219,$D$5:$AO$5,$D$11:$AO$109))</f>
        <v>38</v>
      </c>
      <c r="AL503" s="308">
        <f t="array" ref="AL503">_xlfn.XLOOKUP($B503,$B$11:$B$109,_xlfn.XLOOKUP(AL$219,$D$5:$AO$5,$D$11:$AO$109))</f>
        <v>30.450322851937333</v>
      </c>
      <c r="AM503" s="308">
        <f t="array" ref="AM503">_xlfn.XLOOKUP($B503,$B$11:$B$109,_xlfn.XLOOKUP(AM$219,$D$5:$AO$5,$D$11:$AO$109))</f>
        <v>54.764411076039899</v>
      </c>
      <c r="AN503" s="308">
        <f t="array" ref="AN503">_xlfn.XLOOKUP($B503,$B$11:$B$109,_xlfn.XLOOKUP(AN$219,$D$5:$AO$5,$D$11:$AO$109))</f>
        <v>74.577355545863213</v>
      </c>
      <c r="AO503" s="308">
        <f t="array" ref="AO503">_xlfn.XLOOKUP($B503,$B$11:$B$109,_xlfn.XLOOKUP(AO$219,$D$5:$AO$5,$D$11:$AO$109))</f>
        <v>84.030967406973247</v>
      </c>
    </row>
    <row r="504" spans="2:41" hidden="1" outlineLevel="1">
      <c r="B504" s="301"/>
      <c r="C504" s="309" t="s">
        <v>1510</v>
      </c>
      <c r="D504" s="303" t="s">
        <v>88</v>
      </c>
      <c r="E504" s="303"/>
      <c r="F504" s="303"/>
      <c r="G504" s="310" t="s">
        <v>967</v>
      </c>
      <c r="H504" s="310" t="s">
        <v>967</v>
      </c>
      <c r="I504" s="310">
        <f t="shared" ref="I504:Z504" si="314">I503/G503-1</f>
        <v>-1.4513888888888888</v>
      </c>
      <c r="J504" s="310">
        <f t="shared" si="314"/>
        <v>-0.37606837606837606</v>
      </c>
      <c r="K504" s="310">
        <f t="shared" si="314"/>
        <v>-4.7333333333333334</v>
      </c>
      <c r="L504" s="310">
        <f t="shared" si="314"/>
        <v>1.0513698630136985</v>
      </c>
      <c r="M504" s="310">
        <f t="shared" si="314"/>
        <v>-0.11401098901098894</v>
      </c>
      <c r="N504" s="310">
        <f t="shared" si="314"/>
        <v>-2.0033388981635869E-2</v>
      </c>
      <c r="O504" s="310">
        <f t="shared" si="314"/>
        <v>-0.31472868217054262</v>
      </c>
      <c r="P504" s="310">
        <f t="shared" si="314"/>
        <v>-0.53492333901192513</v>
      </c>
      <c r="Q504" s="310">
        <f t="shared" si="314"/>
        <v>-0.67420814479638014</v>
      </c>
      <c r="R504" s="310">
        <f t="shared" si="314"/>
        <v>-0.13553113553113538</v>
      </c>
      <c r="S504" s="310">
        <f t="shared" si="314"/>
        <v>-0.34583273749947718</v>
      </c>
      <c r="T504" s="310">
        <f t="shared" si="314"/>
        <v>-0.10888498847755079</v>
      </c>
      <c r="U504" s="310">
        <f t="shared" si="314"/>
        <v>1.6547474080529945</v>
      </c>
      <c r="V504" s="310">
        <f t="shared" si="314"/>
        <v>0.41494165658501969</v>
      </c>
      <c r="W504" s="310">
        <f t="shared" si="314"/>
        <v>0.46421688818409712</v>
      </c>
      <c r="X504" s="310">
        <f t="shared" si="314"/>
        <v>0.27570048315630169</v>
      </c>
      <c r="Y504" s="310">
        <f t="shared" si="314"/>
        <v>0.12748183742906805</v>
      </c>
      <c r="Z504" s="310">
        <f t="shared" si="314"/>
        <v>0.12606862317518419</v>
      </c>
      <c r="AA504" s="311"/>
      <c r="AB504" s="309" t="str">
        <f t="shared" si="280"/>
        <v>- Growth</v>
      </c>
      <c r="AC504" s="303" t="str">
        <f t="shared" si="281"/>
        <v>%</v>
      </c>
      <c r="AD504" s="303"/>
      <c r="AE504" s="303"/>
      <c r="AF504" s="310" t="s">
        <v>967</v>
      </c>
      <c r="AG504" s="310">
        <f t="shared" ref="AG504:AO504" si="315">AG503/AF503-1</f>
        <v>-0.89222222222222225</v>
      </c>
      <c r="AH504" s="310">
        <f t="shared" si="315"/>
        <v>12.68041237113402</v>
      </c>
      <c r="AI504" s="310">
        <f t="shared" si="315"/>
        <v>-7.159005275056507E-2</v>
      </c>
      <c r="AJ504" s="310">
        <f t="shared" si="315"/>
        <v>-0.41964285714285721</v>
      </c>
      <c r="AK504" s="310">
        <f t="shared" si="315"/>
        <v>-0.46853146853146854</v>
      </c>
      <c r="AL504" s="310">
        <f t="shared" si="315"/>
        <v>-0.19867571442270171</v>
      </c>
      <c r="AM504" s="310">
        <f t="shared" si="315"/>
        <v>0.79848375803199856</v>
      </c>
      <c r="AN504" s="310">
        <f t="shared" si="315"/>
        <v>0.36178503667853223</v>
      </c>
      <c r="AO504" s="310">
        <f t="shared" si="315"/>
        <v>0.1267624977034254</v>
      </c>
    </row>
    <row r="505" spans="2:41" collapsed="1">
      <c r="B505" s="301"/>
      <c r="C505" s="309" t="s">
        <v>1511</v>
      </c>
      <c r="D505" s="303" t="s">
        <v>88</v>
      </c>
      <c r="E505" s="303"/>
      <c r="F505" s="303"/>
      <c r="G505" s="310">
        <f t="shared" ref="G505:Z505" si="316">IFERROR(ROUND( G503 / G502,2) - 1, 0)</f>
        <v>0</v>
      </c>
      <c r="H505" s="310">
        <f t="shared" si="316"/>
        <v>0</v>
      </c>
      <c r="I505" s="310">
        <f t="shared" si="316"/>
        <v>0</v>
      </c>
      <c r="J505" s="310">
        <f t="shared" si="316"/>
        <v>0</v>
      </c>
      <c r="K505" s="310">
        <f t="shared" si="316"/>
        <v>0</v>
      </c>
      <c r="L505" s="310">
        <f t="shared" si="316"/>
        <v>0</v>
      </c>
      <c r="M505" s="310">
        <f t="shared" si="316"/>
        <v>0</v>
      </c>
      <c r="N505" s="310">
        <f t="shared" si="316"/>
        <v>0</v>
      </c>
      <c r="O505" s="310">
        <f t="shared" si="316"/>
        <v>0.16999999999999993</v>
      </c>
      <c r="P505" s="310">
        <f t="shared" si="316"/>
        <v>-4.0000000000000036E-2</v>
      </c>
      <c r="Q505" s="310">
        <f t="shared" si="316"/>
        <v>-0.31999999999999995</v>
      </c>
      <c r="R505" s="310">
        <f t="shared" si="316"/>
        <v>-0.27</v>
      </c>
      <c r="S505" s="310">
        <f t="shared" si="316"/>
        <v>-0.76</v>
      </c>
      <c r="T505" s="310">
        <f t="shared" si="316"/>
        <v>-0.55000000000000004</v>
      </c>
      <c r="U505" s="310">
        <f t="shared" si="316"/>
        <v>-0.49</v>
      </c>
      <c r="V505" s="310">
        <f t="shared" si="316"/>
        <v>-0.45999999999999996</v>
      </c>
      <c r="W505" s="310">
        <f t="shared" si="316"/>
        <v>-0.36</v>
      </c>
      <c r="X505" s="310">
        <f t="shared" si="316"/>
        <v>-0.39</v>
      </c>
      <c r="Y505" s="310">
        <f t="shared" si="316"/>
        <v>-0.31000000000000005</v>
      </c>
      <c r="Z505" s="310">
        <f t="shared" si="316"/>
        <v>-0.33999999999999997</v>
      </c>
      <c r="AA505" s="310"/>
      <c r="AB505" s="309" t="str">
        <f t="shared" si="280"/>
        <v>- Revision</v>
      </c>
      <c r="AC505" s="303" t="str">
        <f t="shared" si="281"/>
        <v>%</v>
      </c>
      <c r="AD505" s="303"/>
      <c r="AE505" s="303"/>
      <c r="AF505" s="310">
        <f t="shared" ref="AF505:AO505" si="317">IFERROR(ROUND( AF503 / AF502,2) - 1, 0)</f>
        <v>0</v>
      </c>
      <c r="AG505" s="310">
        <f t="shared" si="317"/>
        <v>0</v>
      </c>
      <c r="AH505" s="310">
        <f t="shared" si="317"/>
        <v>0</v>
      </c>
      <c r="AI505" s="310">
        <f t="shared" si="317"/>
        <v>0</v>
      </c>
      <c r="AJ505" s="310">
        <f t="shared" si="317"/>
        <v>8.0000000000000071E-2</v>
      </c>
      <c r="AK505" s="310">
        <f t="shared" si="317"/>
        <v>-0.29000000000000004</v>
      </c>
      <c r="AL505" s="310">
        <f t="shared" si="317"/>
        <v>-0.65</v>
      </c>
      <c r="AM505" s="310">
        <f t="shared" si="317"/>
        <v>-0.47</v>
      </c>
      <c r="AN505" s="310">
        <f t="shared" si="317"/>
        <v>-0.37</v>
      </c>
      <c r="AO505" s="310">
        <f t="shared" si="317"/>
        <v>-0.32999999999999996</v>
      </c>
    </row>
    <row r="506" spans="2:41">
      <c r="B506" s="301" t="s">
        <v>1491</v>
      </c>
      <c r="C506" s="302" t="s">
        <v>1578</v>
      </c>
      <c r="D506" s="303" t="str">
        <f t="array" ref="D506">_xlfn.XLOOKUP($B506,$B$114:$B$212,_xlfn.XLOOKUP(D$219,$D$5:$AO$5,$D$114:$AO$212))</f>
        <v>cps</v>
      </c>
      <c r="E506" s="303"/>
      <c r="F506" s="303"/>
      <c r="G506" s="319">
        <f t="array" ref="G506">_xlfn.XLOOKUP($B506,$B$114:$B$212,_xlfn.XLOOKUP(G$219,$D$5:$AO$5,$D$114:$AO$212))</f>
        <v>5.7</v>
      </c>
      <c r="H506" s="319">
        <f t="array" ref="H506">_xlfn.XLOOKUP($B506,$B$114:$B$212,_xlfn.XLOOKUP(H$219,$D$5:$AO$5,$D$114:$AO$212))</f>
        <v>6.2</v>
      </c>
      <c r="I506" s="319">
        <f t="array" ref="I506">_xlfn.XLOOKUP($B506,$B$114:$B$212,_xlfn.XLOOKUP(I$219,$D$5:$AO$5,$D$114:$AO$212))</f>
        <v>-2.6</v>
      </c>
      <c r="J506" s="319">
        <f t="array" ref="J506">_xlfn.XLOOKUP($B506,$B$114:$B$212,_xlfn.XLOOKUP(J$219,$D$5:$AO$5,$D$114:$AO$212))</f>
        <v>3.9</v>
      </c>
      <c r="K506" s="319">
        <f t="array" ref="K506">_xlfn.XLOOKUP($B506,$B$114:$B$212,_xlfn.XLOOKUP(K$219,$D$5:$AO$5,$D$114:$AO$212))</f>
        <v>9.6</v>
      </c>
      <c r="L506" s="319">
        <f t="array" ref="L506">_xlfn.XLOOKUP($B506,$B$114:$B$212,_xlfn.XLOOKUP(L$219,$D$5:$AO$5,$D$114:$AO$212))</f>
        <v>8.7000000000000011</v>
      </c>
      <c r="M506" s="319">
        <f t="array" ref="M506">_xlfn.XLOOKUP($B506,$B$114:$B$212,_xlfn.XLOOKUP(M$219,$D$5:$AO$5,$D$114:$AO$212))</f>
        <v>8.8000000000000007</v>
      </c>
      <c r="N506" s="319">
        <f t="array" ref="N506">_xlfn.XLOOKUP($B506,$B$114:$B$212,_xlfn.XLOOKUP(N$219,$D$5:$AO$5,$D$114:$AO$212))</f>
        <v>7.3999999999999986</v>
      </c>
      <c r="O506" s="319">
        <f t="array" ref="O506">_xlfn.XLOOKUP($B506,$B$114:$B$212,_xlfn.XLOOKUP(O$219,$D$5:$AO$5,$D$114:$AO$212))</f>
        <v>5</v>
      </c>
      <c r="P506" s="319">
        <f t="array" ref="P506">_xlfn.XLOOKUP($B506,$B$114:$B$212,_xlfn.XLOOKUP(P$219,$D$5:$AO$5,$D$114:$AO$212))</f>
        <v>3.7491931411023609</v>
      </c>
      <c r="Q506" s="319">
        <f t="array" ref="Q506">_xlfn.XLOOKUP($B506,$B$114:$B$212,_xlfn.XLOOKUP(Q$219,$D$5:$AO$5,$D$114:$AO$212))</f>
        <v>2.7890680432616199</v>
      </c>
      <c r="R506" s="319">
        <f t="array" ref="R506">_xlfn.XLOOKUP($B506,$B$114:$B$212,_xlfn.XLOOKUP(R$219,$D$5:$AO$5,$D$114:$AO$212))</f>
        <v>4.2247453664622228</v>
      </c>
      <c r="S506" s="319">
        <f t="array" ref="S506">_xlfn.XLOOKUP($B506,$B$114:$B$212,_xlfn.XLOOKUP(S$219,$D$5:$AO$5,$D$114:$AO$212))</f>
        <v>5.2432424668759063</v>
      </c>
      <c r="T506" s="319">
        <f t="array" ref="T506">_xlfn.XLOOKUP($B506,$B$114:$B$212,_xlfn.XLOOKUP(T$219,$D$5:$AO$5,$D$114:$AO$212))</f>
        <v>6.2090135252477898</v>
      </c>
      <c r="U506" s="319">
        <f t="array" ref="U506">_xlfn.XLOOKUP($B506,$B$114:$B$212,_xlfn.XLOOKUP(U$219,$D$5:$AO$5,$D$114:$AO$212))</f>
        <v>6.4302725092328377</v>
      </c>
      <c r="V506" s="319">
        <f t="array" ref="V506">_xlfn.XLOOKUP($B506,$B$114:$B$212,_xlfn.XLOOKUP(V$219,$D$5:$AO$5,$D$114:$AO$212))</f>
        <v>7.1829660403385951</v>
      </c>
      <c r="W506" s="319">
        <f t="array" ref="W506">_xlfn.XLOOKUP($B506,$B$114:$B$212,_xlfn.XLOOKUP(W$219,$D$5:$AO$5,$D$114:$AO$212))</f>
        <v>7.511473337583138</v>
      </c>
      <c r="X506" s="319">
        <f t="array" ref="X506">_xlfn.XLOOKUP($B506,$B$114:$B$212,_xlfn.XLOOKUP(X$219,$D$5:$AO$5,$D$114:$AO$212))</f>
        <v>8.1211612798421271</v>
      </c>
      <c r="Y506" s="319">
        <f t="array" ref="Y506">_xlfn.XLOOKUP($B506,$B$114:$B$212,_xlfn.XLOOKUP(Y$219,$D$5:$AO$5,$D$114:$AO$212))</f>
        <v>7.8795309626985803</v>
      </c>
      <c r="Z506" s="319">
        <f t="array" ref="Z506">_xlfn.XLOOKUP($B506,$B$114:$B$212,_xlfn.XLOOKUP(Z$219,$D$5:$AO$5,$D$114:$AO$212))</f>
        <v>8.5275119849249137</v>
      </c>
      <c r="AA506" s="305"/>
      <c r="AB506" s="302" t="str">
        <f t="shared" si="280"/>
        <v>Normlised EPS - diluted - old</v>
      </c>
      <c r="AC506" s="303" t="str">
        <f t="shared" si="281"/>
        <v>cps</v>
      </c>
      <c r="AD506" s="303"/>
      <c r="AE506" s="303"/>
      <c r="AF506" s="319">
        <f t="array" ref="AF506">_xlfn.XLOOKUP($B506,$B$114:$B$212,_xlfn.XLOOKUP(AF$219,$D$5:$AO$5,$D$114:$AO$212))</f>
        <v>11.9</v>
      </c>
      <c r="AG506" s="319">
        <f t="array" ref="AG506">_xlfn.XLOOKUP($B506,$B$114:$B$212,_xlfn.XLOOKUP(AG$219,$D$5:$AO$5,$D$114:$AO$212))</f>
        <v>1.3</v>
      </c>
      <c r="AH506" s="319">
        <f t="array" ref="AH506">_xlfn.XLOOKUP($B506,$B$114:$B$212,_xlfn.XLOOKUP(AH$219,$D$5:$AO$5,$D$114:$AO$212))</f>
        <v>18.3</v>
      </c>
      <c r="AI506" s="319">
        <f t="array" ref="AI506">_xlfn.XLOOKUP($B506,$B$114:$B$212,_xlfn.XLOOKUP(AI$219,$D$5:$AO$5,$D$114:$AO$212))</f>
        <v>16.2</v>
      </c>
      <c r="AJ506" s="319">
        <f t="array" ref="AJ506">_xlfn.XLOOKUP($B506,$B$114:$B$212,_xlfn.XLOOKUP(AJ$219,$D$5:$AO$5,$D$114:$AO$212))</f>
        <v>8.74919314110236</v>
      </c>
      <c r="AK506" s="319">
        <f t="array" ref="AK506">_xlfn.XLOOKUP($B506,$B$114:$B$212,_xlfn.XLOOKUP(AK$219,$D$5:$AO$5,$D$114:$AO$212))</f>
        <v>7.0138134097238432</v>
      </c>
      <c r="AL506" s="319">
        <f t="array" ref="AL506">_xlfn.XLOOKUP($B506,$B$114:$B$212,_xlfn.XLOOKUP(AL$219,$D$5:$AO$5,$D$114:$AO$212))</f>
        <v>11.4522559921237</v>
      </c>
      <c r="AM506" s="319">
        <f t="array" ref="AM506">_xlfn.XLOOKUP($B506,$B$114:$B$212,_xlfn.XLOOKUP(AM$219,$D$5:$AO$5,$D$114:$AO$212))</f>
        <v>13.613238549571429</v>
      </c>
      <c r="AN506" s="319">
        <f t="array" ref="AN506">_xlfn.XLOOKUP($B506,$B$114:$B$212,_xlfn.XLOOKUP(AN$219,$D$5:$AO$5,$D$114:$AO$212))</f>
        <v>15.632634617425261</v>
      </c>
      <c r="AO506" s="319">
        <f t="array" ref="AO506">_xlfn.XLOOKUP($B506,$B$114:$B$212,_xlfn.XLOOKUP(AO$219,$D$5:$AO$5,$D$114:$AO$212))</f>
        <v>16.407042947623491</v>
      </c>
    </row>
    <row r="507" spans="2:41">
      <c r="B507" s="301" t="s">
        <v>1491</v>
      </c>
      <c r="C507" s="306" t="s">
        <v>1579</v>
      </c>
      <c r="D507" s="307" t="str">
        <f t="array" ref="D507">_xlfn.XLOOKUP($B507,$B$11:$B$109,_xlfn.XLOOKUP(D$219,$D$5:$AO$5,$D$11:$AO$109))</f>
        <v>cps</v>
      </c>
      <c r="E507" s="307"/>
      <c r="F507" s="307"/>
      <c r="G507" s="320">
        <f t="array" ref="G507">_xlfn.XLOOKUP($B507,$B$11:$B$109,_xlfn.XLOOKUP(G$219,$D$5:$AO$5,$D$11:$AO$109))</f>
        <v>5.7</v>
      </c>
      <c r="H507" s="320">
        <f t="array" ref="H507">_xlfn.XLOOKUP($B507,$B$11:$B$109,_xlfn.XLOOKUP(H$219,$D$5:$AO$5,$D$11:$AO$109))</f>
        <v>6.2</v>
      </c>
      <c r="I507" s="320">
        <f t="array" ref="I507">_xlfn.XLOOKUP($B507,$B$11:$B$109,_xlfn.XLOOKUP(I$219,$D$5:$AO$5,$D$11:$AO$109))</f>
        <v>-2.6</v>
      </c>
      <c r="J507" s="320">
        <f t="array" ref="J507">_xlfn.XLOOKUP($B507,$B$11:$B$109,_xlfn.XLOOKUP(J$219,$D$5:$AO$5,$D$11:$AO$109))</f>
        <v>3.9000000000000004</v>
      </c>
      <c r="K507" s="320">
        <f t="array" ref="K507">_xlfn.XLOOKUP($B507,$B$11:$B$109,_xlfn.XLOOKUP(K$219,$D$5:$AO$5,$D$11:$AO$109))</f>
        <v>9.6</v>
      </c>
      <c r="L507" s="320">
        <f t="array" ref="L507">_xlfn.XLOOKUP($B507,$B$11:$B$109,_xlfn.XLOOKUP(L$219,$D$5:$AO$5,$D$11:$AO$109))</f>
        <v>8.7000000000000011</v>
      </c>
      <c r="M507" s="320">
        <f t="array" ref="M507">_xlfn.XLOOKUP($B507,$B$11:$B$109,_xlfn.XLOOKUP(M$219,$D$5:$AO$5,$D$11:$AO$109))</f>
        <v>8.8000000000000007</v>
      </c>
      <c r="N507" s="320">
        <f t="array" ref="N507">_xlfn.XLOOKUP($B507,$B$11:$B$109,_xlfn.XLOOKUP(N$219,$D$5:$AO$5,$D$11:$AO$109))</f>
        <v>7.3999999999999986</v>
      </c>
      <c r="O507" s="320">
        <f t="array" ref="O507">_xlfn.XLOOKUP($B507,$B$11:$B$109,_xlfn.XLOOKUP(O$219,$D$5:$AO$5,$D$11:$AO$109))</f>
        <v>5</v>
      </c>
      <c r="P507" s="320">
        <f t="array" ref="P507">_xlfn.XLOOKUP($B507,$B$11:$B$109,_xlfn.XLOOKUP(P$219,$D$5:$AO$5,$D$11:$AO$109))</f>
        <v>4.4000000000000004</v>
      </c>
      <c r="Q507" s="320">
        <f t="array" ref="Q507">_xlfn.XLOOKUP($B507,$B$11:$B$109,_xlfn.XLOOKUP(Q$219,$D$5:$AO$5,$D$11:$AO$109))</f>
        <v>1.5</v>
      </c>
      <c r="R507" s="320">
        <f t="array" ref="R507">_xlfn.XLOOKUP($B507,$B$11:$B$109,_xlfn.XLOOKUP(R$219,$D$5:$AO$5,$D$11:$AO$109))</f>
        <v>2.2000000000000002</v>
      </c>
      <c r="S507" s="320">
        <f t="array" ref="S507">_xlfn.XLOOKUP($B507,$B$11:$B$109,_xlfn.XLOOKUP(S$219,$D$5:$AO$5,$D$11:$AO$109))</f>
        <v>0.85399260949191125</v>
      </c>
      <c r="T507" s="320">
        <f t="array" ref="T507">_xlfn.XLOOKUP($B507,$B$11:$B$109,_xlfn.XLOOKUP(T$219,$D$5:$AO$5,$D$11:$AO$109))</f>
        <v>1.9065516566128184</v>
      </c>
      <c r="U507" s="320">
        <f t="array" ref="U507">_xlfn.XLOOKUP($B507,$B$11:$B$109,_xlfn.XLOOKUP(U$219,$D$5:$AO$5,$D$11:$AO$109))</f>
        <v>2.2671346665450649</v>
      </c>
      <c r="V507" s="320">
        <f t="array" ref="V507">_xlfn.XLOOKUP($B507,$B$11:$B$109,_xlfn.XLOOKUP(V$219,$D$5:$AO$5,$D$11:$AO$109))</f>
        <v>2.697659359372655</v>
      </c>
      <c r="W507" s="320">
        <f t="array" ref="W507">_xlfn.XLOOKUP($B507,$B$11:$B$109,_xlfn.XLOOKUP(W$219,$D$5:$AO$5,$D$11:$AO$109))</f>
        <v>3.3195768665429051</v>
      </c>
      <c r="X507" s="320">
        <f t="array" ref="X507">_xlfn.XLOOKUP($B507,$B$11:$B$109,_xlfn.XLOOKUP(X$219,$D$5:$AO$5,$D$11:$AO$109))</f>
        <v>3.4414053481428155</v>
      </c>
      <c r="Y507" s="320">
        <f t="array" ref="Y507">_xlfn.XLOOKUP($B507,$B$11:$B$109,_xlfn.XLOOKUP(Y$219,$D$5:$AO$5,$D$11:$AO$109))</f>
        <v>3.7427626249768231</v>
      </c>
      <c r="Z507" s="320">
        <f t="array" ref="Z507">_xlfn.XLOOKUP($B507,$B$11:$B$109,_xlfn.XLOOKUP(Z$219,$D$5:$AO$5,$D$11:$AO$109))</f>
        <v>3.8752585821708951</v>
      </c>
      <c r="AA507" s="308"/>
      <c r="AB507" s="306" t="str">
        <f t="shared" si="280"/>
        <v>Normlised EPS - diluted - New</v>
      </c>
      <c r="AC507" s="307" t="str">
        <f t="shared" si="281"/>
        <v>cps</v>
      </c>
      <c r="AD507" s="307"/>
      <c r="AE507" s="307"/>
      <c r="AF507" s="320">
        <f t="array" ref="AF507">_xlfn.XLOOKUP($B507,$B$11:$B$109,_xlfn.XLOOKUP(AF$219,$D$5:$AO$5,$D$11:$AO$109))</f>
        <v>11.9</v>
      </c>
      <c r="AG507" s="320">
        <f t="array" ref="AG507">_xlfn.XLOOKUP($B507,$B$11:$B$109,_xlfn.XLOOKUP(AG$219,$D$5:$AO$5,$D$11:$AO$109))</f>
        <v>1.3000000000000003</v>
      </c>
      <c r="AH507" s="320">
        <f t="array" ref="AH507">_xlfn.XLOOKUP($B507,$B$11:$B$109,_xlfn.XLOOKUP(AH$219,$D$5:$AO$5,$D$11:$AO$109))</f>
        <v>18.3</v>
      </c>
      <c r="AI507" s="320">
        <f t="array" ref="AI507">_xlfn.XLOOKUP($B507,$B$11:$B$109,_xlfn.XLOOKUP(AI$219,$D$5:$AO$5,$D$11:$AO$109))</f>
        <v>16.2</v>
      </c>
      <c r="AJ507" s="320">
        <f t="array" ref="AJ507">_xlfn.XLOOKUP($B507,$B$11:$B$109,_xlfn.XLOOKUP(AJ$219,$D$5:$AO$5,$D$11:$AO$109))</f>
        <v>9.4</v>
      </c>
      <c r="AK507" s="320">
        <f t="array" ref="AK507">_xlfn.XLOOKUP($B507,$B$11:$B$109,_xlfn.XLOOKUP(AK$219,$D$5:$AO$5,$D$11:$AO$109))</f>
        <v>3.7</v>
      </c>
      <c r="AL507" s="320">
        <f t="array" ref="AL507">_xlfn.XLOOKUP($B507,$B$11:$B$109,_xlfn.XLOOKUP(AL$219,$D$5:$AO$5,$D$11:$AO$109))</f>
        <v>2.7605442661047297</v>
      </c>
      <c r="AM507" s="320">
        <f t="array" ref="AM507">_xlfn.XLOOKUP($B507,$B$11:$B$109,_xlfn.XLOOKUP(AM$219,$D$5:$AO$5,$D$11:$AO$109))</f>
        <v>4.9647940259177199</v>
      </c>
      <c r="AN507" s="320">
        <f t="array" ref="AN507">_xlfn.XLOOKUP($B507,$B$11:$B$109,_xlfn.XLOOKUP(AN$219,$D$5:$AO$5,$D$11:$AO$109))</f>
        <v>6.7609822146857201</v>
      </c>
      <c r="AO507" s="320">
        <f t="array" ref="AO507">_xlfn.XLOOKUP($B507,$B$11:$B$109,_xlfn.XLOOKUP(AO$219,$D$5:$AO$5,$D$11:$AO$109))</f>
        <v>7.6180212071477182</v>
      </c>
    </row>
    <row r="508" spans="2:41" hidden="1" outlineLevel="1">
      <c r="B508" s="301"/>
      <c r="C508" s="309" t="s">
        <v>1510</v>
      </c>
      <c r="D508" s="303" t="s">
        <v>88</v>
      </c>
      <c r="E508" s="303"/>
      <c r="F508" s="303"/>
      <c r="G508" s="310" t="s">
        <v>967</v>
      </c>
      <c r="H508" s="310" t="s">
        <v>967</v>
      </c>
      <c r="I508" s="310">
        <f t="shared" ref="I508:Z508" si="318">I507/G507-1</f>
        <v>-1.4561403508771931</v>
      </c>
      <c r="J508" s="310">
        <f t="shared" si="318"/>
        <v>-0.37096774193548387</v>
      </c>
      <c r="K508" s="310">
        <f t="shared" si="318"/>
        <v>-4.6923076923076916</v>
      </c>
      <c r="L508" s="310">
        <f t="shared" si="318"/>
        <v>1.2307692307692308</v>
      </c>
      <c r="M508" s="310">
        <f t="shared" si="318"/>
        <v>-8.3333333333333259E-2</v>
      </c>
      <c r="N508" s="310">
        <f t="shared" si="318"/>
        <v>-0.1494252873563221</v>
      </c>
      <c r="O508" s="310">
        <f t="shared" si="318"/>
        <v>-0.43181818181818188</v>
      </c>
      <c r="P508" s="310">
        <f t="shared" si="318"/>
        <v>-0.40540540540540526</v>
      </c>
      <c r="Q508" s="310">
        <f t="shared" si="318"/>
        <v>-0.7</v>
      </c>
      <c r="R508" s="310">
        <f t="shared" si="318"/>
        <v>-0.5</v>
      </c>
      <c r="S508" s="310">
        <f t="shared" si="318"/>
        <v>-0.43067159367205921</v>
      </c>
      <c r="T508" s="310">
        <f t="shared" si="318"/>
        <v>-0.13338561063053711</v>
      </c>
      <c r="U508" s="310">
        <f t="shared" si="318"/>
        <v>1.6547474080529949</v>
      </c>
      <c r="V508" s="310">
        <f t="shared" si="318"/>
        <v>0.41494165658501969</v>
      </c>
      <c r="W508" s="310">
        <f t="shared" si="318"/>
        <v>0.4642168881840969</v>
      </c>
      <c r="X508" s="310">
        <f t="shared" si="318"/>
        <v>0.27570048315630169</v>
      </c>
      <c r="Y508" s="310">
        <f t="shared" si="318"/>
        <v>0.12748183742906805</v>
      </c>
      <c r="Z508" s="310">
        <f t="shared" si="318"/>
        <v>0.12606862317518397</v>
      </c>
      <c r="AA508" s="311"/>
      <c r="AB508" s="309" t="str">
        <f t="shared" si="280"/>
        <v>- Growth</v>
      </c>
      <c r="AC508" s="303" t="str">
        <f t="shared" si="281"/>
        <v>%</v>
      </c>
      <c r="AD508" s="303"/>
      <c r="AE508" s="303"/>
      <c r="AF508" s="310" t="s">
        <v>967</v>
      </c>
      <c r="AG508" s="310">
        <f t="shared" ref="AG508:AO508" si="319">AG507/AF507-1</f>
        <v>-0.89075630252100835</v>
      </c>
      <c r="AH508" s="310">
        <f t="shared" si="319"/>
        <v>13.076923076923075</v>
      </c>
      <c r="AI508" s="310">
        <f t="shared" si="319"/>
        <v>-0.11475409836065587</v>
      </c>
      <c r="AJ508" s="310">
        <f t="shared" si="319"/>
        <v>-0.41975308641975306</v>
      </c>
      <c r="AK508" s="310">
        <f t="shared" si="319"/>
        <v>-0.6063829787234043</v>
      </c>
      <c r="AL508" s="310">
        <f t="shared" si="319"/>
        <v>-0.25390695510682981</v>
      </c>
      <c r="AM508" s="310">
        <f t="shared" si="319"/>
        <v>0.79848375803199856</v>
      </c>
      <c r="AN508" s="310">
        <f t="shared" si="319"/>
        <v>0.36178503667853223</v>
      </c>
      <c r="AO508" s="310">
        <f t="shared" si="319"/>
        <v>0.1267624977034254</v>
      </c>
    </row>
    <row r="509" spans="2:41" collapsed="1">
      <c r="B509" s="301"/>
      <c r="C509" s="309" t="s">
        <v>1511</v>
      </c>
      <c r="D509" s="303" t="s">
        <v>88</v>
      </c>
      <c r="E509" s="303"/>
      <c r="F509" s="303"/>
      <c r="G509" s="310">
        <f t="shared" ref="G509:Z509" si="320">IFERROR(ROUND( G507 / G506,2) - 1, 0)</f>
        <v>0</v>
      </c>
      <c r="H509" s="310">
        <f t="shared" si="320"/>
        <v>0</v>
      </c>
      <c r="I509" s="310">
        <f t="shared" si="320"/>
        <v>0</v>
      </c>
      <c r="J509" s="310">
        <f t="shared" si="320"/>
        <v>0</v>
      </c>
      <c r="K509" s="310">
        <f t="shared" si="320"/>
        <v>0</v>
      </c>
      <c r="L509" s="310">
        <f t="shared" si="320"/>
        <v>0</v>
      </c>
      <c r="M509" s="310">
        <f t="shared" si="320"/>
        <v>0</v>
      </c>
      <c r="N509" s="310">
        <f t="shared" si="320"/>
        <v>0</v>
      </c>
      <c r="O509" s="310">
        <f t="shared" si="320"/>
        <v>0</v>
      </c>
      <c r="P509" s="310">
        <f t="shared" si="320"/>
        <v>0.16999999999999993</v>
      </c>
      <c r="Q509" s="310">
        <f t="shared" si="320"/>
        <v>-0.45999999999999996</v>
      </c>
      <c r="R509" s="310">
        <f t="shared" si="320"/>
        <v>-0.48</v>
      </c>
      <c r="S509" s="310">
        <f t="shared" si="320"/>
        <v>-0.84</v>
      </c>
      <c r="T509" s="310">
        <f t="shared" si="320"/>
        <v>-0.69</v>
      </c>
      <c r="U509" s="310">
        <f t="shared" si="320"/>
        <v>-0.65</v>
      </c>
      <c r="V509" s="310">
        <f t="shared" si="320"/>
        <v>-0.62</v>
      </c>
      <c r="W509" s="310">
        <f t="shared" si="320"/>
        <v>-0.56000000000000005</v>
      </c>
      <c r="X509" s="310">
        <f t="shared" si="320"/>
        <v>-0.58000000000000007</v>
      </c>
      <c r="Y509" s="310">
        <f t="shared" si="320"/>
        <v>-0.53</v>
      </c>
      <c r="Z509" s="310">
        <f t="shared" si="320"/>
        <v>-0.55000000000000004</v>
      </c>
      <c r="AA509" s="310"/>
      <c r="AB509" s="309" t="str">
        <f t="shared" si="280"/>
        <v>- Revision</v>
      </c>
      <c r="AC509" s="303" t="str">
        <f t="shared" si="281"/>
        <v>%</v>
      </c>
      <c r="AD509" s="303"/>
      <c r="AE509" s="303"/>
      <c r="AF509" s="310">
        <f t="shared" ref="AF509:AO509" si="321">IFERROR(ROUND( AF507 / AF506,2) - 1, 0)</f>
        <v>0</v>
      </c>
      <c r="AG509" s="310">
        <f t="shared" si="321"/>
        <v>0</v>
      </c>
      <c r="AH509" s="310">
        <f t="shared" si="321"/>
        <v>0</v>
      </c>
      <c r="AI509" s="310">
        <f t="shared" si="321"/>
        <v>0</v>
      </c>
      <c r="AJ509" s="310">
        <f t="shared" si="321"/>
        <v>7.0000000000000062E-2</v>
      </c>
      <c r="AK509" s="310">
        <f t="shared" si="321"/>
        <v>-0.47</v>
      </c>
      <c r="AL509" s="310">
        <f t="shared" si="321"/>
        <v>-0.76</v>
      </c>
      <c r="AM509" s="310">
        <f t="shared" si="321"/>
        <v>-0.64</v>
      </c>
      <c r="AN509" s="310">
        <f t="shared" si="321"/>
        <v>-0.57000000000000006</v>
      </c>
      <c r="AO509" s="310">
        <f t="shared" si="321"/>
        <v>-0.54</v>
      </c>
    </row>
    <row r="510" spans="2:41">
      <c r="B510" s="301" t="s">
        <v>1492</v>
      </c>
      <c r="C510" s="302" t="s">
        <v>1580</v>
      </c>
      <c r="D510" s="303" t="str">
        <f t="array" ref="D510">_xlfn.XLOOKUP($B510,$B$114:$B$212,_xlfn.XLOOKUP(D$219,$D$5:$AO$5,$D$114:$AO$212))</f>
        <v>cps</v>
      </c>
      <c r="E510" s="303"/>
      <c r="F510" s="303"/>
      <c r="G510" s="319">
        <f t="array" ref="G510">_xlfn.XLOOKUP($B510,$B$114:$B$212,_xlfn.XLOOKUP(G$219,$D$5:$AO$5,$D$114:$AO$212))</f>
        <v>0</v>
      </c>
      <c r="H510" s="319">
        <f t="array" ref="H510">_xlfn.XLOOKUP($B510,$B$114:$B$212,_xlfn.XLOOKUP(H$219,$D$5:$AO$5,$D$114:$AO$212))</f>
        <v>7</v>
      </c>
      <c r="I510" s="319">
        <f t="array" ref="I510">_xlfn.XLOOKUP($B510,$B$114:$B$212,_xlfn.XLOOKUP(I$219,$D$5:$AO$5,$D$114:$AO$212))</f>
        <v>0</v>
      </c>
      <c r="J510" s="319">
        <f t="array" ref="J510">_xlfn.XLOOKUP($B510,$B$114:$B$212,_xlfn.XLOOKUP(J$219,$D$5:$AO$5,$D$114:$AO$212))</f>
        <v>0</v>
      </c>
      <c r="K510" s="319">
        <f t="array" ref="K510">_xlfn.XLOOKUP($B510,$B$114:$B$212,_xlfn.XLOOKUP(K$219,$D$5:$AO$5,$D$114:$AO$212))</f>
        <v>6</v>
      </c>
      <c r="L510" s="319">
        <f t="array" ref="L510">_xlfn.XLOOKUP($B510,$B$114:$B$212,_xlfn.XLOOKUP(L$219,$D$5:$AO$5,$D$114:$AO$212))</f>
        <v>6</v>
      </c>
      <c r="M510" s="319">
        <f t="array" ref="M510">_xlfn.XLOOKUP($B510,$B$114:$B$212,_xlfn.XLOOKUP(M$219,$D$5:$AO$5,$D$114:$AO$212))</f>
        <v>5.25</v>
      </c>
      <c r="N510" s="319">
        <f t="array" ref="N510">_xlfn.XLOOKUP($B510,$B$114:$B$212,_xlfn.XLOOKUP(N$219,$D$5:$AO$5,$D$114:$AO$212))</f>
        <v>0</v>
      </c>
      <c r="O510" s="319">
        <f t="array" ref="O510">_xlfn.XLOOKUP($B510,$B$114:$B$212,_xlfn.XLOOKUP(O$219,$D$5:$AO$5,$D$114:$AO$212))</f>
        <v>0</v>
      </c>
      <c r="P510" s="319">
        <f t="array" ref="P510">_xlfn.XLOOKUP($B510,$B$114:$B$212,_xlfn.XLOOKUP(P$219,$D$5:$AO$5,$D$114:$AO$212))</f>
        <v>0</v>
      </c>
      <c r="Q510" s="319">
        <f t="array" ref="Q510">_xlfn.XLOOKUP($B510,$B$114:$B$212,_xlfn.XLOOKUP(Q$219,$D$5:$AO$5,$D$114:$AO$212))</f>
        <v>2.9993545128818888</v>
      </c>
      <c r="R510" s="319">
        <f t="array" ref="R510">_xlfn.XLOOKUP($B510,$B$114:$B$212,_xlfn.XLOOKUP(R$219,$D$5:$AO$5,$D$114:$AO$212))</f>
        <v>2.1324825984370129E-2</v>
      </c>
      <c r="S510" s="319">
        <f t="array" ref="S510">_xlfn.XLOOKUP($B510,$B$114:$B$212,_xlfn.XLOOKUP(S$219,$D$5:$AO$5,$D$114:$AO$212))</f>
        <v>3.379796293169778</v>
      </c>
      <c r="T510" s="319">
        <f t="array" ref="T510">_xlfn.XLOOKUP($B510,$B$114:$B$212,_xlfn.XLOOKUP(T$219,$D$5:$AO$5,$D$114:$AO$212))</f>
        <v>4.1945939735007256</v>
      </c>
      <c r="U510" s="319">
        <f t="array" ref="U510">_xlfn.XLOOKUP($B510,$B$114:$B$212,_xlfn.XLOOKUP(U$219,$D$5:$AO$5,$D$114:$AO$212))</f>
        <v>4.9672108201982317</v>
      </c>
      <c r="V510" s="319">
        <f t="array" ref="V510">_xlfn.XLOOKUP($B510,$B$114:$B$212,_xlfn.XLOOKUP(V$219,$D$5:$AO$5,$D$114:$AO$212))</f>
        <v>5.1442180073862707</v>
      </c>
      <c r="W510" s="319">
        <f t="array" ref="W510">_xlfn.XLOOKUP($B510,$B$114:$B$212,_xlfn.XLOOKUP(W$219,$D$5:$AO$5,$D$114:$AO$212))</f>
        <v>5.7463728322708789</v>
      </c>
      <c r="X510" s="319">
        <f t="array" ref="X510">_xlfn.XLOOKUP($B510,$B$114:$B$212,_xlfn.XLOOKUP(X$219,$D$5:$AO$5,$D$114:$AO$212))</f>
        <v>6.0091786700665111</v>
      </c>
      <c r="Y510" s="319">
        <f t="array" ref="Y510">_xlfn.XLOOKUP($B510,$B$114:$B$212,_xlfn.XLOOKUP(Y$219,$D$5:$AO$5,$D$114:$AO$212))</f>
        <v>6.4969290238737019</v>
      </c>
      <c r="Z510" s="319">
        <f t="array" ref="Z510">_xlfn.XLOOKUP($B510,$B$114:$B$212,_xlfn.XLOOKUP(Z$219,$D$5:$AO$5,$D$114:$AO$212))</f>
        <v>6.3036247701588648</v>
      </c>
      <c r="AA510" s="305"/>
      <c r="AB510" s="302" t="str">
        <f t="shared" si="280"/>
        <v>DPS - old</v>
      </c>
      <c r="AC510" s="303" t="str">
        <f t="shared" si="281"/>
        <v>cps</v>
      </c>
      <c r="AD510" s="303"/>
      <c r="AE510" s="303"/>
      <c r="AF510" s="319">
        <f t="array" ref="AF510">_xlfn.XLOOKUP($B510,$B$114:$B$212,_xlfn.XLOOKUP(AF$219,$D$5:$AO$5,$D$114:$AO$212))</f>
        <v>7</v>
      </c>
      <c r="AG510" s="319">
        <f t="array" ref="AG510">_xlfn.XLOOKUP($B510,$B$114:$B$212,_xlfn.XLOOKUP(AG$219,$D$5:$AO$5,$D$114:$AO$212))</f>
        <v>0</v>
      </c>
      <c r="AH510" s="319">
        <f t="array" ref="AH510">_xlfn.XLOOKUP($B510,$B$114:$B$212,_xlfn.XLOOKUP(AH$219,$D$5:$AO$5,$D$114:$AO$212))</f>
        <v>12</v>
      </c>
      <c r="AI510" s="319">
        <f t="array" ref="AI510">_xlfn.XLOOKUP($B510,$B$114:$B$212,_xlfn.XLOOKUP(AI$219,$D$5:$AO$5,$D$114:$AO$212))</f>
        <v>5.25</v>
      </c>
      <c r="AJ510" s="319">
        <f t="array" ref="AJ510">_xlfn.XLOOKUP($B510,$B$114:$B$212,_xlfn.XLOOKUP(AJ$219,$D$5:$AO$5,$D$114:$AO$212))</f>
        <v>0</v>
      </c>
      <c r="AK510" s="319">
        <f t="array" ref="AK510">_xlfn.XLOOKUP($B510,$B$114:$B$212,_xlfn.XLOOKUP(AK$219,$D$5:$AO$5,$D$114:$AO$212))</f>
        <v>3.0206793388662589</v>
      </c>
      <c r="AL510" s="319">
        <f t="array" ref="AL510">_xlfn.XLOOKUP($B510,$B$114:$B$212,_xlfn.XLOOKUP(AL$219,$D$5:$AO$5,$D$114:$AO$212))</f>
        <v>7.5743902666705036</v>
      </c>
      <c r="AM510" s="319">
        <f t="array" ref="AM510">_xlfn.XLOOKUP($B510,$B$114:$B$212,_xlfn.XLOOKUP(AM$219,$D$5:$AO$5,$D$114:$AO$212))</f>
        <v>10.111428827584501</v>
      </c>
      <c r="AN510" s="319">
        <f t="array" ref="AN510">_xlfn.XLOOKUP($B510,$B$114:$B$212,_xlfn.XLOOKUP(AN$219,$D$5:$AO$5,$D$114:$AO$212))</f>
        <v>11.75555150233739</v>
      </c>
      <c r="AO510" s="319">
        <f t="array" ref="AO510">_xlfn.XLOOKUP($B510,$B$114:$B$212,_xlfn.XLOOKUP(AO$219,$D$5:$AO$5,$D$114:$AO$212))</f>
        <v>12.80055379403257</v>
      </c>
    </row>
    <row r="511" spans="2:41">
      <c r="B511" s="301" t="s">
        <v>1492</v>
      </c>
      <c r="C511" s="306" t="s">
        <v>1581</v>
      </c>
      <c r="D511" s="307" t="str">
        <f t="array" ref="D511">_xlfn.XLOOKUP($B511,$B$11:$B$109,_xlfn.XLOOKUP(D$219,$D$5:$AO$5,$D$11:$AO$109))</f>
        <v>cps</v>
      </c>
      <c r="E511" s="307"/>
      <c r="F511" s="307"/>
      <c r="G511" s="320">
        <f t="array" ref="G511">_xlfn.XLOOKUP($B511,$B$11:$B$109,_xlfn.XLOOKUP(G$219,$D$5:$AO$5,$D$11:$AO$109))</f>
        <v>0</v>
      </c>
      <c r="H511" s="320">
        <f t="array" ref="H511">_xlfn.XLOOKUP($B511,$B$11:$B$109,_xlfn.XLOOKUP(H$219,$D$5:$AO$5,$D$11:$AO$109))</f>
        <v>7</v>
      </c>
      <c r="I511" s="320">
        <f t="array" ref="I511">_xlfn.XLOOKUP($B511,$B$11:$B$109,_xlfn.XLOOKUP(I$219,$D$5:$AO$5,$D$11:$AO$109))</f>
        <v>0</v>
      </c>
      <c r="J511" s="320">
        <f t="array" ref="J511">_xlfn.XLOOKUP($B511,$B$11:$B$109,_xlfn.XLOOKUP(J$219,$D$5:$AO$5,$D$11:$AO$109))</f>
        <v>0</v>
      </c>
      <c r="K511" s="320">
        <f t="array" ref="K511">_xlfn.XLOOKUP($B511,$B$11:$B$109,_xlfn.XLOOKUP(K$219,$D$5:$AO$5,$D$11:$AO$109))</f>
        <v>6</v>
      </c>
      <c r="L511" s="320">
        <f t="array" ref="L511">_xlfn.XLOOKUP($B511,$B$11:$B$109,_xlfn.XLOOKUP(L$219,$D$5:$AO$5,$D$11:$AO$109))</f>
        <v>6</v>
      </c>
      <c r="M511" s="320">
        <f t="array" ref="M511">_xlfn.XLOOKUP($B511,$B$11:$B$109,_xlfn.XLOOKUP(M$219,$D$5:$AO$5,$D$11:$AO$109))</f>
        <v>5.25</v>
      </c>
      <c r="N511" s="320">
        <f t="array" ref="N511">_xlfn.XLOOKUP($B511,$B$11:$B$109,_xlfn.XLOOKUP(N$219,$D$5:$AO$5,$D$11:$AO$109))</f>
        <v>0</v>
      </c>
      <c r="O511" s="320">
        <f t="array" ref="O511">_xlfn.XLOOKUP($B511,$B$11:$B$109,_xlfn.XLOOKUP(O$219,$D$5:$AO$5,$D$11:$AO$109))</f>
        <v>0</v>
      </c>
      <c r="P511" s="320">
        <f t="array" ref="P511">_xlfn.XLOOKUP($B511,$B$11:$B$109,_xlfn.XLOOKUP(P$219,$D$5:$AO$5,$D$11:$AO$109))</f>
        <v>0</v>
      </c>
      <c r="Q511" s="320">
        <f t="array" ref="Q511">_xlfn.XLOOKUP($B511,$B$11:$B$109,_xlfn.XLOOKUP(Q$219,$D$5:$AO$5,$D$11:$AO$109))</f>
        <v>0</v>
      </c>
      <c r="R511" s="320">
        <f t="array" ref="R511">_xlfn.XLOOKUP($B511,$B$11:$B$109,_xlfn.XLOOKUP(R$219,$D$5:$AO$5,$D$11:$AO$109))</f>
        <v>0</v>
      </c>
      <c r="S511" s="320">
        <f t="array" ref="S511">_xlfn.XLOOKUP($B511,$B$11:$B$109,_xlfn.XLOOKUP(S$219,$D$5:$AO$5,$D$11:$AO$109))</f>
        <v>0</v>
      </c>
      <c r="T511" s="320">
        <f t="array" ref="T511">_xlfn.XLOOKUP($B511,$B$11:$B$109,_xlfn.XLOOKUP(T$219,$D$5:$AO$5,$D$11:$AO$109))</f>
        <v>0</v>
      </c>
      <c r="U511" s="320">
        <f t="array" ref="U511">_xlfn.XLOOKUP($B511,$B$11:$B$109,_xlfn.XLOOKUP(U$219,$D$5:$AO$5,$D$11:$AO$109))</f>
        <v>0</v>
      </c>
      <c r="V511" s="320">
        <f t="array" ref="V511">_xlfn.XLOOKUP($B511,$B$11:$B$109,_xlfn.XLOOKUP(V$219,$D$5:$AO$5,$D$11:$AO$109))</f>
        <v>0</v>
      </c>
      <c r="W511" s="320">
        <f t="array" ref="W511">_xlfn.XLOOKUP($B511,$B$11:$B$109,_xlfn.XLOOKUP(W$219,$D$5:$AO$5,$D$11:$AO$109))</f>
        <v>0</v>
      </c>
      <c r="X511" s="320">
        <f t="array" ref="X511">_xlfn.XLOOKUP($B511,$B$11:$B$109,_xlfn.XLOOKUP(X$219,$D$5:$AO$5,$D$11:$AO$109))</f>
        <v>0</v>
      </c>
      <c r="Y511" s="320">
        <f t="array" ref="Y511">_xlfn.XLOOKUP($B511,$B$11:$B$109,_xlfn.XLOOKUP(Y$219,$D$5:$AO$5,$D$11:$AO$109))</f>
        <v>0</v>
      </c>
      <c r="Z511" s="320">
        <f t="array" ref="Z511">_xlfn.XLOOKUP($B511,$B$11:$B$109,_xlfn.XLOOKUP(Z$219,$D$5:$AO$5,$D$11:$AO$109))</f>
        <v>0</v>
      </c>
      <c r="AA511" s="308"/>
      <c r="AB511" s="306" t="str">
        <f t="shared" si="280"/>
        <v>DPS - New</v>
      </c>
      <c r="AC511" s="307" t="str">
        <f t="shared" si="281"/>
        <v>cps</v>
      </c>
      <c r="AD511" s="307"/>
      <c r="AE511" s="307"/>
      <c r="AF511" s="320">
        <f t="array" ref="AF511">_xlfn.XLOOKUP($B511,$B$11:$B$109,_xlfn.XLOOKUP(AF$219,$D$5:$AO$5,$D$11:$AO$109))</f>
        <v>7</v>
      </c>
      <c r="AG511" s="320">
        <f t="array" ref="AG511">_xlfn.XLOOKUP($B511,$B$11:$B$109,_xlfn.XLOOKUP(AG$219,$D$5:$AO$5,$D$11:$AO$109))</f>
        <v>0</v>
      </c>
      <c r="AH511" s="320">
        <f t="array" ref="AH511">_xlfn.XLOOKUP($B511,$B$11:$B$109,_xlfn.XLOOKUP(AH$219,$D$5:$AO$5,$D$11:$AO$109))</f>
        <v>12</v>
      </c>
      <c r="AI511" s="320">
        <f t="array" ref="AI511">_xlfn.XLOOKUP($B511,$B$11:$B$109,_xlfn.XLOOKUP(AI$219,$D$5:$AO$5,$D$11:$AO$109))</f>
        <v>5.25</v>
      </c>
      <c r="AJ511" s="320">
        <f t="array" ref="AJ511">_xlfn.XLOOKUP($B511,$B$11:$B$109,_xlfn.XLOOKUP(AJ$219,$D$5:$AO$5,$D$11:$AO$109))</f>
        <v>0</v>
      </c>
      <c r="AK511" s="320">
        <f t="array" ref="AK511">_xlfn.XLOOKUP($B511,$B$11:$B$109,_xlfn.XLOOKUP(AK$219,$D$5:$AO$5,$D$11:$AO$109))</f>
        <v>0</v>
      </c>
      <c r="AL511" s="320">
        <f t="array" ref="AL511">_xlfn.XLOOKUP($B511,$B$11:$B$109,_xlfn.XLOOKUP(AL$219,$D$5:$AO$5,$D$11:$AO$109))</f>
        <v>0</v>
      </c>
      <c r="AM511" s="320">
        <f t="array" ref="AM511">_xlfn.XLOOKUP($B511,$B$11:$B$109,_xlfn.XLOOKUP(AM$219,$D$5:$AO$5,$D$11:$AO$109))</f>
        <v>0</v>
      </c>
      <c r="AN511" s="320">
        <f t="array" ref="AN511">_xlfn.XLOOKUP($B511,$B$11:$B$109,_xlfn.XLOOKUP(AN$219,$D$5:$AO$5,$D$11:$AO$109))</f>
        <v>0</v>
      </c>
      <c r="AO511" s="320">
        <f t="array" ref="AO511">_xlfn.XLOOKUP($B511,$B$11:$B$109,_xlfn.XLOOKUP(AO$219,$D$5:$AO$5,$D$11:$AO$109))</f>
        <v>0</v>
      </c>
    </row>
    <row r="512" spans="2:41" hidden="1" outlineLevel="1">
      <c r="B512" s="301"/>
      <c r="C512" s="309" t="s">
        <v>1510</v>
      </c>
      <c r="D512" s="303" t="s">
        <v>88</v>
      </c>
      <c r="E512" s="303"/>
      <c r="F512" s="303"/>
      <c r="G512" s="310" t="s">
        <v>967</v>
      </c>
      <c r="H512" s="310" t="s">
        <v>967</v>
      </c>
      <c r="I512" s="310" t="e">
        <f t="shared" ref="I512:Z512" si="322">I511/G511-1</f>
        <v>#DIV/0!</v>
      </c>
      <c r="J512" s="310">
        <f t="shared" si="322"/>
        <v>-1</v>
      </c>
      <c r="K512" s="310" t="e">
        <f t="shared" si="322"/>
        <v>#DIV/0!</v>
      </c>
      <c r="L512" s="310" t="e">
        <f t="shared" si="322"/>
        <v>#DIV/0!</v>
      </c>
      <c r="M512" s="310">
        <f t="shared" si="322"/>
        <v>-0.125</v>
      </c>
      <c r="N512" s="310">
        <f t="shared" si="322"/>
        <v>-1</v>
      </c>
      <c r="O512" s="310">
        <f t="shared" si="322"/>
        <v>-1</v>
      </c>
      <c r="P512" s="310" t="e">
        <f t="shared" si="322"/>
        <v>#DIV/0!</v>
      </c>
      <c r="Q512" s="310" t="e">
        <f t="shared" si="322"/>
        <v>#DIV/0!</v>
      </c>
      <c r="R512" s="310" t="e">
        <f t="shared" si="322"/>
        <v>#DIV/0!</v>
      </c>
      <c r="S512" s="310" t="e">
        <f t="shared" si="322"/>
        <v>#DIV/0!</v>
      </c>
      <c r="T512" s="310" t="e">
        <f t="shared" si="322"/>
        <v>#DIV/0!</v>
      </c>
      <c r="U512" s="310" t="e">
        <f t="shared" si="322"/>
        <v>#DIV/0!</v>
      </c>
      <c r="V512" s="310" t="e">
        <f t="shared" si="322"/>
        <v>#DIV/0!</v>
      </c>
      <c r="W512" s="310" t="e">
        <f t="shared" si="322"/>
        <v>#DIV/0!</v>
      </c>
      <c r="X512" s="310" t="e">
        <f t="shared" si="322"/>
        <v>#DIV/0!</v>
      </c>
      <c r="Y512" s="310" t="e">
        <f t="shared" si="322"/>
        <v>#DIV/0!</v>
      </c>
      <c r="Z512" s="310" t="e">
        <f t="shared" si="322"/>
        <v>#DIV/0!</v>
      </c>
      <c r="AA512" s="311"/>
      <c r="AB512" s="309" t="str">
        <f t="shared" si="280"/>
        <v>- Growth</v>
      </c>
      <c r="AC512" s="303" t="str">
        <f t="shared" si="281"/>
        <v>%</v>
      </c>
      <c r="AD512" s="303"/>
      <c r="AE512" s="303"/>
      <c r="AF512" s="310" t="s">
        <v>967</v>
      </c>
      <c r="AG512" s="310">
        <f t="shared" ref="AG512:AO512" si="323">AG511/AF511-1</f>
        <v>-1</v>
      </c>
      <c r="AH512" s="310" t="e">
        <f t="shared" si="323"/>
        <v>#DIV/0!</v>
      </c>
      <c r="AI512" s="310">
        <f t="shared" si="323"/>
        <v>-0.5625</v>
      </c>
      <c r="AJ512" s="310">
        <f t="shared" si="323"/>
        <v>-1</v>
      </c>
      <c r="AK512" s="310" t="e">
        <f t="shared" si="323"/>
        <v>#DIV/0!</v>
      </c>
      <c r="AL512" s="310" t="e">
        <f t="shared" si="323"/>
        <v>#DIV/0!</v>
      </c>
      <c r="AM512" s="310" t="e">
        <f t="shared" si="323"/>
        <v>#DIV/0!</v>
      </c>
      <c r="AN512" s="310" t="e">
        <f t="shared" si="323"/>
        <v>#DIV/0!</v>
      </c>
      <c r="AO512" s="310" t="e">
        <f t="shared" si="323"/>
        <v>#DIV/0!</v>
      </c>
    </row>
    <row r="513" spans="1:41" collapsed="1">
      <c r="B513" s="301"/>
      <c r="C513" s="309" t="s">
        <v>1511</v>
      </c>
      <c r="D513" s="303" t="s">
        <v>88</v>
      </c>
      <c r="E513" s="303"/>
      <c r="F513" s="303"/>
      <c r="G513" s="310">
        <f t="shared" ref="G513:Z513" si="324">IFERROR(ROUND( G511 / G510,2) - 1, 0)</f>
        <v>0</v>
      </c>
      <c r="H513" s="310">
        <f t="shared" si="324"/>
        <v>0</v>
      </c>
      <c r="I513" s="310">
        <f t="shared" si="324"/>
        <v>0</v>
      </c>
      <c r="J513" s="310">
        <f t="shared" si="324"/>
        <v>0</v>
      </c>
      <c r="K513" s="310">
        <f t="shared" si="324"/>
        <v>0</v>
      </c>
      <c r="L513" s="310">
        <f t="shared" si="324"/>
        <v>0</v>
      </c>
      <c r="M513" s="310">
        <f t="shared" si="324"/>
        <v>0</v>
      </c>
      <c r="N513" s="310">
        <f t="shared" si="324"/>
        <v>0</v>
      </c>
      <c r="O513" s="310">
        <f t="shared" si="324"/>
        <v>0</v>
      </c>
      <c r="P513" s="310">
        <f t="shared" si="324"/>
        <v>0</v>
      </c>
      <c r="Q513" s="310">
        <f t="shared" si="324"/>
        <v>-1</v>
      </c>
      <c r="R513" s="310">
        <f t="shared" si="324"/>
        <v>-1</v>
      </c>
      <c r="S513" s="310">
        <f t="shared" si="324"/>
        <v>-1</v>
      </c>
      <c r="T513" s="310">
        <f t="shared" si="324"/>
        <v>-1</v>
      </c>
      <c r="U513" s="310">
        <f t="shared" si="324"/>
        <v>-1</v>
      </c>
      <c r="V513" s="310">
        <f t="shared" si="324"/>
        <v>-1</v>
      </c>
      <c r="W513" s="310">
        <f t="shared" si="324"/>
        <v>-1</v>
      </c>
      <c r="X513" s="310">
        <f t="shared" si="324"/>
        <v>-1</v>
      </c>
      <c r="Y513" s="310">
        <f t="shared" si="324"/>
        <v>-1</v>
      </c>
      <c r="Z513" s="310">
        <f t="shared" si="324"/>
        <v>-1</v>
      </c>
      <c r="AA513" s="310"/>
      <c r="AB513" s="309" t="str">
        <f t="shared" si="280"/>
        <v>- Revision</v>
      </c>
      <c r="AC513" s="303" t="str">
        <f t="shared" si="281"/>
        <v>%</v>
      </c>
      <c r="AD513" s="303"/>
      <c r="AE513" s="303"/>
      <c r="AF513" s="310">
        <f t="shared" ref="AF513:AO513" si="325">IFERROR(ROUND( AF511 / AF510,2) - 1, 0)</f>
        <v>0</v>
      </c>
      <c r="AG513" s="310">
        <f t="shared" si="325"/>
        <v>0</v>
      </c>
      <c r="AH513" s="310">
        <f t="shared" si="325"/>
        <v>0</v>
      </c>
      <c r="AI513" s="310">
        <f t="shared" si="325"/>
        <v>0</v>
      </c>
      <c r="AJ513" s="310">
        <f t="shared" si="325"/>
        <v>0</v>
      </c>
      <c r="AK513" s="310">
        <f t="shared" si="325"/>
        <v>-1</v>
      </c>
      <c r="AL513" s="310">
        <f t="shared" si="325"/>
        <v>-1</v>
      </c>
      <c r="AM513" s="310">
        <f t="shared" si="325"/>
        <v>-1</v>
      </c>
      <c r="AN513" s="310">
        <f t="shared" si="325"/>
        <v>-1</v>
      </c>
      <c r="AO513" s="310">
        <f t="shared" si="325"/>
        <v>-1</v>
      </c>
    </row>
    <row r="514" spans="1:41">
      <c r="B514" s="301"/>
      <c r="C514" s="309"/>
      <c r="D514" s="303"/>
      <c r="E514" s="303"/>
      <c r="F514" s="303"/>
      <c r="G514" s="310"/>
      <c r="H514" s="310"/>
      <c r="I514" s="310"/>
      <c r="J514" s="310"/>
      <c r="K514" s="310"/>
      <c r="L514" s="310"/>
      <c r="M514" s="310"/>
      <c r="N514" s="310"/>
      <c r="O514" s="310"/>
      <c r="P514" s="310"/>
      <c r="Q514" s="310"/>
      <c r="R514" s="310"/>
      <c r="S514" s="310"/>
      <c r="T514" s="310"/>
      <c r="U514" s="310"/>
      <c r="V514" s="310"/>
      <c r="W514" s="310"/>
      <c r="X514" s="310"/>
      <c r="Y514" s="310"/>
      <c r="Z514" s="310"/>
      <c r="AA514" s="310"/>
      <c r="AB514" s="309"/>
      <c r="AC514" s="303"/>
      <c r="AD514" s="303"/>
      <c r="AE514" s="303"/>
      <c r="AF514" s="310"/>
      <c r="AG514" s="310"/>
      <c r="AH514" s="310"/>
      <c r="AI514" s="310"/>
      <c r="AJ514" s="310"/>
      <c r="AK514" s="310"/>
      <c r="AL514" s="310"/>
      <c r="AM514" s="310"/>
      <c r="AN514" s="310"/>
      <c r="AO514" s="310"/>
    </row>
    <row r="515" spans="1:41">
      <c r="A515" t="s">
        <v>7</v>
      </c>
      <c r="B515" s="301"/>
      <c r="C515" s="285" t="s">
        <v>1424</v>
      </c>
      <c r="D515" s="303"/>
      <c r="E515" s="303"/>
      <c r="F515" s="303"/>
      <c r="G515" s="310"/>
      <c r="H515" s="310"/>
      <c r="I515" s="310"/>
      <c r="J515" s="310"/>
      <c r="K515" s="310"/>
      <c r="L515" s="310"/>
      <c r="M515" s="310"/>
      <c r="N515" s="310"/>
      <c r="O515" s="310"/>
      <c r="P515" s="310"/>
      <c r="Q515" s="310"/>
      <c r="R515" s="310"/>
      <c r="S515" s="310"/>
      <c r="T515" s="310"/>
      <c r="U515" s="310"/>
      <c r="V515" s="310"/>
      <c r="W515" s="310"/>
      <c r="X515" s="310"/>
      <c r="Y515" s="310"/>
      <c r="Z515" s="310"/>
      <c r="AA515" s="310"/>
      <c r="AB515" s="309"/>
      <c r="AC515" s="303"/>
      <c r="AD515" s="303"/>
      <c r="AE515" s="303"/>
      <c r="AF515" s="310"/>
      <c r="AG515" s="310"/>
      <c r="AH515" s="310"/>
      <c r="AI515" s="310"/>
      <c r="AJ515" s="310"/>
      <c r="AK515" s="310"/>
      <c r="AL515" s="310"/>
      <c r="AM515" s="310"/>
      <c r="AN515" s="310"/>
      <c r="AO515" s="310"/>
    </row>
    <row r="516" spans="1:41">
      <c r="B516" s="301"/>
      <c r="C516" s="309"/>
      <c r="D516" s="303"/>
      <c r="E516" s="303"/>
      <c r="F516" s="303"/>
      <c r="G516" s="310"/>
      <c r="H516" s="310"/>
      <c r="I516" s="310"/>
      <c r="J516" s="310"/>
      <c r="K516" s="310"/>
      <c r="L516" s="310"/>
      <c r="M516" s="310"/>
      <c r="N516" s="310"/>
      <c r="O516" s="310"/>
      <c r="P516" s="310"/>
      <c r="Q516" s="310"/>
      <c r="R516" s="310"/>
      <c r="S516" s="310"/>
      <c r="T516" s="310"/>
      <c r="U516" s="310"/>
      <c r="V516" s="310"/>
      <c r="W516" s="310"/>
      <c r="X516" s="310"/>
      <c r="Y516" s="310"/>
      <c r="Z516" s="310"/>
      <c r="AA516" s="310"/>
      <c r="AB516" s="309"/>
      <c r="AC516" s="303"/>
      <c r="AD516" s="303"/>
      <c r="AE516" s="303"/>
      <c r="AF516" s="310"/>
      <c r="AG516" s="310"/>
      <c r="AH516" s="310"/>
      <c r="AI516" s="310"/>
      <c r="AJ516" s="310"/>
      <c r="AK516" s="310"/>
      <c r="AL516" s="310"/>
      <c r="AM516" s="310"/>
      <c r="AN516" s="310"/>
      <c r="AO516" s="310"/>
    </row>
    <row r="517" spans="1:41">
      <c r="B517" s="301"/>
      <c r="C517" s="291"/>
      <c r="D517" s="291" t="s">
        <v>1329</v>
      </c>
      <c r="E517" s="291"/>
      <c r="F517" s="291" t="str">
        <f t="shared" ref="F517:Z517" si="326">F$5</f>
        <v>VAL</v>
      </c>
      <c r="G517" s="292" t="str">
        <f t="shared" si="326"/>
        <v>1H21A</v>
      </c>
      <c r="H517" s="293" t="str">
        <f t="shared" si="326"/>
        <v>2H21A</v>
      </c>
      <c r="I517" s="292" t="str">
        <f t="shared" si="326"/>
        <v>1H22A</v>
      </c>
      <c r="J517" s="293" t="str">
        <f t="shared" si="326"/>
        <v>2H22A</v>
      </c>
      <c r="K517" s="292" t="str">
        <f t="shared" si="326"/>
        <v>1H23A</v>
      </c>
      <c r="L517" s="293" t="str">
        <f t="shared" si="326"/>
        <v>2H23A</v>
      </c>
      <c r="M517" s="292" t="str">
        <f t="shared" si="326"/>
        <v>1H24E</v>
      </c>
      <c r="N517" s="293" t="str">
        <f t="shared" si="326"/>
        <v>2H24E</v>
      </c>
      <c r="O517" s="292" t="str">
        <f t="shared" si="326"/>
        <v>1H25E</v>
      </c>
      <c r="P517" s="293" t="str">
        <f t="shared" si="326"/>
        <v>2H25E</v>
      </c>
      <c r="Q517" s="292" t="str">
        <f t="shared" si="326"/>
        <v>1H26E</v>
      </c>
      <c r="R517" s="293" t="str">
        <f t="shared" si="326"/>
        <v>2H26E</v>
      </c>
      <c r="S517" s="292" t="str">
        <f t="shared" si="326"/>
        <v>1H27E</v>
      </c>
      <c r="T517" s="293" t="str">
        <f t="shared" si="326"/>
        <v>2H27E</v>
      </c>
      <c r="U517" s="292" t="str">
        <f t="shared" si="326"/>
        <v>1H28E</v>
      </c>
      <c r="V517" s="293" t="str">
        <f t="shared" si="326"/>
        <v>2H28E</v>
      </c>
      <c r="W517" s="292" t="str">
        <f t="shared" si="326"/>
        <v>1H29E</v>
      </c>
      <c r="X517" s="293" t="str">
        <f t="shared" si="326"/>
        <v>2H29E</v>
      </c>
      <c r="Y517" s="292" t="str">
        <f t="shared" si="326"/>
        <v>1H30E</v>
      </c>
      <c r="Z517" s="293" t="str">
        <f t="shared" si="326"/>
        <v>2H30E</v>
      </c>
      <c r="AA517" s="294"/>
      <c r="AB517" s="291"/>
      <c r="AC517" s="291" t="s">
        <v>1329</v>
      </c>
      <c r="AD517" s="291"/>
      <c r="AE517" s="291" t="str">
        <f t="shared" ref="AE517:AO517" si="327">AE$5</f>
        <v>VAL</v>
      </c>
      <c r="AF517" s="295" t="str">
        <f t="shared" si="327"/>
        <v>FY21A</v>
      </c>
      <c r="AG517" s="295" t="str">
        <f t="shared" si="327"/>
        <v>FY22A</v>
      </c>
      <c r="AH517" s="295" t="str">
        <f t="shared" si="327"/>
        <v>FY23A</v>
      </c>
      <c r="AI517" s="295" t="str">
        <f t="shared" si="327"/>
        <v>FY24A</v>
      </c>
      <c r="AJ517" s="295" t="str">
        <f t="shared" si="327"/>
        <v>FY25A</v>
      </c>
      <c r="AK517" s="295" t="str">
        <f t="shared" si="327"/>
        <v>FY26A</v>
      </c>
      <c r="AL517" s="295" t="str">
        <f t="shared" si="327"/>
        <v>FY27A</v>
      </c>
      <c r="AM517" s="295" t="str">
        <f t="shared" si="327"/>
        <v>FY28A</v>
      </c>
      <c r="AN517" s="295" t="str">
        <f t="shared" si="327"/>
        <v>FY29A</v>
      </c>
      <c r="AO517" s="295" t="str">
        <f t="shared" si="327"/>
        <v>FY30A</v>
      </c>
    </row>
    <row r="518" spans="1:41">
      <c r="B518" s="301"/>
      <c r="C518" s="296"/>
      <c r="D518" s="296"/>
      <c r="E518" s="296"/>
      <c r="F518" s="296"/>
      <c r="G518" s="297">
        <f t="shared" ref="G518:Z518" si="328">G$6</f>
        <v>44196</v>
      </c>
      <c r="H518" s="298">
        <f t="shared" si="328"/>
        <v>44377</v>
      </c>
      <c r="I518" s="297">
        <f t="shared" si="328"/>
        <v>44561</v>
      </c>
      <c r="J518" s="298">
        <f t="shared" si="328"/>
        <v>44742</v>
      </c>
      <c r="K518" s="297">
        <f t="shared" si="328"/>
        <v>44926</v>
      </c>
      <c r="L518" s="298">
        <f t="shared" si="328"/>
        <v>45107</v>
      </c>
      <c r="M518" s="297">
        <f t="shared" si="328"/>
        <v>45291</v>
      </c>
      <c r="N518" s="298">
        <f t="shared" si="328"/>
        <v>45473</v>
      </c>
      <c r="O518" s="297">
        <f t="shared" si="328"/>
        <v>45657</v>
      </c>
      <c r="P518" s="298">
        <f t="shared" si="328"/>
        <v>45838</v>
      </c>
      <c r="Q518" s="297">
        <f t="shared" si="328"/>
        <v>46022</v>
      </c>
      <c r="R518" s="298">
        <f t="shared" si="328"/>
        <v>46203</v>
      </c>
      <c r="S518" s="297">
        <f t="shared" si="328"/>
        <v>46387</v>
      </c>
      <c r="T518" s="298">
        <f t="shared" si="328"/>
        <v>46568</v>
      </c>
      <c r="U518" s="297">
        <f t="shared" si="328"/>
        <v>46752</v>
      </c>
      <c r="V518" s="298">
        <f t="shared" si="328"/>
        <v>46934</v>
      </c>
      <c r="W518" s="297">
        <f t="shared" si="328"/>
        <v>47118</v>
      </c>
      <c r="X518" s="298">
        <f t="shared" si="328"/>
        <v>47299</v>
      </c>
      <c r="Y518" s="297">
        <f t="shared" si="328"/>
        <v>47483</v>
      </c>
      <c r="Z518" s="296">
        <f t="shared" si="328"/>
        <v>47664</v>
      </c>
      <c r="AA518" s="299"/>
      <c r="AB518" s="296"/>
      <c r="AC518" s="296"/>
      <c r="AD518" s="296"/>
      <c r="AE518" s="296"/>
      <c r="AF518" s="300">
        <f t="shared" ref="AF518:AO518" si="329">AF$6</f>
        <v>44377</v>
      </c>
      <c r="AG518" s="300">
        <f t="shared" si="329"/>
        <v>44742</v>
      </c>
      <c r="AH518" s="300">
        <f t="shared" si="329"/>
        <v>45107</v>
      </c>
      <c r="AI518" s="300">
        <f t="shared" si="329"/>
        <v>45473</v>
      </c>
      <c r="AJ518" s="300">
        <f t="shared" si="329"/>
        <v>45838</v>
      </c>
      <c r="AK518" s="300">
        <f t="shared" si="329"/>
        <v>46203</v>
      </c>
      <c r="AL518" s="300">
        <f t="shared" si="329"/>
        <v>46568</v>
      </c>
      <c r="AM518" s="300">
        <f t="shared" si="329"/>
        <v>46934</v>
      </c>
      <c r="AN518" s="300">
        <f t="shared" si="329"/>
        <v>47299</v>
      </c>
      <c r="AO518" s="300">
        <f t="shared" si="329"/>
        <v>47664</v>
      </c>
    </row>
    <row r="519" spans="1:41">
      <c r="B519" s="301" t="s">
        <v>1582</v>
      </c>
      <c r="C519" s="302" t="s">
        <v>1524</v>
      </c>
      <c r="D519" s="303" t="str">
        <f t="array" ref="D519">_xlfn.XLOOKUP($B519,$B$114:$B$212,_xlfn.XLOOKUP(D$219,$D$5:$AO$5,$D$114:$AO$212))</f>
        <v>NZ$m</v>
      </c>
      <c r="E519" s="303"/>
      <c r="F519" s="303"/>
      <c r="G519" s="304">
        <f t="array" ref="G519">_xlfn.XLOOKUP($B519,$B$114:$B$212,_xlfn.XLOOKUP(G$219,$D$5:$AO$5,$D$114:$AO$212))</f>
        <v>449.9</v>
      </c>
      <c r="H519" s="304">
        <f t="array" ref="H519">_xlfn.XLOOKUP($B519,$B$114:$B$212,_xlfn.XLOOKUP(H$219,$D$5:$AO$5,$D$114:$AO$212))</f>
        <v>502.1</v>
      </c>
      <c r="I519" s="304">
        <f t="array" ref="I519">_xlfn.XLOOKUP($B519,$B$114:$B$212,_xlfn.XLOOKUP(I$219,$D$5:$AO$5,$D$114:$AO$212))</f>
        <v>289.8</v>
      </c>
      <c r="J519" s="304">
        <f t="array" ref="J519">_xlfn.XLOOKUP($B519,$B$114:$B$212,_xlfn.XLOOKUP(J$219,$D$5:$AO$5,$D$114:$AO$212))</f>
        <v>349.2</v>
      </c>
      <c r="K519" s="304">
        <f t="array" ref="K519">_xlfn.XLOOKUP($B519,$B$114:$B$212,_xlfn.XLOOKUP(K$219,$D$5:$AO$5,$D$114:$AO$212))</f>
        <v>462.6</v>
      </c>
      <c r="L519" s="304">
        <f t="array" ref="L519">_xlfn.XLOOKUP($B519,$B$114:$B$212,_xlfn.XLOOKUP(L$219,$D$5:$AO$5,$D$114:$AO$212))</f>
        <v>463.6</v>
      </c>
      <c r="M519" s="304">
        <f t="array" ref="M519">_xlfn.XLOOKUP($B519,$B$114:$B$212,_xlfn.XLOOKUP(M$219,$D$5:$AO$5,$D$114:$AO$212))</f>
        <v>445.2</v>
      </c>
      <c r="N519" s="304">
        <f t="array" ref="N519">_xlfn.XLOOKUP($B519,$B$114:$B$212,_xlfn.XLOOKUP(N$219,$D$5:$AO$5,$D$114:$AO$212))</f>
        <v>483.3</v>
      </c>
      <c r="O519" s="304">
        <f t="array" ref="O519">_xlfn.XLOOKUP($B519,$B$114:$B$212,_xlfn.XLOOKUP(O$219,$D$5:$AO$5,$D$114:$AO$212))</f>
        <v>422</v>
      </c>
      <c r="P519" s="304">
        <f t="array" ref="P519">_xlfn.XLOOKUP($B519,$B$114:$B$212,_xlfn.XLOOKUP(P$219,$D$5:$AO$5,$D$114:$AO$212))</f>
        <v>422.26460000000009</v>
      </c>
      <c r="Q519" s="304">
        <f t="array" ref="Q519">_xlfn.XLOOKUP($B519,$B$114:$B$212,_xlfn.XLOOKUP(Q$219,$D$5:$AO$5,$D$114:$AO$212))</f>
        <v>438.2</v>
      </c>
      <c r="R519" s="304">
        <f t="array" ref="R519">_xlfn.XLOOKUP($B519,$B$114:$B$212,_xlfn.XLOOKUP(R$219,$D$5:$AO$5,$D$114:$AO$212))</f>
        <v>451.61813100000012</v>
      </c>
      <c r="S519" s="304">
        <f t="array" ref="S519">_xlfn.XLOOKUP($B519,$B$114:$B$212,_xlfn.XLOOKUP(S$219,$D$5:$AO$5,$D$114:$AO$212))</f>
        <v>475.22412000000003</v>
      </c>
      <c r="T519" s="304">
        <f t="array" ref="T519">_xlfn.XLOOKUP($B519,$B$114:$B$212,_xlfn.XLOOKUP(T$219,$D$5:$AO$5,$D$114:$AO$212))</f>
        <v>480.01043318000012</v>
      </c>
      <c r="U519" s="304">
        <f t="array" ref="U519">_xlfn.XLOOKUP($B519,$B$114:$B$212,_xlfn.XLOOKUP(U$219,$D$5:$AO$5,$D$114:$AO$212))</f>
        <v>499.53416179999999</v>
      </c>
      <c r="V519" s="304">
        <f t="array" ref="V519">_xlfn.XLOOKUP($B519,$B$114:$B$212,_xlfn.XLOOKUP(V$219,$D$5:$AO$5,$D$114:$AO$212))</f>
        <v>502.10894859979999</v>
      </c>
      <c r="W519" s="304">
        <f t="array" ref="W519">_xlfn.XLOOKUP($B519,$B$114:$B$212,_xlfn.XLOOKUP(W$219,$D$5:$AO$5,$D$114:$AO$212))</f>
        <v>519.77878620600006</v>
      </c>
      <c r="X519" s="304">
        <f t="array" ref="X519">_xlfn.XLOOKUP($B519,$B$114:$B$212,_xlfn.XLOOKUP(X$219,$D$5:$AO$5,$D$114:$AO$212))</f>
        <v>520.84770179251211</v>
      </c>
      <c r="Y519" s="304">
        <f t="array" ref="Y519">_xlfn.XLOOKUP($B519,$B$114:$B$212,_xlfn.XLOOKUP(Y$219,$D$5:$AO$5,$D$114:$AO$212))</f>
        <v>537.48109997339998</v>
      </c>
      <c r="Z519" s="304">
        <f t="array" ref="Z519">_xlfn.XLOOKUP($B519,$B$114:$B$212,_xlfn.XLOOKUP(Z$219,$D$5:$AO$5,$D$114:$AO$212))</f>
        <v>538.85478826419262</v>
      </c>
      <c r="AA519" s="305"/>
      <c r="AB519" s="302" t="str">
        <f t="shared" ref="AB519:AB562" si="330">C519</f>
        <v>Reported Revenue - old</v>
      </c>
      <c r="AC519" s="303" t="str">
        <f t="shared" ref="AC519:AC562" si="331">D519</f>
        <v>NZ$m</v>
      </c>
      <c r="AD519" s="303"/>
      <c r="AE519" s="303"/>
      <c r="AF519" s="304">
        <f t="array" ref="AF519">_xlfn.XLOOKUP($B519,$B$114:$B$212,_xlfn.XLOOKUP(AF$219,$D$5:$AO$5,$D$114:$AO$212))</f>
        <v>952</v>
      </c>
      <c r="AG519" s="304">
        <f t="array" ref="AG519">_xlfn.XLOOKUP($B519,$B$114:$B$212,_xlfn.XLOOKUP(AG$219,$D$5:$AO$5,$D$114:$AO$212))</f>
        <v>639</v>
      </c>
      <c r="AH519" s="304">
        <f t="array" ref="AH519">_xlfn.XLOOKUP($B519,$B$114:$B$212,_xlfn.XLOOKUP(AH$219,$D$5:$AO$5,$D$114:$AO$212))</f>
        <v>926.2</v>
      </c>
      <c r="AI519" s="304">
        <f t="array" ref="AI519">_xlfn.XLOOKUP($B519,$B$114:$B$212,_xlfn.XLOOKUP(AI$219,$D$5:$AO$5,$D$114:$AO$212))</f>
        <v>928.5</v>
      </c>
      <c r="AJ519" s="304">
        <f t="array" ref="AJ519">_xlfn.XLOOKUP($B519,$B$114:$B$212,_xlfn.XLOOKUP(AJ$219,$D$5:$AO$5,$D$114:$AO$212))</f>
        <v>844.26460000000009</v>
      </c>
      <c r="AK519" s="304">
        <f t="array" ref="AK519">_xlfn.XLOOKUP($B519,$B$114:$B$212,_xlfn.XLOOKUP(AK$219,$D$5:$AO$5,$D$114:$AO$212))</f>
        <v>889.81813099999999</v>
      </c>
      <c r="AL519" s="304">
        <f t="array" ref="AL519">_xlfn.XLOOKUP($B519,$B$114:$B$212,_xlfn.XLOOKUP(AL$219,$D$5:$AO$5,$D$114:$AO$212))</f>
        <v>955.23455318000003</v>
      </c>
      <c r="AM519" s="304">
        <f t="array" ref="AM519">_xlfn.XLOOKUP($B519,$B$114:$B$212,_xlfn.XLOOKUP(AM$219,$D$5:$AO$5,$D$114:$AO$212))</f>
        <v>1001.6431103998</v>
      </c>
      <c r="AN519" s="304">
        <f t="array" ref="AN519">_xlfn.XLOOKUP($B519,$B$114:$B$212,_xlfn.XLOOKUP(AN$219,$D$5:$AO$5,$D$114:$AO$212))</f>
        <v>1040.6264879985119</v>
      </c>
      <c r="AO519" s="304">
        <f t="array" ref="AO519">_xlfn.XLOOKUP($B519,$B$114:$B$212,_xlfn.XLOOKUP(AO$219,$D$5:$AO$5,$D$114:$AO$212))</f>
        <v>1076.3358882375931</v>
      </c>
    </row>
    <row r="520" spans="1:41">
      <c r="B520" s="301" t="s">
        <v>1582</v>
      </c>
      <c r="C520" s="306" t="s">
        <v>1525</v>
      </c>
      <c r="D520" s="307" t="str">
        <f t="array" ref="D520">_xlfn.XLOOKUP($B520,$B$11:$B$109,_xlfn.XLOOKUP(D$219,$D$5:$AO$5,$D$11:$AO$109))</f>
        <v>NZ$m</v>
      </c>
      <c r="E520" s="307"/>
      <c r="F520" s="307"/>
      <c r="G520" s="308">
        <f t="array" ref="G520">_xlfn.XLOOKUP($B520,$B$11:$B$109,_xlfn.XLOOKUP(G$219,$D$5:$AO$5,$D$11:$AO$109))</f>
        <v>449.9</v>
      </c>
      <c r="H520" s="308">
        <f t="array" ref="H520">_xlfn.XLOOKUP($B520,$B$11:$B$109,_xlfn.XLOOKUP(H$219,$D$5:$AO$5,$D$11:$AO$109))</f>
        <v>502.1</v>
      </c>
      <c r="I520" s="308">
        <f t="array" ref="I520">_xlfn.XLOOKUP($B520,$B$11:$B$109,_xlfn.XLOOKUP(I$219,$D$5:$AO$5,$D$11:$AO$109))</f>
        <v>289.8</v>
      </c>
      <c r="J520" s="308">
        <f t="array" ref="J520">_xlfn.XLOOKUP($B520,$B$11:$B$109,_xlfn.XLOOKUP(J$219,$D$5:$AO$5,$D$11:$AO$109))</f>
        <v>349.2</v>
      </c>
      <c r="K520" s="308">
        <f t="array" ref="K520">_xlfn.XLOOKUP($B520,$B$11:$B$109,_xlfn.XLOOKUP(K$219,$D$5:$AO$5,$D$11:$AO$109))</f>
        <v>462.6</v>
      </c>
      <c r="L520" s="308">
        <f t="array" ref="L520">_xlfn.XLOOKUP($B520,$B$11:$B$109,_xlfn.XLOOKUP(L$219,$D$5:$AO$5,$D$11:$AO$109))</f>
        <v>463.6</v>
      </c>
      <c r="M520" s="308">
        <f t="array" ref="M520">_xlfn.XLOOKUP($B520,$B$11:$B$109,_xlfn.XLOOKUP(M$219,$D$5:$AO$5,$D$11:$AO$109))</f>
        <v>445.2</v>
      </c>
      <c r="N520" s="308">
        <f t="array" ref="N520">_xlfn.XLOOKUP($B520,$B$11:$B$109,_xlfn.XLOOKUP(N$219,$D$5:$AO$5,$D$11:$AO$109))</f>
        <v>483.3</v>
      </c>
      <c r="O520" s="308">
        <f t="array" ref="O520">_xlfn.XLOOKUP($B520,$B$11:$B$109,_xlfn.XLOOKUP(O$219,$D$5:$AO$5,$D$11:$AO$109))</f>
        <v>422</v>
      </c>
      <c r="P520" s="308">
        <f t="array" ref="P520">_xlfn.XLOOKUP($B520,$B$11:$B$109,_xlfn.XLOOKUP(P$219,$D$5:$AO$5,$D$11:$AO$109))</f>
        <v>403.20000000000005</v>
      </c>
      <c r="Q520" s="308">
        <f t="array" ref="Q520">_xlfn.XLOOKUP($B520,$B$11:$B$109,_xlfn.XLOOKUP(Q$219,$D$5:$AO$5,$D$11:$AO$109))</f>
        <v>411.7</v>
      </c>
      <c r="R520" s="308">
        <f t="array" ref="R520">_xlfn.XLOOKUP($B520,$B$11:$B$109,_xlfn.XLOOKUP(R$219,$D$5:$AO$5,$D$11:$AO$109))</f>
        <v>467.2</v>
      </c>
      <c r="S520" s="308">
        <f t="array" ref="S520">_xlfn.XLOOKUP($B520,$B$11:$B$109,_xlfn.XLOOKUP(S$219,$D$5:$AO$5,$D$11:$AO$109))</f>
        <v>419.565</v>
      </c>
      <c r="T520" s="308">
        <f t="array" ref="T520">_xlfn.XLOOKUP($B520,$B$11:$B$109,_xlfn.XLOOKUP(T$219,$D$5:$AO$5,$D$11:$AO$109))</f>
        <v>421.36900000000003</v>
      </c>
      <c r="U520" s="308">
        <f t="array" ref="U520">_xlfn.XLOOKUP($B520,$B$11:$B$109,_xlfn.XLOOKUP(U$219,$D$5:$AO$5,$D$11:$AO$109))</f>
        <v>428.74853999999999</v>
      </c>
      <c r="V520" s="308">
        <f t="array" ref="V520">_xlfn.XLOOKUP($B520,$B$11:$B$109,_xlfn.XLOOKUP(V$219,$D$5:$AO$5,$D$11:$AO$109))</f>
        <v>430.86368999999991</v>
      </c>
      <c r="W520" s="308">
        <f t="array" ref="W520">_xlfn.XLOOKUP($B520,$B$11:$B$109,_xlfn.XLOOKUP(W$219,$D$5:$AO$5,$D$11:$AO$109))</f>
        <v>451.29426060000003</v>
      </c>
      <c r="X520" s="308">
        <f t="array" ref="X520">_xlfn.XLOOKUP($B520,$B$11:$B$109,_xlfn.XLOOKUP(X$219,$D$5:$AO$5,$D$11:$AO$109))</f>
        <v>448.01762690000004</v>
      </c>
      <c r="Y520" s="308">
        <f t="array" ref="Y520">_xlfn.XLOOKUP($B520,$B$11:$B$109,_xlfn.XLOOKUP(Y$219,$D$5:$AO$5,$D$11:$AO$109))</f>
        <v>469.62116627799992</v>
      </c>
      <c r="Z520" s="308">
        <f t="array" ref="Z520">_xlfn.XLOOKUP($B520,$B$11:$B$109,_xlfn.XLOOKUP(Z$219,$D$5:$AO$5,$D$11:$AO$109))</f>
        <v>466.20287816899997</v>
      </c>
      <c r="AA520" s="308"/>
      <c r="AB520" s="306" t="str">
        <f t="shared" si="330"/>
        <v>Reported Revenue - New</v>
      </c>
      <c r="AC520" s="307" t="str">
        <f t="shared" si="331"/>
        <v>NZ$m</v>
      </c>
      <c r="AD520" s="307"/>
      <c r="AE520" s="307"/>
      <c r="AF520" s="308">
        <f t="array" ref="AF520">_xlfn.XLOOKUP($B520,$B$11:$B$109,_xlfn.XLOOKUP(AF$219,$D$5:$AO$5,$D$11:$AO$109))</f>
        <v>952</v>
      </c>
      <c r="AG520" s="308">
        <f t="array" ref="AG520">_xlfn.XLOOKUP($B520,$B$11:$B$109,_xlfn.XLOOKUP(AG$219,$D$5:$AO$5,$D$11:$AO$109))</f>
        <v>639</v>
      </c>
      <c r="AH520" s="308">
        <f t="array" ref="AH520">_xlfn.XLOOKUP($B520,$B$11:$B$109,_xlfn.XLOOKUP(AH$219,$D$5:$AO$5,$D$11:$AO$109))</f>
        <v>926.2</v>
      </c>
      <c r="AI520" s="308">
        <f t="array" ref="AI520">_xlfn.XLOOKUP($B520,$B$11:$B$109,_xlfn.XLOOKUP(AI$219,$D$5:$AO$5,$D$11:$AO$109))</f>
        <v>928.5</v>
      </c>
      <c r="AJ520" s="308">
        <f t="array" ref="AJ520">_xlfn.XLOOKUP($B520,$B$11:$B$109,_xlfn.XLOOKUP(AJ$219,$D$5:$AO$5,$D$11:$AO$109))</f>
        <v>825.2</v>
      </c>
      <c r="AK520" s="308">
        <f t="array" ref="AK520">_xlfn.XLOOKUP($B520,$B$11:$B$109,_xlfn.XLOOKUP(AK$219,$D$5:$AO$5,$D$11:$AO$109))</f>
        <v>878.9</v>
      </c>
      <c r="AL520" s="308">
        <f t="array" ref="AL520">_xlfn.XLOOKUP($B520,$B$11:$B$109,_xlfn.XLOOKUP(AL$219,$D$5:$AO$5,$D$11:$AO$109))</f>
        <v>840.93399999999997</v>
      </c>
      <c r="AM520" s="308">
        <f t="array" ref="AM520">_xlfn.XLOOKUP($B520,$B$11:$B$109,_xlfn.XLOOKUP(AM$219,$D$5:$AO$5,$D$11:$AO$109))</f>
        <v>859.61222999999995</v>
      </c>
      <c r="AN520" s="308">
        <f t="array" ref="AN520">_xlfn.XLOOKUP($B520,$B$11:$B$109,_xlfn.XLOOKUP(AN$219,$D$5:$AO$5,$D$11:$AO$109))</f>
        <v>899.31188750000001</v>
      </c>
      <c r="AO520" s="308">
        <f t="array" ref="AO520">_xlfn.XLOOKUP($B520,$B$11:$B$109,_xlfn.XLOOKUP(AO$219,$D$5:$AO$5,$D$11:$AO$109))</f>
        <v>935.82404444699989</v>
      </c>
    </row>
    <row r="521" spans="1:41" hidden="1" outlineLevel="1">
      <c r="B521" s="301"/>
      <c r="C521" s="309" t="s">
        <v>1510</v>
      </c>
      <c r="D521" s="303" t="s">
        <v>88</v>
      </c>
      <c r="E521" s="303"/>
      <c r="F521" s="303"/>
      <c r="G521" s="310" t="s">
        <v>967</v>
      </c>
      <c r="H521" s="310" t="s">
        <v>967</v>
      </c>
      <c r="I521" s="310">
        <f t="shared" ref="I521:Z521" si="332">I520/G520-1</f>
        <v>-0.35585685707935089</v>
      </c>
      <c r="J521" s="310">
        <f t="shared" si="332"/>
        <v>-0.30452101175064739</v>
      </c>
      <c r="K521" s="310">
        <f t="shared" si="332"/>
        <v>0.59627329192546585</v>
      </c>
      <c r="L521" s="310">
        <f t="shared" si="332"/>
        <v>0.32760595647193602</v>
      </c>
      <c r="M521" s="310">
        <f t="shared" si="332"/>
        <v>-3.7613488975356768E-2</v>
      </c>
      <c r="N521" s="310">
        <f t="shared" si="332"/>
        <v>4.2493528904227862E-2</v>
      </c>
      <c r="O521" s="310">
        <f t="shared" si="332"/>
        <v>-5.211141060197666E-2</v>
      </c>
      <c r="P521" s="310">
        <f t="shared" si="332"/>
        <v>-0.16573556797020472</v>
      </c>
      <c r="Q521" s="310">
        <f t="shared" si="332"/>
        <v>-2.4407582938388628E-2</v>
      </c>
      <c r="R521" s="310">
        <f t="shared" si="332"/>
        <v>0.15873015873015861</v>
      </c>
      <c r="S521" s="310">
        <f t="shared" si="332"/>
        <v>1.9103716298275453E-2</v>
      </c>
      <c r="T521" s="310">
        <f t="shared" si="332"/>
        <v>-9.8097174657534203E-2</v>
      </c>
      <c r="U521" s="310">
        <f t="shared" si="332"/>
        <v>2.1888241392871155E-2</v>
      </c>
      <c r="V521" s="310">
        <f t="shared" si="332"/>
        <v>2.2532958048645968E-2</v>
      </c>
      <c r="W521" s="310">
        <f t="shared" si="332"/>
        <v>5.2584950143503839E-2</v>
      </c>
      <c r="X521" s="310">
        <f t="shared" si="332"/>
        <v>3.9812909043229316E-2</v>
      </c>
      <c r="Y521" s="310">
        <f t="shared" si="332"/>
        <v>4.0609658216424149E-2</v>
      </c>
      <c r="Z521" s="310">
        <f t="shared" si="332"/>
        <v>4.0590481662140077E-2</v>
      </c>
      <c r="AA521" s="311"/>
      <c r="AB521" s="309" t="str">
        <f t="shared" si="330"/>
        <v>- Growth</v>
      </c>
      <c r="AC521" s="303" t="str">
        <f t="shared" si="331"/>
        <v>%</v>
      </c>
      <c r="AD521" s="303"/>
      <c r="AE521" s="303"/>
      <c r="AF521" s="310" t="s">
        <v>967</v>
      </c>
      <c r="AG521" s="310">
        <f t="shared" ref="AG521:AO521" si="333">AG520/AF520-1</f>
        <v>-0.32878151260504207</v>
      </c>
      <c r="AH521" s="310">
        <f t="shared" si="333"/>
        <v>0.44945226917057912</v>
      </c>
      <c r="AI521" s="310">
        <f t="shared" si="333"/>
        <v>2.4832649535737605E-3</v>
      </c>
      <c r="AJ521" s="310">
        <f t="shared" si="333"/>
        <v>-0.1112547119009154</v>
      </c>
      <c r="AK521" s="310">
        <f t="shared" si="333"/>
        <v>6.5075133301017773E-2</v>
      </c>
      <c r="AL521" s="310">
        <f t="shared" si="333"/>
        <v>-4.3197178291045635E-2</v>
      </c>
      <c r="AM521" s="310">
        <f t="shared" si="333"/>
        <v>2.2211291254723875E-2</v>
      </c>
      <c r="AN521" s="310">
        <f t="shared" si="333"/>
        <v>4.6183216239257252E-2</v>
      </c>
      <c r="AO521" s="310">
        <f t="shared" si="333"/>
        <v>4.0600104874072285E-2</v>
      </c>
    </row>
    <row r="522" spans="1:41" collapsed="1">
      <c r="B522" s="301"/>
      <c r="C522" s="309" t="s">
        <v>1511</v>
      </c>
      <c r="D522" s="303" t="s">
        <v>88</v>
      </c>
      <c r="E522" s="303"/>
      <c r="F522" s="303"/>
      <c r="G522" s="310">
        <f t="shared" ref="G522:Z522" si="334">IFERROR(ROUND( G520 / G519,2) - 1, 0)</f>
        <v>0</v>
      </c>
      <c r="H522" s="310">
        <f t="shared" si="334"/>
        <v>0</v>
      </c>
      <c r="I522" s="310">
        <f t="shared" si="334"/>
        <v>0</v>
      </c>
      <c r="J522" s="310">
        <f t="shared" si="334"/>
        <v>0</v>
      </c>
      <c r="K522" s="310">
        <f t="shared" si="334"/>
        <v>0</v>
      </c>
      <c r="L522" s="310">
        <f t="shared" si="334"/>
        <v>0</v>
      </c>
      <c r="M522" s="310">
        <f t="shared" si="334"/>
        <v>0</v>
      </c>
      <c r="N522" s="310">
        <f t="shared" si="334"/>
        <v>0</v>
      </c>
      <c r="O522" s="310">
        <f t="shared" si="334"/>
        <v>0</v>
      </c>
      <c r="P522" s="310">
        <f t="shared" si="334"/>
        <v>-5.0000000000000044E-2</v>
      </c>
      <c r="Q522" s="310">
        <f t="shared" si="334"/>
        <v>-6.0000000000000053E-2</v>
      </c>
      <c r="R522" s="310">
        <f t="shared" si="334"/>
        <v>3.0000000000000027E-2</v>
      </c>
      <c r="S522" s="310">
        <f t="shared" si="334"/>
        <v>-0.12</v>
      </c>
      <c r="T522" s="310">
        <f t="shared" si="334"/>
        <v>-0.12</v>
      </c>
      <c r="U522" s="310">
        <f t="shared" si="334"/>
        <v>-0.14000000000000001</v>
      </c>
      <c r="V522" s="310">
        <f t="shared" si="334"/>
        <v>-0.14000000000000001</v>
      </c>
      <c r="W522" s="310">
        <f t="shared" si="334"/>
        <v>-0.13</v>
      </c>
      <c r="X522" s="310">
        <f t="shared" si="334"/>
        <v>-0.14000000000000001</v>
      </c>
      <c r="Y522" s="310">
        <f t="shared" si="334"/>
        <v>-0.13</v>
      </c>
      <c r="Z522" s="310">
        <f t="shared" si="334"/>
        <v>-0.13</v>
      </c>
      <c r="AA522" s="310"/>
      <c r="AB522" s="309" t="str">
        <f t="shared" si="330"/>
        <v>- Revision</v>
      </c>
      <c r="AC522" s="303" t="str">
        <f t="shared" si="331"/>
        <v>%</v>
      </c>
      <c r="AD522" s="303"/>
      <c r="AE522" s="303"/>
      <c r="AF522" s="310">
        <f t="shared" ref="AF522:AO522" si="335">IFERROR(ROUND( AF520 / AF519,2) - 1, 0)</f>
        <v>0</v>
      </c>
      <c r="AG522" s="310">
        <f t="shared" si="335"/>
        <v>0</v>
      </c>
      <c r="AH522" s="310">
        <f t="shared" si="335"/>
        <v>0</v>
      </c>
      <c r="AI522" s="310">
        <f t="shared" si="335"/>
        <v>0</v>
      </c>
      <c r="AJ522" s="310">
        <f t="shared" si="335"/>
        <v>-2.0000000000000018E-2</v>
      </c>
      <c r="AK522" s="310">
        <f t="shared" si="335"/>
        <v>-1.0000000000000009E-2</v>
      </c>
      <c r="AL522" s="310">
        <f t="shared" si="335"/>
        <v>-0.12</v>
      </c>
      <c r="AM522" s="310">
        <f t="shared" si="335"/>
        <v>-0.14000000000000001</v>
      </c>
      <c r="AN522" s="310">
        <f t="shared" si="335"/>
        <v>-0.14000000000000001</v>
      </c>
      <c r="AO522" s="310">
        <f t="shared" si="335"/>
        <v>-0.13</v>
      </c>
    </row>
    <row r="523" spans="1:41">
      <c r="B523" s="301" t="s">
        <v>1494</v>
      </c>
      <c r="C523" s="302" t="s">
        <v>1536</v>
      </c>
      <c r="D523" s="303" t="str">
        <f t="array" ref="D523">_xlfn.XLOOKUP($B523,$B$114:$B$212,_xlfn.XLOOKUP(D$219,$D$5:$AO$5,$D$114:$AO$212))</f>
        <v>NZ$m</v>
      </c>
      <c r="E523" s="303"/>
      <c r="F523" s="303"/>
      <c r="G523" s="304">
        <f t="array" ref="G523">_xlfn.XLOOKUP($B523,$B$114:$B$212,_xlfn.XLOOKUP(G$219,$D$5:$AO$5,$D$114:$AO$212))</f>
        <v>-299.39999999999998</v>
      </c>
      <c r="H523" s="304">
        <f t="array" ref="H523">_xlfn.XLOOKUP($B523,$B$114:$B$212,_xlfn.XLOOKUP(H$219,$D$5:$AO$5,$D$114:$AO$212))</f>
        <v>-338.7</v>
      </c>
      <c r="I523" s="304">
        <f t="array" ref="I523">_xlfn.XLOOKUP($B523,$B$114:$B$212,_xlfn.XLOOKUP(I$219,$D$5:$AO$5,$D$114:$AO$212))</f>
        <v>-269.39999999999998</v>
      </c>
      <c r="J523" s="304">
        <f t="array" ref="J523">_xlfn.XLOOKUP($B523,$B$114:$B$212,_xlfn.XLOOKUP(J$219,$D$5:$AO$5,$D$114:$AO$212))</f>
        <v>-272.7</v>
      </c>
      <c r="K523" s="304">
        <f t="array" ref="K523">_xlfn.XLOOKUP($B523,$B$114:$B$212,_xlfn.XLOOKUP(K$219,$D$5:$AO$5,$D$114:$AO$212))</f>
        <v>-356.3</v>
      </c>
      <c r="L523" s="304">
        <f t="array" ref="L523">_xlfn.XLOOKUP($B523,$B$114:$B$212,_xlfn.XLOOKUP(L$219,$D$5:$AO$5,$D$114:$AO$212))</f>
        <v>-404</v>
      </c>
      <c r="M523" s="304">
        <f t="array" ref="M523">_xlfn.XLOOKUP($B523,$B$114:$B$212,_xlfn.XLOOKUP(M$219,$D$5:$AO$5,$D$114:$AO$212))</f>
        <v>-344.2</v>
      </c>
      <c r="N523" s="304">
        <f t="array" ref="N523">_xlfn.XLOOKUP($B523,$B$114:$B$212,_xlfn.XLOOKUP(N$219,$D$5:$AO$5,$D$114:$AO$212))</f>
        <v>-446.1</v>
      </c>
      <c r="O523" s="304">
        <f t="array" ref="O523">_xlfn.XLOOKUP($B523,$B$114:$B$212,_xlfn.XLOOKUP(O$219,$D$5:$AO$5,$D$114:$AO$212))</f>
        <v>-308.89999999999998</v>
      </c>
      <c r="P523" s="304">
        <f t="array" ref="P523">_xlfn.XLOOKUP($B523,$B$114:$B$212,_xlfn.XLOOKUP(P$219,$D$5:$AO$5,$D$114:$AO$212))</f>
        <v>-304.25106291999998</v>
      </c>
      <c r="Q523" s="304">
        <f t="array" ref="Q523">_xlfn.XLOOKUP($B523,$B$114:$B$212,_xlfn.XLOOKUP(Q$219,$D$5:$AO$5,$D$114:$AO$212))</f>
        <v>-359.11607559999999</v>
      </c>
      <c r="R523" s="304">
        <f t="array" ref="R523">_xlfn.XLOOKUP($B523,$B$114:$B$212,_xlfn.XLOOKUP(R$219,$D$5:$AO$5,$D$114:$AO$212))</f>
        <v>-326.93912342056001</v>
      </c>
      <c r="S523" s="304">
        <f t="array" ref="S523">_xlfn.XLOOKUP($B523,$B$114:$B$212,_xlfn.XLOOKUP(S$219,$D$5:$AO$5,$D$114:$AO$212))</f>
        <v>-343.34643495199998</v>
      </c>
      <c r="T523" s="304">
        <f t="array" ref="T523">_xlfn.XLOOKUP($B523,$B$114:$B$212,_xlfn.XLOOKUP(T$219,$D$5:$AO$5,$D$114:$AO$212))</f>
        <v>-338.5470377446776</v>
      </c>
      <c r="U523" s="304">
        <f t="array" ref="U523">_xlfn.XLOOKUP($B523,$B$114:$B$212,_xlfn.XLOOKUP(U$219,$D$5:$AO$5,$D$114:$AO$212))</f>
        <v>-355.55306816268001</v>
      </c>
      <c r="V523" s="304">
        <f t="array" ref="V523">_xlfn.XLOOKUP($B523,$B$114:$B$212,_xlfn.XLOOKUP(V$219,$D$5:$AO$5,$D$114:$AO$212))</f>
        <v>-350.57942260670649</v>
      </c>
      <c r="W523" s="304">
        <f t="array" ref="W523">_xlfn.XLOOKUP($B523,$B$114:$B$212,_xlfn.XLOOKUP(W$219,$D$5:$AO$5,$D$114:$AO$212))</f>
        <v>-369.81211408450969</v>
      </c>
      <c r="X523" s="304">
        <f t="array" ref="X523">_xlfn.XLOOKUP($B523,$B$114:$B$212,_xlfn.XLOOKUP(X$219,$D$5:$AO$5,$D$114:$AO$212))</f>
        <v>-364.95190720881948</v>
      </c>
      <c r="Y523" s="304">
        <f t="array" ref="Y523">_xlfn.XLOOKUP($B523,$B$114:$B$212,_xlfn.XLOOKUP(Y$219,$D$5:$AO$5,$D$114:$AO$212))</f>
        <v>-384.08295019293888</v>
      </c>
      <c r="Z523" s="304">
        <f t="array" ref="Z523">_xlfn.XLOOKUP($B523,$B$114:$B$212,_xlfn.XLOOKUP(Z$219,$D$5:$AO$5,$D$114:$AO$212))</f>
        <v>-378.98312275882358</v>
      </c>
      <c r="AA523" s="305"/>
      <c r="AB523" s="302" t="str">
        <f t="shared" si="330"/>
        <v>Expenses - old</v>
      </c>
      <c r="AC523" s="303" t="str">
        <f t="shared" si="331"/>
        <v>NZ$m</v>
      </c>
      <c r="AD523" s="303"/>
      <c r="AE523" s="303"/>
      <c r="AF523" s="304">
        <f t="array" ref="AF523">_xlfn.XLOOKUP($B523,$B$114:$B$212,_xlfn.XLOOKUP(AF$219,$D$5:$AO$5,$D$114:$AO$212))</f>
        <v>-638.1</v>
      </c>
      <c r="AG523" s="304">
        <f t="array" ref="AG523">_xlfn.XLOOKUP($B523,$B$114:$B$212,_xlfn.XLOOKUP(AG$219,$D$5:$AO$5,$D$114:$AO$212))</f>
        <v>-542.1</v>
      </c>
      <c r="AH523" s="304">
        <f t="array" ref="AH523">_xlfn.XLOOKUP($B523,$B$114:$B$212,_xlfn.XLOOKUP(AH$219,$D$5:$AO$5,$D$114:$AO$212))</f>
        <v>-760.3</v>
      </c>
      <c r="AI523" s="304">
        <f t="array" ref="AI523">_xlfn.XLOOKUP($B523,$B$114:$B$212,_xlfn.XLOOKUP(AI$219,$D$5:$AO$5,$D$114:$AO$212))</f>
        <v>-790.3</v>
      </c>
      <c r="AJ523" s="304">
        <f t="array" ref="AJ523">_xlfn.XLOOKUP($B523,$B$114:$B$212,_xlfn.XLOOKUP(AJ$219,$D$5:$AO$5,$D$114:$AO$212))</f>
        <v>-613.15106291999996</v>
      </c>
      <c r="AK523" s="304">
        <f t="array" ref="AK523">_xlfn.XLOOKUP($B523,$B$114:$B$212,_xlfn.XLOOKUP(AK$219,$D$5:$AO$5,$D$114:$AO$212))</f>
        <v>-686.05519902056005</v>
      </c>
      <c r="AL523" s="304">
        <f t="array" ref="AL523">_xlfn.XLOOKUP($B523,$B$114:$B$212,_xlfn.XLOOKUP(AL$219,$D$5:$AO$5,$D$114:$AO$212))</f>
        <v>-681.89347269667758</v>
      </c>
      <c r="AM523" s="304">
        <f t="array" ref="AM523">_xlfn.XLOOKUP($B523,$B$114:$B$212,_xlfn.XLOOKUP(AM$219,$D$5:$AO$5,$D$114:$AO$212))</f>
        <v>-706.13249076938655</v>
      </c>
      <c r="AN523" s="304">
        <f t="array" ref="AN523">_xlfn.XLOOKUP($B523,$B$114:$B$212,_xlfn.XLOOKUP(AN$219,$D$5:$AO$5,$D$114:$AO$212))</f>
        <v>-734.76402129332928</v>
      </c>
      <c r="AO523" s="304">
        <f t="array" ref="AO523">_xlfn.XLOOKUP($B523,$B$114:$B$212,_xlfn.XLOOKUP(AO$219,$D$5:$AO$5,$D$114:$AO$212))</f>
        <v>-763.06607295176252</v>
      </c>
    </row>
    <row r="524" spans="1:41">
      <c r="B524" s="301" t="s">
        <v>1494</v>
      </c>
      <c r="C524" s="306" t="s">
        <v>1537</v>
      </c>
      <c r="D524" s="307" t="str">
        <f t="array" ref="D524">_xlfn.XLOOKUP($B524,$B$11:$B$109,_xlfn.XLOOKUP(D$219,$D$5:$AO$5,$D$11:$AO$109))</f>
        <v>NZ$m</v>
      </c>
      <c r="E524" s="307"/>
      <c r="F524" s="307"/>
      <c r="G524" s="308" t="e">
        <f t="array" ref="G524">_xlfn.XLOOKUP($B524,$B$11:$B$109,_xlfn.XLOOKUP(G$219,$D$5:$AO$5,$D$11:$AO$109))</f>
        <v>#REF!</v>
      </c>
      <c r="H524" s="308" t="e">
        <f t="array" ref="H524">_xlfn.XLOOKUP($B524,$B$11:$B$109,_xlfn.XLOOKUP(H$219,$D$5:$AO$5,$D$11:$AO$109))</f>
        <v>#REF!</v>
      </c>
      <c r="I524" s="308" t="e">
        <f t="array" ref="I524">_xlfn.XLOOKUP($B524,$B$11:$B$109,_xlfn.XLOOKUP(I$219,$D$5:$AO$5,$D$11:$AO$109))</f>
        <v>#REF!</v>
      </c>
      <c r="J524" s="308" t="e">
        <f t="array" ref="J524">_xlfn.XLOOKUP($B524,$B$11:$B$109,_xlfn.XLOOKUP(J$219,$D$5:$AO$5,$D$11:$AO$109))</f>
        <v>#REF!</v>
      </c>
      <c r="K524" s="308" t="e">
        <f t="array" ref="K524">_xlfn.XLOOKUP($B524,$B$11:$B$109,_xlfn.XLOOKUP(K$219,$D$5:$AO$5,$D$11:$AO$109))</f>
        <v>#REF!</v>
      </c>
      <c r="L524" s="308" t="e">
        <f t="array" ref="L524">_xlfn.XLOOKUP($B524,$B$11:$B$109,_xlfn.XLOOKUP(L$219,$D$5:$AO$5,$D$11:$AO$109))</f>
        <v>#REF!</v>
      </c>
      <c r="M524" s="308" t="e">
        <f t="array" ref="M524">_xlfn.XLOOKUP($B524,$B$11:$B$109,_xlfn.XLOOKUP(M$219,$D$5:$AO$5,$D$11:$AO$109))</f>
        <v>#REF!</v>
      </c>
      <c r="N524" s="308" t="e">
        <f t="array" ref="N524">_xlfn.XLOOKUP($B524,$B$11:$B$109,_xlfn.XLOOKUP(N$219,$D$5:$AO$5,$D$11:$AO$109))</f>
        <v>#REF!</v>
      </c>
      <c r="O524" s="308" t="e">
        <f t="array" ref="O524">_xlfn.XLOOKUP($B524,$B$11:$B$109,_xlfn.XLOOKUP(O$219,$D$5:$AO$5,$D$11:$AO$109))</f>
        <v>#REF!</v>
      </c>
      <c r="P524" s="308" t="e">
        <f t="array" ref="P524">_xlfn.XLOOKUP($B524,$B$11:$B$109,_xlfn.XLOOKUP(P$219,$D$5:$AO$5,$D$11:$AO$109))</f>
        <v>#REF!</v>
      </c>
      <c r="Q524" s="308" t="e">
        <f t="array" ref="Q524">_xlfn.XLOOKUP($B524,$B$11:$B$109,_xlfn.XLOOKUP(Q$219,$D$5:$AO$5,$D$11:$AO$109))</f>
        <v>#REF!</v>
      </c>
      <c r="R524" s="308" t="e">
        <f t="array" ref="R524">_xlfn.XLOOKUP($B524,$B$11:$B$109,_xlfn.XLOOKUP(R$219,$D$5:$AO$5,$D$11:$AO$109))</f>
        <v>#REF!</v>
      </c>
      <c r="S524" s="308" t="e">
        <f t="array" ref="S524">_xlfn.XLOOKUP($B524,$B$11:$B$109,_xlfn.XLOOKUP(S$219,$D$5:$AO$5,$D$11:$AO$109))</f>
        <v>#REF!</v>
      </c>
      <c r="T524" s="308" t="e">
        <f t="array" ref="T524">_xlfn.XLOOKUP($B524,$B$11:$B$109,_xlfn.XLOOKUP(T$219,$D$5:$AO$5,$D$11:$AO$109))</f>
        <v>#REF!</v>
      </c>
      <c r="U524" s="308" t="e">
        <f t="array" ref="U524">_xlfn.XLOOKUP($B524,$B$11:$B$109,_xlfn.XLOOKUP(U$219,$D$5:$AO$5,$D$11:$AO$109))</f>
        <v>#REF!</v>
      </c>
      <c r="V524" s="308" t="e">
        <f t="array" ref="V524">_xlfn.XLOOKUP($B524,$B$11:$B$109,_xlfn.XLOOKUP(V$219,$D$5:$AO$5,$D$11:$AO$109))</f>
        <v>#REF!</v>
      </c>
      <c r="W524" s="308" t="e">
        <f t="array" ref="W524">_xlfn.XLOOKUP($B524,$B$11:$B$109,_xlfn.XLOOKUP(W$219,$D$5:$AO$5,$D$11:$AO$109))</f>
        <v>#REF!</v>
      </c>
      <c r="X524" s="308" t="e">
        <f t="array" ref="X524">_xlfn.XLOOKUP($B524,$B$11:$B$109,_xlfn.XLOOKUP(X$219,$D$5:$AO$5,$D$11:$AO$109))</f>
        <v>#REF!</v>
      </c>
      <c r="Y524" s="308" t="e">
        <f t="array" ref="Y524">_xlfn.XLOOKUP($B524,$B$11:$B$109,_xlfn.XLOOKUP(Y$219,$D$5:$AO$5,$D$11:$AO$109))</f>
        <v>#REF!</v>
      </c>
      <c r="Z524" s="308" t="e">
        <f t="array" ref="Z524">_xlfn.XLOOKUP($B524,$B$11:$B$109,_xlfn.XLOOKUP(Z$219,$D$5:$AO$5,$D$11:$AO$109))</f>
        <v>#REF!</v>
      </c>
      <c r="AA524" s="308"/>
      <c r="AB524" s="306" t="str">
        <f t="shared" si="330"/>
        <v>Expenses - New</v>
      </c>
      <c r="AC524" s="307" t="str">
        <f t="shared" si="331"/>
        <v>NZ$m</v>
      </c>
      <c r="AD524" s="307"/>
      <c r="AE524" s="307"/>
      <c r="AF524" s="308" t="e">
        <f t="array" ref="AF524">_xlfn.XLOOKUP($B524,$B$11:$B$109,_xlfn.XLOOKUP(AF$219,$D$5:$AO$5,$D$11:$AO$109))</f>
        <v>#REF!</v>
      </c>
      <c r="AG524" s="308" t="e">
        <f t="array" ref="AG524">_xlfn.XLOOKUP($B524,$B$11:$B$109,_xlfn.XLOOKUP(AG$219,$D$5:$AO$5,$D$11:$AO$109))</f>
        <v>#REF!</v>
      </c>
      <c r="AH524" s="308" t="e">
        <f t="array" ref="AH524">_xlfn.XLOOKUP($B524,$B$11:$B$109,_xlfn.XLOOKUP(AH$219,$D$5:$AO$5,$D$11:$AO$109))</f>
        <v>#REF!</v>
      </c>
      <c r="AI524" s="308" t="e">
        <f t="array" ref="AI524">_xlfn.XLOOKUP($B524,$B$11:$B$109,_xlfn.XLOOKUP(AI$219,$D$5:$AO$5,$D$11:$AO$109))</f>
        <v>#REF!</v>
      </c>
      <c r="AJ524" s="308" t="e">
        <f t="array" ref="AJ524">_xlfn.XLOOKUP($B524,$B$11:$B$109,_xlfn.XLOOKUP(AJ$219,$D$5:$AO$5,$D$11:$AO$109))</f>
        <v>#REF!</v>
      </c>
      <c r="AK524" s="308" t="e">
        <f t="array" ref="AK524">_xlfn.XLOOKUP($B524,$B$11:$B$109,_xlfn.XLOOKUP(AK$219,$D$5:$AO$5,$D$11:$AO$109))</f>
        <v>#REF!</v>
      </c>
      <c r="AL524" s="308" t="e">
        <f t="array" ref="AL524">_xlfn.XLOOKUP($B524,$B$11:$B$109,_xlfn.XLOOKUP(AL$219,$D$5:$AO$5,$D$11:$AO$109))</f>
        <v>#REF!</v>
      </c>
      <c r="AM524" s="308" t="e">
        <f t="array" ref="AM524">_xlfn.XLOOKUP($B524,$B$11:$B$109,_xlfn.XLOOKUP(AM$219,$D$5:$AO$5,$D$11:$AO$109))</f>
        <v>#REF!</v>
      </c>
      <c r="AN524" s="308" t="e">
        <f t="array" ref="AN524">_xlfn.XLOOKUP($B524,$B$11:$B$109,_xlfn.XLOOKUP(AN$219,$D$5:$AO$5,$D$11:$AO$109))</f>
        <v>#REF!</v>
      </c>
      <c r="AO524" s="308" t="e">
        <f t="array" ref="AO524">_xlfn.XLOOKUP($B524,$B$11:$B$109,_xlfn.XLOOKUP(AO$219,$D$5:$AO$5,$D$11:$AO$109))</f>
        <v>#REF!</v>
      </c>
    </row>
    <row r="525" spans="1:41" hidden="1" outlineLevel="1">
      <c r="B525" s="301"/>
      <c r="C525" s="309" t="s">
        <v>1510</v>
      </c>
      <c r="D525" s="303" t="s">
        <v>88</v>
      </c>
      <c r="E525" s="303"/>
      <c r="F525" s="303"/>
      <c r="G525" s="310" t="s">
        <v>967</v>
      </c>
      <c r="H525" s="310" t="s">
        <v>967</v>
      </c>
      <c r="I525" s="310" t="e">
        <f t="shared" ref="I525:Z525" si="336">I524/G524-1</f>
        <v>#REF!</v>
      </c>
      <c r="J525" s="310" t="e">
        <f t="shared" si="336"/>
        <v>#REF!</v>
      </c>
      <c r="K525" s="310" t="e">
        <f t="shared" si="336"/>
        <v>#REF!</v>
      </c>
      <c r="L525" s="310" t="e">
        <f t="shared" si="336"/>
        <v>#REF!</v>
      </c>
      <c r="M525" s="310" t="e">
        <f t="shared" si="336"/>
        <v>#REF!</v>
      </c>
      <c r="N525" s="310" t="e">
        <f t="shared" si="336"/>
        <v>#REF!</v>
      </c>
      <c r="O525" s="310" t="e">
        <f t="shared" si="336"/>
        <v>#REF!</v>
      </c>
      <c r="P525" s="310" t="e">
        <f t="shared" si="336"/>
        <v>#REF!</v>
      </c>
      <c r="Q525" s="310" t="e">
        <f t="shared" si="336"/>
        <v>#REF!</v>
      </c>
      <c r="R525" s="310" t="e">
        <f t="shared" si="336"/>
        <v>#REF!</v>
      </c>
      <c r="S525" s="310" t="e">
        <f t="shared" si="336"/>
        <v>#REF!</v>
      </c>
      <c r="T525" s="310" t="e">
        <f t="shared" si="336"/>
        <v>#REF!</v>
      </c>
      <c r="U525" s="310" t="e">
        <f t="shared" si="336"/>
        <v>#REF!</v>
      </c>
      <c r="V525" s="310" t="e">
        <f t="shared" si="336"/>
        <v>#REF!</v>
      </c>
      <c r="W525" s="310" t="e">
        <f t="shared" si="336"/>
        <v>#REF!</v>
      </c>
      <c r="X525" s="310" t="e">
        <f t="shared" si="336"/>
        <v>#REF!</v>
      </c>
      <c r="Y525" s="310" t="e">
        <f t="shared" si="336"/>
        <v>#REF!</v>
      </c>
      <c r="Z525" s="310" t="e">
        <f t="shared" si="336"/>
        <v>#REF!</v>
      </c>
      <c r="AA525" s="311"/>
      <c r="AB525" s="309" t="str">
        <f t="shared" si="330"/>
        <v>- Growth</v>
      </c>
      <c r="AC525" s="303" t="str">
        <f t="shared" si="331"/>
        <v>%</v>
      </c>
      <c r="AD525" s="303"/>
      <c r="AE525" s="303"/>
      <c r="AF525" s="310" t="s">
        <v>967</v>
      </c>
      <c r="AG525" s="310" t="e">
        <f t="shared" ref="AG525:AO525" si="337">AG524/AF524-1</f>
        <v>#REF!</v>
      </c>
      <c r="AH525" s="310" t="e">
        <f t="shared" si="337"/>
        <v>#REF!</v>
      </c>
      <c r="AI525" s="310" t="e">
        <f t="shared" si="337"/>
        <v>#REF!</v>
      </c>
      <c r="AJ525" s="310" t="e">
        <f t="shared" si="337"/>
        <v>#REF!</v>
      </c>
      <c r="AK525" s="310" t="e">
        <f t="shared" si="337"/>
        <v>#REF!</v>
      </c>
      <c r="AL525" s="310" t="e">
        <f t="shared" si="337"/>
        <v>#REF!</v>
      </c>
      <c r="AM525" s="310" t="e">
        <f t="shared" si="337"/>
        <v>#REF!</v>
      </c>
      <c r="AN525" s="310" t="e">
        <f t="shared" si="337"/>
        <v>#REF!</v>
      </c>
      <c r="AO525" s="310" t="e">
        <f t="shared" si="337"/>
        <v>#REF!</v>
      </c>
    </row>
    <row r="526" spans="1:41" collapsed="1">
      <c r="B526" s="301"/>
      <c r="C526" s="309" t="s">
        <v>1511</v>
      </c>
      <c r="D526" s="303" t="s">
        <v>88</v>
      </c>
      <c r="E526" s="303"/>
      <c r="F526" s="316"/>
      <c r="G526" s="310">
        <f t="shared" ref="G526:Z526" si="338">IFERROR(ROUND( G524 / G523,2) - 1, 0)</f>
        <v>0</v>
      </c>
      <c r="H526" s="310">
        <f t="shared" si="338"/>
        <v>0</v>
      </c>
      <c r="I526" s="310">
        <f t="shared" si="338"/>
        <v>0</v>
      </c>
      <c r="J526" s="310">
        <f t="shared" si="338"/>
        <v>0</v>
      </c>
      <c r="K526" s="310">
        <f t="shared" si="338"/>
        <v>0</v>
      </c>
      <c r="L526" s="310">
        <f t="shared" si="338"/>
        <v>0</v>
      </c>
      <c r="M526" s="310">
        <f t="shared" si="338"/>
        <v>0</v>
      </c>
      <c r="N526" s="310">
        <f t="shared" si="338"/>
        <v>0</v>
      </c>
      <c r="O526" s="310">
        <f t="shared" si="338"/>
        <v>0</v>
      </c>
      <c r="P526" s="310">
        <f t="shared" si="338"/>
        <v>0</v>
      </c>
      <c r="Q526" s="310">
        <f t="shared" si="338"/>
        <v>0</v>
      </c>
      <c r="R526" s="310">
        <f t="shared" si="338"/>
        <v>0</v>
      </c>
      <c r="S526" s="310">
        <f t="shared" si="338"/>
        <v>0</v>
      </c>
      <c r="T526" s="310">
        <f t="shared" si="338"/>
        <v>0</v>
      </c>
      <c r="U526" s="310">
        <f t="shared" si="338"/>
        <v>0</v>
      </c>
      <c r="V526" s="310">
        <f t="shared" si="338"/>
        <v>0</v>
      </c>
      <c r="W526" s="310">
        <f t="shared" si="338"/>
        <v>0</v>
      </c>
      <c r="X526" s="310">
        <f t="shared" si="338"/>
        <v>0</v>
      </c>
      <c r="Y526" s="310">
        <f t="shared" si="338"/>
        <v>0</v>
      </c>
      <c r="Z526" s="310">
        <f t="shared" si="338"/>
        <v>0</v>
      </c>
      <c r="AA526" s="310"/>
      <c r="AB526" s="309" t="str">
        <f t="shared" si="330"/>
        <v>- Revision</v>
      </c>
      <c r="AC526" s="303" t="str">
        <f t="shared" si="331"/>
        <v>%</v>
      </c>
      <c r="AD526" s="303"/>
      <c r="AE526" s="303"/>
      <c r="AF526" s="310">
        <f t="shared" ref="AF526:AO526" si="339">IFERROR(ROUND( AF524 / AF523,2) - 1, 0)</f>
        <v>0</v>
      </c>
      <c r="AG526" s="310">
        <f t="shared" si="339"/>
        <v>0</v>
      </c>
      <c r="AH526" s="310">
        <f t="shared" si="339"/>
        <v>0</v>
      </c>
      <c r="AI526" s="310">
        <f t="shared" si="339"/>
        <v>0</v>
      </c>
      <c r="AJ526" s="310">
        <f t="shared" si="339"/>
        <v>0</v>
      </c>
      <c r="AK526" s="310">
        <f t="shared" si="339"/>
        <v>0</v>
      </c>
      <c r="AL526" s="310">
        <f t="shared" si="339"/>
        <v>0</v>
      </c>
      <c r="AM526" s="310">
        <f t="shared" si="339"/>
        <v>0</v>
      </c>
      <c r="AN526" s="310">
        <f t="shared" si="339"/>
        <v>0</v>
      </c>
      <c r="AO526" s="310">
        <f t="shared" si="339"/>
        <v>0</v>
      </c>
    </row>
    <row r="527" spans="1:41">
      <c r="B527" s="301" t="s">
        <v>1583</v>
      </c>
      <c r="C527" s="302" t="s">
        <v>1528</v>
      </c>
      <c r="D527" s="303" t="str">
        <f t="array" ref="D527">_xlfn.XLOOKUP($B527,$B$114:$B$212,_xlfn.XLOOKUP(D$219,$D$5:$AO$5,$D$114:$AO$212))</f>
        <v>NZ$m</v>
      </c>
      <c r="E527" s="303"/>
      <c r="F527" s="316"/>
      <c r="G527" s="304">
        <f t="array" ref="G527">_xlfn.XLOOKUP($B527,$B$114:$B$212,_xlfn.XLOOKUP(G$219,$D$5:$AO$5,$D$114:$AO$212))</f>
        <v>150.5</v>
      </c>
      <c r="H527" s="304">
        <f t="array" ref="H527">_xlfn.XLOOKUP($B527,$B$114:$B$212,_xlfn.XLOOKUP(H$219,$D$5:$AO$5,$D$114:$AO$212))</f>
        <v>163.4</v>
      </c>
      <c r="I527" s="304">
        <f t="array" ref="I527">_xlfn.XLOOKUP($B527,$B$114:$B$212,_xlfn.XLOOKUP(I$219,$D$5:$AO$5,$D$114:$AO$212))</f>
        <v>20.399999999999999</v>
      </c>
      <c r="J527" s="304">
        <f t="array" ref="J527">_xlfn.XLOOKUP($B527,$B$114:$B$212,_xlfn.XLOOKUP(J$219,$D$5:$AO$5,$D$114:$AO$212))</f>
        <v>76.5</v>
      </c>
      <c r="K527" s="304">
        <f t="array" ref="K527">_xlfn.XLOOKUP($B527,$B$114:$B$212,_xlfn.XLOOKUP(K$219,$D$5:$AO$5,$D$114:$AO$212))</f>
        <v>106.3</v>
      </c>
      <c r="L527" s="304">
        <f t="array" ref="L527">_xlfn.XLOOKUP($B527,$B$114:$B$212,_xlfn.XLOOKUP(L$219,$D$5:$AO$5,$D$114:$AO$212))</f>
        <v>59.600000000000009</v>
      </c>
      <c r="M527" s="304">
        <f t="array" ref="M527">_xlfn.XLOOKUP($B527,$B$114:$B$212,_xlfn.XLOOKUP(M$219,$D$5:$AO$5,$D$114:$AO$212))</f>
        <v>101</v>
      </c>
      <c r="N527" s="304">
        <f t="array" ref="N527">_xlfn.XLOOKUP($B527,$B$114:$B$212,_xlfn.XLOOKUP(N$219,$D$5:$AO$5,$D$114:$AO$212))</f>
        <v>37.199999999999989</v>
      </c>
      <c r="O527" s="304">
        <f t="array" ref="O527">_xlfn.XLOOKUP($B527,$B$114:$B$212,_xlfn.XLOOKUP(O$219,$D$5:$AO$5,$D$114:$AO$212))</f>
        <v>113.1</v>
      </c>
      <c r="P527" s="304">
        <f t="array" ref="P527">_xlfn.XLOOKUP($B527,$B$114:$B$212,_xlfn.XLOOKUP(P$219,$D$5:$AO$5,$D$114:$AO$212))</f>
        <v>118.01353708000011</v>
      </c>
      <c r="Q527" s="304">
        <f t="array" ref="Q527">_xlfn.XLOOKUP($B527,$B$114:$B$212,_xlfn.XLOOKUP(Q$219,$D$5:$AO$5,$D$114:$AO$212))</f>
        <v>79.083924399999916</v>
      </c>
      <c r="R527" s="304">
        <f t="array" ref="R527">_xlfn.XLOOKUP($B527,$B$114:$B$212,_xlfn.XLOOKUP(R$219,$D$5:$AO$5,$D$114:$AO$212))</f>
        <v>124.6790075794401</v>
      </c>
      <c r="S527" s="304">
        <f t="array" ref="S527">_xlfn.XLOOKUP($B527,$B$114:$B$212,_xlfn.XLOOKUP(S$219,$D$5:$AO$5,$D$114:$AO$212))</f>
        <v>131.87768504799999</v>
      </c>
      <c r="T527" s="304">
        <f t="array" ref="T527">_xlfn.XLOOKUP($B527,$B$114:$B$212,_xlfn.XLOOKUP(T$219,$D$5:$AO$5,$D$114:$AO$212))</f>
        <v>141.4633954353225</v>
      </c>
      <c r="U527" s="304">
        <f t="array" ref="U527">_xlfn.XLOOKUP($B527,$B$114:$B$212,_xlfn.XLOOKUP(U$219,$D$5:$AO$5,$D$114:$AO$212))</f>
        <v>143.98109363731999</v>
      </c>
      <c r="V527" s="304">
        <f t="array" ref="V527">_xlfn.XLOOKUP($B527,$B$114:$B$212,_xlfn.XLOOKUP(V$219,$D$5:$AO$5,$D$114:$AO$212))</f>
        <v>151.52952599309339</v>
      </c>
      <c r="W527" s="304">
        <f t="array" ref="W527">_xlfn.XLOOKUP($B527,$B$114:$B$212,_xlfn.XLOOKUP(W$219,$D$5:$AO$5,$D$114:$AO$212))</f>
        <v>149.9666721214904</v>
      </c>
      <c r="X527" s="304">
        <f t="array" ref="X527">_xlfn.XLOOKUP($B527,$B$114:$B$212,_xlfn.XLOOKUP(X$219,$D$5:$AO$5,$D$114:$AO$212))</f>
        <v>155.89579458369261</v>
      </c>
      <c r="Y527" s="304">
        <f t="array" ref="Y527">_xlfn.XLOOKUP($B527,$B$114:$B$212,_xlfn.XLOOKUP(Y$219,$D$5:$AO$5,$D$114:$AO$212))</f>
        <v>153.3981497804611</v>
      </c>
      <c r="Z527" s="304">
        <f t="array" ref="Z527">_xlfn.XLOOKUP($B527,$B$114:$B$212,_xlfn.XLOOKUP(Z$219,$D$5:$AO$5,$D$114:$AO$212))</f>
        <v>159.87166550536901</v>
      </c>
      <c r="AA527" s="305"/>
      <c r="AB527" s="302" t="str">
        <f t="shared" si="330"/>
        <v>Reported EBITDA - old</v>
      </c>
      <c r="AC527" s="303" t="str">
        <f t="shared" si="331"/>
        <v>NZ$m</v>
      </c>
      <c r="AD527" s="303"/>
      <c r="AE527" s="303"/>
      <c r="AF527" s="304">
        <f t="array" ref="AF527">_xlfn.XLOOKUP($B527,$B$114:$B$212,_xlfn.XLOOKUP(AF$219,$D$5:$AO$5,$D$114:$AO$212))</f>
        <v>313.89999999999998</v>
      </c>
      <c r="AG527" s="304">
        <f t="array" ref="AG527">_xlfn.XLOOKUP($B527,$B$114:$B$212,_xlfn.XLOOKUP(AG$219,$D$5:$AO$5,$D$114:$AO$212))</f>
        <v>96.9</v>
      </c>
      <c r="AH527" s="304">
        <f t="array" ref="AH527">_xlfn.XLOOKUP($B527,$B$114:$B$212,_xlfn.XLOOKUP(AH$219,$D$5:$AO$5,$D$114:$AO$212))</f>
        <v>165.9</v>
      </c>
      <c r="AI527" s="304">
        <f t="array" ref="AI527">_xlfn.XLOOKUP($B527,$B$114:$B$212,_xlfn.XLOOKUP(AI$219,$D$5:$AO$5,$D$114:$AO$212))</f>
        <v>138.19999999999999</v>
      </c>
      <c r="AJ527" s="304">
        <f t="array" ref="AJ527">_xlfn.XLOOKUP($B527,$B$114:$B$212,_xlfn.XLOOKUP(AJ$219,$D$5:$AO$5,$D$114:$AO$212))</f>
        <v>231.1135370800001</v>
      </c>
      <c r="AK527" s="304">
        <f t="array" ref="AK527">_xlfn.XLOOKUP($B527,$B$114:$B$212,_xlfn.XLOOKUP(AK$219,$D$5:$AO$5,$D$114:$AO$212))</f>
        <v>203.76293197944</v>
      </c>
      <c r="AL527" s="304">
        <f t="array" ref="AL527">_xlfn.XLOOKUP($B527,$B$114:$B$212,_xlfn.XLOOKUP(AL$219,$D$5:$AO$5,$D$114:$AO$212))</f>
        <v>273.34108048332251</v>
      </c>
      <c r="AM527" s="304">
        <f t="array" ref="AM527">_xlfn.XLOOKUP($B527,$B$114:$B$212,_xlfn.XLOOKUP(AM$219,$D$5:$AO$5,$D$114:$AO$212))</f>
        <v>295.51061963041349</v>
      </c>
      <c r="AN527" s="304">
        <f t="array" ref="AN527">_xlfn.XLOOKUP($B527,$B$114:$B$212,_xlfn.XLOOKUP(AN$219,$D$5:$AO$5,$D$114:$AO$212))</f>
        <v>305.86246670518301</v>
      </c>
      <c r="AO527" s="304">
        <f t="array" ref="AO527">_xlfn.XLOOKUP($B527,$B$114:$B$212,_xlfn.XLOOKUP(AO$219,$D$5:$AO$5,$D$114:$AO$212))</f>
        <v>313.26981528583008</v>
      </c>
    </row>
    <row r="528" spans="1:41">
      <c r="B528" s="301" t="s">
        <v>1583</v>
      </c>
      <c r="C528" s="306" t="s">
        <v>1529</v>
      </c>
      <c r="D528" s="307" t="str">
        <f t="array" ref="D528">_xlfn.XLOOKUP($B528,$B$11:$B$109,_xlfn.XLOOKUP(D$219,$D$5:$AO$5,$D$11:$AO$109))</f>
        <v>NZ$m</v>
      </c>
      <c r="E528" s="307"/>
      <c r="F528" s="316"/>
      <c r="G528" s="308" t="e">
        <f t="array" ref="G528">_xlfn.XLOOKUP($B528,$B$11:$B$109,_xlfn.XLOOKUP(G$219,$D$5:$AO$5,$D$11:$AO$109))</f>
        <v>#REF!</v>
      </c>
      <c r="H528" s="308" t="e">
        <f t="array" ref="H528">_xlfn.XLOOKUP($B528,$B$11:$B$109,_xlfn.XLOOKUP(H$219,$D$5:$AO$5,$D$11:$AO$109))</f>
        <v>#REF!</v>
      </c>
      <c r="I528" s="308" t="e">
        <f t="array" ref="I528">_xlfn.XLOOKUP($B528,$B$11:$B$109,_xlfn.XLOOKUP(I$219,$D$5:$AO$5,$D$11:$AO$109))</f>
        <v>#REF!</v>
      </c>
      <c r="J528" s="308" t="e">
        <f t="array" ref="J528">_xlfn.XLOOKUP($B528,$B$11:$B$109,_xlfn.XLOOKUP(J$219,$D$5:$AO$5,$D$11:$AO$109))</f>
        <v>#REF!</v>
      </c>
      <c r="K528" s="308" t="e">
        <f t="array" ref="K528">_xlfn.XLOOKUP($B528,$B$11:$B$109,_xlfn.XLOOKUP(K$219,$D$5:$AO$5,$D$11:$AO$109))</f>
        <v>#REF!</v>
      </c>
      <c r="L528" s="308" t="e">
        <f t="array" ref="L528">_xlfn.XLOOKUP($B528,$B$11:$B$109,_xlfn.XLOOKUP(L$219,$D$5:$AO$5,$D$11:$AO$109))</f>
        <v>#REF!</v>
      </c>
      <c r="M528" s="308" t="e">
        <f t="array" ref="M528">_xlfn.XLOOKUP($B528,$B$11:$B$109,_xlfn.XLOOKUP(M$219,$D$5:$AO$5,$D$11:$AO$109))</f>
        <v>#REF!</v>
      </c>
      <c r="N528" s="308" t="e">
        <f t="array" ref="N528">_xlfn.XLOOKUP($B528,$B$11:$B$109,_xlfn.XLOOKUP(N$219,$D$5:$AO$5,$D$11:$AO$109))</f>
        <v>#REF!</v>
      </c>
      <c r="O528" s="308" t="e">
        <f t="array" ref="O528">_xlfn.XLOOKUP($B528,$B$11:$B$109,_xlfn.XLOOKUP(O$219,$D$5:$AO$5,$D$11:$AO$109))</f>
        <v>#REF!</v>
      </c>
      <c r="P528" s="308" t="e">
        <f t="array" ref="P528">_xlfn.XLOOKUP($B528,$B$11:$B$109,_xlfn.XLOOKUP(P$219,$D$5:$AO$5,$D$11:$AO$109))</f>
        <v>#REF!</v>
      </c>
      <c r="Q528" s="308" t="e">
        <f t="array" ref="Q528">_xlfn.XLOOKUP($B528,$B$11:$B$109,_xlfn.XLOOKUP(Q$219,$D$5:$AO$5,$D$11:$AO$109))</f>
        <v>#REF!</v>
      </c>
      <c r="R528" s="308" t="e">
        <f t="array" ref="R528">_xlfn.XLOOKUP($B528,$B$11:$B$109,_xlfn.XLOOKUP(R$219,$D$5:$AO$5,$D$11:$AO$109))</f>
        <v>#REF!</v>
      </c>
      <c r="S528" s="308" t="e">
        <f t="array" ref="S528">_xlfn.XLOOKUP($B528,$B$11:$B$109,_xlfn.XLOOKUP(S$219,$D$5:$AO$5,$D$11:$AO$109))</f>
        <v>#REF!</v>
      </c>
      <c r="T528" s="308" t="e">
        <f t="array" ref="T528">_xlfn.XLOOKUP($B528,$B$11:$B$109,_xlfn.XLOOKUP(T$219,$D$5:$AO$5,$D$11:$AO$109))</f>
        <v>#REF!</v>
      </c>
      <c r="U528" s="308" t="e">
        <f t="array" ref="U528">_xlfn.XLOOKUP($B528,$B$11:$B$109,_xlfn.XLOOKUP(U$219,$D$5:$AO$5,$D$11:$AO$109))</f>
        <v>#REF!</v>
      </c>
      <c r="V528" s="308" t="e">
        <f t="array" ref="V528">_xlfn.XLOOKUP($B528,$B$11:$B$109,_xlfn.XLOOKUP(V$219,$D$5:$AO$5,$D$11:$AO$109))</f>
        <v>#REF!</v>
      </c>
      <c r="W528" s="308" t="e">
        <f t="array" ref="W528">_xlfn.XLOOKUP($B528,$B$11:$B$109,_xlfn.XLOOKUP(W$219,$D$5:$AO$5,$D$11:$AO$109))</f>
        <v>#REF!</v>
      </c>
      <c r="X528" s="308" t="e">
        <f t="array" ref="X528">_xlfn.XLOOKUP($B528,$B$11:$B$109,_xlfn.XLOOKUP(X$219,$D$5:$AO$5,$D$11:$AO$109))</f>
        <v>#REF!</v>
      </c>
      <c r="Y528" s="308" t="e">
        <f t="array" ref="Y528">_xlfn.XLOOKUP($B528,$B$11:$B$109,_xlfn.XLOOKUP(Y$219,$D$5:$AO$5,$D$11:$AO$109))</f>
        <v>#REF!</v>
      </c>
      <c r="Z528" s="308" t="e">
        <f t="array" ref="Z528">_xlfn.XLOOKUP($B528,$B$11:$B$109,_xlfn.XLOOKUP(Z$219,$D$5:$AO$5,$D$11:$AO$109))</f>
        <v>#REF!</v>
      </c>
      <c r="AA528" s="308"/>
      <c r="AB528" s="306" t="str">
        <f t="shared" si="330"/>
        <v>Reported EBITDA - New</v>
      </c>
      <c r="AC528" s="307" t="str">
        <f t="shared" si="331"/>
        <v>NZ$m</v>
      </c>
      <c r="AD528" s="307"/>
      <c r="AE528" s="307"/>
      <c r="AF528" s="308" t="e">
        <f t="array" ref="AF528">_xlfn.XLOOKUP($B528,$B$11:$B$109,_xlfn.XLOOKUP(AF$219,$D$5:$AO$5,$D$11:$AO$109))</f>
        <v>#REF!</v>
      </c>
      <c r="AG528" s="308" t="e">
        <f t="array" ref="AG528">_xlfn.XLOOKUP($B528,$B$11:$B$109,_xlfn.XLOOKUP(AG$219,$D$5:$AO$5,$D$11:$AO$109))</f>
        <v>#REF!</v>
      </c>
      <c r="AH528" s="308" t="e">
        <f t="array" ref="AH528">_xlfn.XLOOKUP($B528,$B$11:$B$109,_xlfn.XLOOKUP(AH$219,$D$5:$AO$5,$D$11:$AO$109))</f>
        <v>#REF!</v>
      </c>
      <c r="AI528" s="308" t="e">
        <f t="array" ref="AI528">_xlfn.XLOOKUP($B528,$B$11:$B$109,_xlfn.XLOOKUP(AI$219,$D$5:$AO$5,$D$11:$AO$109))</f>
        <v>#REF!</v>
      </c>
      <c r="AJ528" s="308" t="e">
        <f t="array" ref="AJ528">_xlfn.XLOOKUP($B528,$B$11:$B$109,_xlfn.XLOOKUP(AJ$219,$D$5:$AO$5,$D$11:$AO$109))</f>
        <v>#REF!</v>
      </c>
      <c r="AK528" s="308" t="e">
        <f t="array" ref="AK528">_xlfn.XLOOKUP($B528,$B$11:$B$109,_xlfn.XLOOKUP(AK$219,$D$5:$AO$5,$D$11:$AO$109))</f>
        <v>#REF!</v>
      </c>
      <c r="AL528" s="308" t="e">
        <f t="array" ref="AL528">_xlfn.XLOOKUP($B528,$B$11:$B$109,_xlfn.XLOOKUP(AL$219,$D$5:$AO$5,$D$11:$AO$109))</f>
        <v>#REF!</v>
      </c>
      <c r="AM528" s="308" t="e">
        <f t="array" ref="AM528">_xlfn.XLOOKUP($B528,$B$11:$B$109,_xlfn.XLOOKUP(AM$219,$D$5:$AO$5,$D$11:$AO$109))</f>
        <v>#REF!</v>
      </c>
      <c r="AN528" s="308" t="e">
        <f t="array" ref="AN528">_xlfn.XLOOKUP($B528,$B$11:$B$109,_xlfn.XLOOKUP(AN$219,$D$5:$AO$5,$D$11:$AO$109))</f>
        <v>#REF!</v>
      </c>
      <c r="AO528" s="308" t="e">
        <f t="array" ref="AO528">_xlfn.XLOOKUP($B528,$B$11:$B$109,_xlfn.XLOOKUP(AO$219,$D$5:$AO$5,$D$11:$AO$109))</f>
        <v>#REF!</v>
      </c>
    </row>
    <row r="529" spans="2:41" hidden="1" outlineLevel="1">
      <c r="B529" s="301"/>
      <c r="C529" s="309" t="s">
        <v>1510</v>
      </c>
      <c r="D529" s="303" t="s">
        <v>88</v>
      </c>
      <c r="E529" s="303"/>
      <c r="F529" s="316"/>
      <c r="G529" s="310" t="s">
        <v>967</v>
      </c>
      <c r="H529" s="310" t="s">
        <v>967</v>
      </c>
      <c r="I529" s="310" t="e">
        <f t="shared" ref="I529:Z529" si="340">I528/G528-1</f>
        <v>#REF!</v>
      </c>
      <c r="J529" s="310" t="e">
        <f t="shared" si="340"/>
        <v>#REF!</v>
      </c>
      <c r="K529" s="310" t="e">
        <f t="shared" si="340"/>
        <v>#REF!</v>
      </c>
      <c r="L529" s="310" t="e">
        <f t="shared" si="340"/>
        <v>#REF!</v>
      </c>
      <c r="M529" s="310" t="e">
        <f t="shared" si="340"/>
        <v>#REF!</v>
      </c>
      <c r="N529" s="310" t="e">
        <f t="shared" si="340"/>
        <v>#REF!</v>
      </c>
      <c r="O529" s="310" t="e">
        <f t="shared" si="340"/>
        <v>#REF!</v>
      </c>
      <c r="P529" s="310" t="e">
        <f t="shared" si="340"/>
        <v>#REF!</v>
      </c>
      <c r="Q529" s="310" t="e">
        <f t="shared" si="340"/>
        <v>#REF!</v>
      </c>
      <c r="R529" s="310" t="e">
        <f t="shared" si="340"/>
        <v>#REF!</v>
      </c>
      <c r="S529" s="310" t="e">
        <f t="shared" si="340"/>
        <v>#REF!</v>
      </c>
      <c r="T529" s="310" t="e">
        <f t="shared" si="340"/>
        <v>#REF!</v>
      </c>
      <c r="U529" s="310" t="e">
        <f t="shared" si="340"/>
        <v>#REF!</v>
      </c>
      <c r="V529" s="310" t="e">
        <f t="shared" si="340"/>
        <v>#REF!</v>
      </c>
      <c r="W529" s="310" t="e">
        <f t="shared" si="340"/>
        <v>#REF!</v>
      </c>
      <c r="X529" s="310" t="e">
        <f t="shared" si="340"/>
        <v>#REF!</v>
      </c>
      <c r="Y529" s="310" t="e">
        <f t="shared" si="340"/>
        <v>#REF!</v>
      </c>
      <c r="Z529" s="310" t="e">
        <f t="shared" si="340"/>
        <v>#REF!</v>
      </c>
      <c r="AA529" s="311"/>
      <c r="AB529" s="309" t="str">
        <f t="shared" si="330"/>
        <v>- Growth</v>
      </c>
      <c r="AC529" s="303" t="str">
        <f t="shared" si="331"/>
        <v>%</v>
      </c>
      <c r="AD529" s="303"/>
      <c r="AE529" s="303"/>
      <c r="AF529" s="310" t="s">
        <v>967</v>
      </c>
      <c r="AG529" s="310" t="e">
        <f t="shared" ref="AG529:AO529" si="341">AG528/AF528-1</f>
        <v>#REF!</v>
      </c>
      <c r="AH529" s="310" t="e">
        <f t="shared" si="341"/>
        <v>#REF!</v>
      </c>
      <c r="AI529" s="310" t="e">
        <f t="shared" si="341"/>
        <v>#REF!</v>
      </c>
      <c r="AJ529" s="310" t="e">
        <f t="shared" si="341"/>
        <v>#REF!</v>
      </c>
      <c r="AK529" s="310" t="e">
        <f t="shared" si="341"/>
        <v>#REF!</v>
      </c>
      <c r="AL529" s="310" t="e">
        <f t="shared" si="341"/>
        <v>#REF!</v>
      </c>
      <c r="AM529" s="310" t="e">
        <f t="shared" si="341"/>
        <v>#REF!</v>
      </c>
      <c r="AN529" s="310" t="e">
        <f t="shared" si="341"/>
        <v>#REF!</v>
      </c>
      <c r="AO529" s="310" t="e">
        <f t="shared" si="341"/>
        <v>#REF!</v>
      </c>
    </row>
    <row r="530" spans="2:41" collapsed="1">
      <c r="B530" s="301"/>
      <c r="C530" s="309" t="s">
        <v>1511</v>
      </c>
      <c r="D530" s="303" t="s">
        <v>88</v>
      </c>
      <c r="E530" s="303"/>
      <c r="F530" s="316"/>
      <c r="G530" s="310">
        <f t="shared" ref="G530:Z530" si="342">IFERROR(ROUND( G528 / G527,2) - 1, 0)</f>
        <v>0</v>
      </c>
      <c r="H530" s="310">
        <f t="shared" si="342"/>
        <v>0</v>
      </c>
      <c r="I530" s="310">
        <f t="shared" si="342"/>
        <v>0</v>
      </c>
      <c r="J530" s="310">
        <f t="shared" si="342"/>
        <v>0</v>
      </c>
      <c r="K530" s="310">
        <f t="shared" si="342"/>
        <v>0</v>
      </c>
      <c r="L530" s="310">
        <f t="shared" si="342"/>
        <v>0</v>
      </c>
      <c r="M530" s="310">
        <f t="shared" si="342"/>
        <v>0</v>
      </c>
      <c r="N530" s="310">
        <f t="shared" si="342"/>
        <v>0</v>
      </c>
      <c r="O530" s="310">
        <f t="shared" si="342"/>
        <v>0</v>
      </c>
      <c r="P530" s="310">
        <f t="shared" si="342"/>
        <v>0</v>
      </c>
      <c r="Q530" s="310">
        <f t="shared" si="342"/>
        <v>0</v>
      </c>
      <c r="R530" s="310">
        <f t="shared" si="342"/>
        <v>0</v>
      </c>
      <c r="S530" s="310">
        <f t="shared" si="342"/>
        <v>0</v>
      </c>
      <c r="T530" s="310">
        <f t="shared" si="342"/>
        <v>0</v>
      </c>
      <c r="U530" s="310">
        <f t="shared" si="342"/>
        <v>0</v>
      </c>
      <c r="V530" s="310">
        <f t="shared" si="342"/>
        <v>0</v>
      </c>
      <c r="W530" s="310">
        <f t="shared" si="342"/>
        <v>0</v>
      </c>
      <c r="X530" s="310">
        <f t="shared" si="342"/>
        <v>0</v>
      </c>
      <c r="Y530" s="310">
        <f t="shared" si="342"/>
        <v>0</v>
      </c>
      <c r="Z530" s="310">
        <f t="shared" si="342"/>
        <v>0</v>
      </c>
      <c r="AA530" s="310"/>
      <c r="AB530" s="309" t="str">
        <f t="shared" si="330"/>
        <v>- Revision</v>
      </c>
      <c r="AC530" s="303" t="str">
        <f t="shared" si="331"/>
        <v>%</v>
      </c>
      <c r="AD530" s="303"/>
      <c r="AE530" s="303"/>
      <c r="AF530" s="310">
        <f t="shared" ref="AF530:AO530" si="343">IFERROR(ROUND( AF528 / AF527,2) - 1, 0)</f>
        <v>0</v>
      </c>
      <c r="AG530" s="310">
        <f t="shared" si="343"/>
        <v>0</v>
      </c>
      <c r="AH530" s="310">
        <f t="shared" si="343"/>
        <v>0</v>
      </c>
      <c r="AI530" s="310">
        <f t="shared" si="343"/>
        <v>0</v>
      </c>
      <c r="AJ530" s="310">
        <f t="shared" si="343"/>
        <v>0</v>
      </c>
      <c r="AK530" s="310">
        <f t="shared" si="343"/>
        <v>0</v>
      </c>
      <c r="AL530" s="310">
        <f t="shared" si="343"/>
        <v>0</v>
      </c>
      <c r="AM530" s="310">
        <f t="shared" si="343"/>
        <v>0</v>
      </c>
      <c r="AN530" s="310">
        <f t="shared" si="343"/>
        <v>0</v>
      </c>
      <c r="AO530" s="310">
        <f t="shared" si="343"/>
        <v>0</v>
      </c>
    </row>
    <row r="531" spans="2:41">
      <c r="B531" s="301" t="s">
        <v>1496</v>
      </c>
      <c r="C531" s="302" t="s">
        <v>1566</v>
      </c>
      <c r="D531" s="303" t="str">
        <f t="array" ref="D531">_xlfn.XLOOKUP($B531,$B$114:$B$212,_xlfn.XLOOKUP(D$219,$D$5:$AO$5,$D$114:$AO$212))</f>
        <v>NZ$m</v>
      </c>
      <c r="E531" s="303"/>
      <c r="F531" s="316"/>
      <c r="G531" s="304">
        <f t="array" ref="G531">_xlfn.XLOOKUP($B531,$B$114:$B$212,_xlfn.XLOOKUP(G$219,$D$5:$AO$5,$D$114:$AO$212))</f>
        <v>-41.099999999999987</v>
      </c>
      <c r="H531" s="304">
        <f t="array" ref="H531">_xlfn.XLOOKUP($B531,$B$114:$B$212,_xlfn.XLOOKUP(H$219,$D$5:$AO$5,$D$114:$AO$212))</f>
        <v>-47.299999999999969</v>
      </c>
      <c r="I531" s="304">
        <f t="array" ref="I531">_xlfn.XLOOKUP($B531,$B$114:$B$212,_xlfn.XLOOKUP(I$219,$D$5:$AO$5,$D$114:$AO$212))</f>
        <v>-47.8</v>
      </c>
      <c r="J531" s="304">
        <f t="array" ref="J531">_xlfn.XLOOKUP($B531,$B$114:$B$212,_xlfn.XLOOKUP(J$219,$D$5:$AO$5,$D$114:$AO$212))</f>
        <v>-46.9</v>
      </c>
      <c r="K531" s="304">
        <f t="array" ref="K531">_xlfn.XLOOKUP($B531,$B$114:$B$212,_xlfn.XLOOKUP(K$219,$D$5:$AO$5,$D$114:$AO$212))</f>
        <v>-45.464000000000013</v>
      </c>
      <c r="L531" s="304">
        <f t="array" ref="L531">_xlfn.XLOOKUP($B531,$B$114:$B$212,_xlfn.XLOOKUP(L$219,$D$5:$AO$5,$D$114:$AO$212))</f>
        <v>-45.207999999999998</v>
      </c>
      <c r="M531" s="304">
        <f t="array" ref="M531">_xlfn.XLOOKUP($B531,$B$114:$B$212,_xlfn.XLOOKUP(M$219,$D$5:$AO$5,$D$114:$AO$212))</f>
        <v>-44.247</v>
      </c>
      <c r="N531" s="304">
        <f t="array" ref="N531">_xlfn.XLOOKUP($B531,$B$114:$B$212,_xlfn.XLOOKUP(N$219,$D$5:$AO$5,$D$114:$AO$212))</f>
        <v>-47.774000000000001</v>
      </c>
      <c r="O531" s="304">
        <f t="array" ref="O531">_xlfn.XLOOKUP($B531,$B$114:$B$212,_xlfn.XLOOKUP(O$219,$D$5:$AO$5,$D$114:$AO$212))</f>
        <v>-45.329000000000001</v>
      </c>
      <c r="P531" s="304">
        <f t="array" ref="P531">_xlfn.XLOOKUP($B531,$B$114:$B$212,_xlfn.XLOOKUP(P$219,$D$5:$AO$5,$D$114:$AO$212))</f>
        <v>-46.038206519304318</v>
      </c>
      <c r="Q531" s="304">
        <f t="array" ref="Q531">_xlfn.XLOOKUP($B531,$B$114:$B$212,_xlfn.XLOOKUP(Q$219,$D$5:$AO$5,$D$114:$AO$212))</f>
        <v>-46.560517064988368</v>
      </c>
      <c r="R531" s="304">
        <f t="array" ref="R531">_xlfn.XLOOKUP($B531,$B$114:$B$212,_xlfn.XLOOKUP(R$219,$D$5:$AO$5,$D$114:$AO$212))</f>
        <v>-46.803419708976449</v>
      </c>
      <c r="S531" s="304">
        <f t="array" ref="S531">_xlfn.XLOOKUP($B531,$B$114:$B$212,_xlfn.XLOOKUP(S$219,$D$5:$AO$5,$D$114:$AO$212))</f>
        <v>-46.685041834342059</v>
      </c>
      <c r="T531" s="304">
        <f t="array" ref="T531">_xlfn.XLOOKUP($B531,$B$114:$B$212,_xlfn.XLOOKUP(T$219,$D$5:$AO$5,$D$114:$AO$212))</f>
        <v>-46.612625545496982</v>
      </c>
      <c r="U531" s="304">
        <f t="array" ref="U531">_xlfn.XLOOKUP($B531,$B$114:$B$212,_xlfn.XLOOKUP(U$219,$D$5:$AO$5,$D$114:$AO$212))</f>
        <v>-46.550480999241898</v>
      </c>
      <c r="V531" s="304">
        <f t="array" ref="V531">_xlfn.XLOOKUP($B531,$B$114:$B$212,_xlfn.XLOOKUP(V$219,$D$5:$AO$5,$D$114:$AO$212))</f>
        <v>-46.525582079085162</v>
      </c>
      <c r="W531" s="304">
        <f t="array" ref="W531">_xlfn.XLOOKUP($B531,$B$114:$B$212,_xlfn.XLOOKUP(W$219,$D$5:$AO$5,$D$114:$AO$212))</f>
        <v>-46.505874402737923</v>
      </c>
      <c r="X531" s="304">
        <f t="array" ref="X531">_xlfn.XLOOKUP($B531,$B$114:$B$212,_xlfn.XLOOKUP(X$219,$D$5:$AO$5,$D$114:$AO$212))</f>
        <v>-46.519099041547953</v>
      </c>
      <c r="Y531" s="304">
        <f t="array" ref="Y531">_xlfn.XLOOKUP($B531,$B$114:$B$212,_xlfn.XLOOKUP(Y$219,$D$5:$AO$5,$D$114:$AO$212))</f>
        <v>-46.533934856202123</v>
      </c>
      <c r="Z531" s="304">
        <f t="array" ref="Z531">_xlfn.XLOOKUP($B531,$B$114:$B$212,_xlfn.XLOOKUP(Z$219,$D$5:$AO$5,$D$114:$AO$212))</f>
        <v>-46.579064676810439</v>
      </c>
      <c r="AA531" s="305"/>
      <c r="AB531" s="302" t="str">
        <f t="shared" si="330"/>
        <v>D&amp;A Expense - old</v>
      </c>
      <c r="AC531" s="303" t="str">
        <f t="shared" si="331"/>
        <v>NZ$m</v>
      </c>
      <c r="AD531" s="303"/>
      <c r="AE531" s="303"/>
      <c r="AF531" s="304">
        <f t="array" ref="AF531">_xlfn.XLOOKUP($B531,$B$114:$B$212,_xlfn.XLOOKUP(AF$219,$D$5:$AO$5,$D$114:$AO$212))</f>
        <v>-88.399999999999963</v>
      </c>
      <c r="AG531" s="304">
        <f t="array" ref="AG531">_xlfn.XLOOKUP($B531,$B$114:$B$212,_xlfn.XLOOKUP(AG$219,$D$5:$AO$5,$D$114:$AO$212))</f>
        <v>-94.699999999999989</v>
      </c>
      <c r="AH531" s="304">
        <f t="array" ref="AH531">_xlfn.XLOOKUP($B531,$B$114:$B$212,_xlfn.XLOOKUP(AH$219,$D$5:$AO$5,$D$114:$AO$212))</f>
        <v>-90.672000000000011</v>
      </c>
      <c r="AI531" s="304">
        <f t="array" ref="AI531">_xlfn.XLOOKUP($B531,$B$114:$B$212,_xlfn.XLOOKUP(AI$219,$D$5:$AO$5,$D$114:$AO$212))</f>
        <v>-92.021000000000001</v>
      </c>
      <c r="AJ531" s="304">
        <f t="array" ref="AJ531">_xlfn.XLOOKUP($B531,$B$114:$B$212,_xlfn.XLOOKUP(AJ$219,$D$5:$AO$5,$D$114:$AO$212))</f>
        <v>-91.367206519304318</v>
      </c>
      <c r="AK531" s="304">
        <f t="array" ref="AK531">_xlfn.XLOOKUP($B531,$B$114:$B$212,_xlfn.XLOOKUP(AK$219,$D$5:$AO$5,$D$114:$AO$212))</f>
        <v>-93.363936773964824</v>
      </c>
      <c r="AL531" s="304">
        <f t="array" ref="AL531">_xlfn.XLOOKUP($B531,$B$114:$B$212,_xlfn.XLOOKUP(AL$219,$D$5:$AO$5,$D$114:$AO$212))</f>
        <v>-93.297667379839041</v>
      </c>
      <c r="AM531" s="304">
        <f t="array" ref="AM531">_xlfn.XLOOKUP($B531,$B$114:$B$212,_xlfn.XLOOKUP(AM$219,$D$5:$AO$5,$D$114:$AO$212))</f>
        <v>-93.076063078327053</v>
      </c>
      <c r="AN531" s="304">
        <f t="array" ref="AN531">_xlfn.XLOOKUP($B531,$B$114:$B$212,_xlfn.XLOOKUP(AN$219,$D$5:$AO$5,$D$114:$AO$212))</f>
        <v>-93.024973444285877</v>
      </c>
      <c r="AO531" s="304">
        <f t="array" ref="AO531">_xlfn.XLOOKUP($B531,$B$114:$B$212,_xlfn.XLOOKUP(AO$219,$D$5:$AO$5,$D$114:$AO$212))</f>
        <v>-93.112999533012555</v>
      </c>
    </row>
    <row r="532" spans="2:41">
      <c r="B532" s="301" t="s">
        <v>1496</v>
      </c>
      <c r="C532" s="306" t="s">
        <v>1567</v>
      </c>
      <c r="D532" s="307" t="str">
        <f t="array" ref="D532">_xlfn.XLOOKUP($B532,$B$11:$B$109,_xlfn.XLOOKUP(D$219,$D$5:$AO$5,$D$11:$AO$109))</f>
        <v>NZ$m</v>
      </c>
      <c r="E532" s="307"/>
      <c r="F532" s="316"/>
      <c r="G532" s="308" t="e">
        <f t="array" ref="G532">_xlfn.XLOOKUP($B532,$B$11:$B$109,_xlfn.XLOOKUP(G$219,$D$5:$AO$5,$D$11:$AO$109))</f>
        <v>#REF!</v>
      </c>
      <c r="H532" s="308" t="e">
        <f t="array" ref="H532">_xlfn.XLOOKUP($B532,$B$11:$B$109,_xlfn.XLOOKUP(H$219,$D$5:$AO$5,$D$11:$AO$109))</f>
        <v>#REF!</v>
      </c>
      <c r="I532" s="308" t="e">
        <f t="array" ref="I532">_xlfn.XLOOKUP($B532,$B$11:$B$109,_xlfn.XLOOKUP(I$219,$D$5:$AO$5,$D$11:$AO$109))</f>
        <v>#REF!</v>
      </c>
      <c r="J532" s="308" t="e">
        <f t="array" ref="J532">_xlfn.XLOOKUP($B532,$B$11:$B$109,_xlfn.XLOOKUP(J$219,$D$5:$AO$5,$D$11:$AO$109))</f>
        <v>#REF!</v>
      </c>
      <c r="K532" s="308" t="e">
        <f t="array" ref="K532">_xlfn.XLOOKUP($B532,$B$11:$B$109,_xlfn.XLOOKUP(K$219,$D$5:$AO$5,$D$11:$AO$109))</f>
        <v>#REF!</v>
      </c>
      <c r="L532" s="308" t="e">
        <f t="array" ref="L532">_xlfn.XLOOKUP($B532,$B$11:$B$109,_xlfn.XLOOKUP(L$219,$D$5:$AO$5,$D$11:$AO$109))</f>
        <v>#REF!</v>
      </c>
      <c r="M532" s="308" t="e">
        <f t="array" ref="M532">_xlfn.XLOOKUP($B532,$B$11:$B$109,_xlfn.XLOOKUP(M$219,$D$5:$AO$5,$D$11:$AO$109))</f>
        <v>#REF!</v>
      </c>
      <c r="N532" s="308" t="e">
        <f t="array" ref="N532">_xlfn.XLOOKUP($B532,$B$11:$B$109,_xlfn.XLOOKUP(N$219,$D$5:$AO$5,$D$11:$AO$109))</f>
        <v>#REF!</v>
      </c>
      <c r="O532" s="308" t="e">
        <f t="array" ref="O532">_xlfn.XLOOKUP($B532,$B$11:$B$109,_xlfn.XLOOKUP(O$219,$D$5:$AO$5,$D$11:$AO$109))</f>
        <v>#REF!</v>
      </c>
      <c r="P532" s="308" t="e">
        <f t="array" ref="P532">_xlfn.XLOOKUP($B532,$B$11:$B$109,_xlfn.XLOOKUP(P$219,$D$5:$AO$5,$D$11:$AO$109))</f>
        <v>#REF!</v>
      </c>
      <c r="Q532" s="308" t="e">
        <f t="array" ref="Q532">_xlfn.XLOOKUP($B532,$B$11:$B$109,_xlfn.XLOOKUP(Q$219,$D$5:$AO$5,$D$11:$AO$109))</f>
        <v>#REF!</v>
      </c>
      <c r="R532" s="308" t="e">
        <f t="array" ref="R532">_xlfn.XLOOKUP($B532,$B$11:$B$109,_xlfn.XLOOKUP(R$219,$D$5:$AO$5,$D$11:$AO$109))</f>
        <v>#REF!</v>
      </c>
      <c r="S532" s="308" t="e">
        <f t="array" ref="S532">_xlfn.XLOOKUP($B532,$B$11:$B$109,_xlfn.XLOOKUP(S$219,$D$5:$AO$5,$D$11:$AO$109))</f>
        <v>#REF!</v>
      </c>
      <c r="T532" s="308" t="e">
        <f t="array" ref="T532">_xlfn.XLOOKUP($B532,$B$11:$B$109,_xlfn.XLOOKUP(T$219,$D$5:$AO$5,$D$11:$AO$109))</f>
        <v>#REF!</v>
      </c>
      <c r="U532" s="308" t="e">
        <f t="array" ref="U532">_xlfn.XLOOKUP($B532,$B$11:$B$109,_xlfn.XLOOKUP(U$219,$D$5:$AO$5,$D$11:$AO$109))</f>
        <v>#REF!</v>
      </c>
      <c r="V532" s="308" t="e">
        <f t="array" ref="V532">_xlfn.XLOOKUP($B532,$B$11:$B$109,_xlfn.XLOOKUP(V$219,$D$5:$AO$5,$D$11:$AO$109))</f>
        <v>#REF!</v>
      </c>
      <c r="W532" s="308" t="e">
        <f t="array" ref="W532">_xlfn.XLOOKUP($B532,$B$11:$B$109,_xlfn.XLOOKUP(W$219,$D$5:$AO$5,$D$11:$AO$109))</f>
        <v>#REF!</v>
      </c>
      <c r="X532" s="308" t="e">
        <f t="array" ref="X532">_xlfn.XLOOKUP($B532,$B$11:$B$109,_xlfn.XLOOKUP(X$219,$D$5:$AO$5,$D$11:$AO$109))</f>
        <v>#REF!</v>
      </c>
      <c r="Y532" s="308" t="e">
        <f t="array" ref="Y532">_xlfn.XLOOKUP($B532,$B$11:$B$109,_xlfn.XLOOKUP(Y$219,$D$5:$AO$5,$D$11:$AO$109))</f>
        <v>#REF!</v>
      </c>
      <c r="Z532" s="308" t="e">
        <f t="array" ref="Z532">_xlfn.XLOOKUP($B532,$B$11:$B$109,_xlfn.XLOOKUP(Z$219,$D$5:$AO$5,$D$11:$AO$109))</f>
        <v>#REF!</v>
      </c>
      <c r="AA532" s="308"/>
      <c r="AB532" s="306" t="str">
        <f t="shared" si="330"/>
        <v>D&amp;A Expense - New</v>
      </c>
      <c r="AC532" s="307" t="str">
        <f t="shared" si="331"/>
        <v>NZ$m</v>
      </c>
      <c r="AD532" s="307"/>
      <c r="AE532" s="307"/>
      <c r="AF532" s="308" t="e">
        <f t="array" ref="AF532">_xlfn.XLOOKUP($B532,$B$11:$B$109,_xlfn.XLOOKUP(AF$219,$D$5:$AO$5,$D$11:$AO$109))</f>
        <v>#REF!</v>
      </c>
      <c r="AG532" s="308" t="e">
        <f t="array" ref="AG532">_xlfn.XLOOKUP($B532,$B$11:$B$109,_xlfn.XLOOKUP(AG$219,$D$5:$AO$5,$D$11:$AO$109))</f>
        <v>#REF!</v>
      </c>
      <c r="AH532" s="308" t="e">
        <f t="array" ref="AH532">_xlfn.XLOOKUP($B532,$B$11:$B$109,_xlfn.XLOOKUP(AH$219,$D$5:$AO$5,$D$11:$AO$109))</f>
        <v>#REF!</v>
      </c>
      <c r="AI532" s="308" t="e">
        <f t="array" ref="AI532">_xlfn.XLOOKUP($B532,$B$11:$B$109,_xlfn.XLOOKUP(AI$219,$D$5:$AO$5,$D$11:$AO$109))</f>
        <v>#REF!</v>
      </c>
      <c r="AJ532" s="308" t="e">
        <f t="array" ref="AJ532">_xlfn.XLOOKUP($B532,$B$11:$B$109,_xlfn.XLOOKUP(AJ$219,$D$5:$AO$5,$D$11:$AO$109))</f>
        <v>#REF!</v>
      </c>
      <c r="AK532" s="308" t="e">
        <f t="array" ref="AK532">_xlfn.XLOOKUP($B532,$B$11:$B$109,_xlfn.XLOOKUP(AK$219,$D$5:$AO$5,$D$11:$AO$109))</f>
        <v>#REF!</v>
      </c>
      <c r="AL532" s="308" t="e">
        <f t="array" ref="AL532">_xlfn.XLOOKUP($B532,$B$11:$B$109,_xlfn.XLOOKUP(AL$219,$D$5:$AO$5,$D$11:$AO$109))</f>
        <v>#REF!</v>
      </c>
      <c r="AM532" s="308" t="e">
        <f t="array" ref="AM532">_xlfn.XLOOKUP($B532,$B$11:$B$109,_xlfn.XLOOKUP(AM$219,$D$5:$AO$5,$D$11:$AO$109))</f>
        <v>#REF!</v>
      </c>
      <c r="AN532" s="308" t="e">
        <f t="array" ref="AN532">_xlfn.XLOOKUP($B532,$B$11:$B$109,_xlfn.XLOOKUP(AN$219,$D$5:$AO$5,$D$11:$AO$109))</f>
        <v>#REF!</v>
      </c>
      <c r="AO532" s="308" t="e">
        <f t="array" ref="AO532">_xlfn.XLOOKUP($B532,$B$11:$B$109,_xlfn.XLOOKUP(AO$219,$D$5:$AO$5,$D$11:$AO$109))</f>
        <v>#REF!</v>
      </c>
    </row>
    <row r="533" spans="2:41" hidden="1" outlineLevel="1">
      <c r="B533" s="301"/>
      <c r="C533" s="309" t="s">
        <v>1510</v>
      </c>
      <c r="D533" s="303" t="s">
        <v>88</v>
      </c>
      <c r="E533" s="303"/>
      <c r="F533" s="316"/>
      <c r="G533" s="310" t="s">
        <v>967</v>
      </c>
      <c r="H533" s="310" t="s">
        <v>967</v>
      </c>
      <c r="I533" s="310" t="e">
        <f t="shared" ref="I533:Z533" si="344">I532/G532-1</f>
        <v>#REF!</v>
      </c>
      <c r="J533" s="310" t="e">
        <f t="shared" si="344"/>
        <v>#REF!</v>
      </c>
      <c r="K533" s="310" t="e">
        <f t="shared" si="344"/>
        <v>#REF!</v>
      </c>
      <c r="L533" s="310" t="e">
        <f t="shared" si="344"/>
        <v>#REF!</v>
      </c>
      <c r="M533" s="310" t="e">
        <f t="shared" si="344"/>
        <v>#REF!</v>
      </c>
      <c r="N533" s="310" t="e">
        <f t="shared" si="344"/>
        <v>#REF!</v>
      </c>
      <c r="O533" s="310" t="e">
        <f t="shared" si="344"/>
        <v>#REF!</v>
      </c>
      <c r="P533" s="310" t="e">
        <f t="shared" si="344"/>
        <v>#REF!</v>
      </c>
      <c r="Q533" s="310" t="e">
        <f t="shared" si="344"/>
        <v>#REF!</v>
      </c>
      <c r="R533" s="310" t="e">
        <f t="shared" si="344"/>
        <v>#REF!</v>
      </c>
      <c r="S533" s="310" t="e">
        <f t="shared" si="344"/>
        <v>#REF!</v>
      </c>
      <c r="T533" s="310" t="e">
        <f t="shared" si="344"/>
        <v>#REF!</v>
      </c>
      <c r="U533" s="310" t="e">
        <f t="shared" si="344"/>
        <v>#REF!</v>
      </c>
      <c r="V533" s="310" t="e">
        <f t="shared" si="344"/>
        <v>#REF!</v>
      </c>
      <c r="W533" s="310" t="e">
        <f t="shared" si="344"/>
        <v>#REF!</v>
      </c>
      <c r="X533" s="310" t="e">
        <f t="shared" si="344"/>
        <v>#REF!</v>
      </c>
      <c r="Y533" s="310" t="e">
        <f t="shared" si="344"/>
        <v>#REF!</v>
      </c>
      <c r="Z533" s="310" t="e">
        <f t="shared" si="344"/>
        <v>#REF!</v>
      </c>
      <c r="AA533" s="311"/>
      <c r="AB533" s="309" t="str">
        <f t="shared" si="330"/>
        <v>- Growth</v>
      </c>
      <c r="AC533" s="303" t="str">
        <f t="shared" si="331"/>
        <v>%</v>
      </c>
      <c r="AD533" s="303"/>
      <c r="AE533" s="303"/>
      <c r="AF533" s="310" t="s">
        <v>967</v>
      </c>
      <c r="AG533" s="310" t="e">
        <f t="shared" ref="AG533:AO533" si="345">AG532/AF532-1</f>
        <v>#REF!</v>
      </c>
      <c r="AH533" s="310" t="e">
        <f t="shared" si="345"/>
        <v>#REF!</v>
      </c>
      <c r="AI533" s="310" t="e">
        <f t="shared" si="345"/>
        <v>#REF!</v>
      </c>
      <c r="AJ533" s="310" t="e">
        <f t="shared" si="345"/>
        <v>#REF!</v>
      </c>
      <c r="AK533" s="310" t="e">
        <f t="shared" si="345"/>
        <v>#REF!</v>
      </c>
      <c r="AL533" s="310" t="e">
        <f t="shared" si="345"/>
        <v>#REF!</v>
      </c>
      <c r="AM533" s="310" t="e">
        <f t="shared" si="345"/>
        <v>#REF!</v>
      </c>
      <c r="AN533" s="310" t="e">
        <f t="shared" si="345"/>
        <v>#REF!</v>
      </c>
      <c r="AO533" s="310" t="e">
        <f t="shared" si="345"/>
        <v>#REF!</v>
      </c>
    </row>
    <row r="534" spans="2:41" collapsed="1">
      <c r="B534" s="301"/>
      <c r="C534" s="309" t="s">
        <v>1511</v>
      </c>
      <c r="D534" s="303" t="s">
        <v>88</v>
      </c>
      <c r="E534" s="303"/>
      <c r="F534" s="316"/>
      <c r="G534" s="310">
        <f t="shared" ref="G534:Z534" si="346">IFERROR(ROUND( G532 / G531,2) - 1, 0)</f>
        <v>0</v>
      </c>
      <c r="H534" s="310">
        <f t="shared" si="346"/>
        <v>0</v>
      </c>
      <c r="I534" s="310">
        <f t="shared" si="346"/>
        <v>0</v>
      </c>
      <c r="J534" s="310">
        <f t="shared" si="346"/>
        <v>0</v>
      </c>
      <c r="K534" s="310">
        <f t="shared" si="346"/>
        <v>0</v>
      </c>
      <c r="L534" s="310">
        <f t="shared" si="346"/>
        <v>0</v>
      </c>
      <c r="M534" s="310">
        <f t="shared" si="346"/>
        <v>0</v>
      </c>
      <c r="N534" s="310">
        <f t="shared" si="346"/>
        <v>0</v>
      </c>
      <c r="O534" s="310">
        <f t="shared" si="346"/>
        <v>0</v>
      </c>
      <c r="P534" s="310">
        <f t="shared" si="346"/>
        <v>0</v>
      </c>
      <c r="Q534" s="310">
        <f t="shared" si="346"/>
        <v>0</v>
      </c>
      <c r="R534" s="310">
        <f t="shared" si="346"/>
        <v>0</v>
      </c>
      <c r="S534" s="310">
        <f t="shared" si="346"/>
        <v>0</v>
      </c>
      <c r="T534" s="310">
        <f t="shared" si="346"/>
        <v>0</v>
      </c>
      <c r="U534" s="310">
        <f t="shared" si="346"/>
        <v>0</v>
      </c>
      <c r="V534" s="310">
        <f t="shared" si="346"/>
        <v>0</v>
      </c>
      <c r="W534" s="310">
        <f t="shared" si="346"/>
        <v>0</v>
      </c>
      <c r="X534" s="310">
        <f t="shared" si="346"/>
        <v>0</v>
      </c>
      <c r="Y534" s="310">
        <f t="shared" si="346"/>
        <v>0</v>
      </c>
      <c r="Z534" s="310">
        <f t="shared" si="346"/>
        <v>0</v>
      </c>
      <c r="AA534" s="310"/>
      <c r="AB534" s="309" t="str">
        <f t="shared" si="330"/>
        <v>- Revision</v>
      </c>
      <c r="AC534" s="303" t="str">
        <f t="shared" si="331"/>
        <v>%</v>
      </c>
      <c r="AD534" s="303"/>
      <c r="AE534" s="303"/>
      <c r="AF534" s="310">
        <f t="shared" ref="AF534:AO534" si="347">IFERROR(ROUND( AF532 / AF531,2) - 1, 0)</f>
        <v>0</v>
      </c>
      <c r="AG534" s="310">
        <f t="shared" si="347"/>
        <v>0</v>
      </c>
      <c r="AH534" s="310">
        <f t="shared" si="347"/>
        <v>0</v>
      </c>
      <c r="AI534" s="310">
        <f t="shared" si="347"/>
        <v>0</v>
      </c>
      <c r="AJ534" s="310">
        <f t="shared" si="347"/>
        <v>0</v>
      </c>
      <c r="AK534" s="310">
        <f t="shared" si="347"/>
        <v>0</v>
      </c>
      <c r="AL534" s="310">
        <f t="shared" si="347"/>
        <v>0</v>
      </c>
      <c r="AM534" s="310">
        <f t="shared" si="347"/>
        <v>0</v>
      </c>
      <c r="AN534" s="310">
        <f t="shared" si="347"/>
        <v>0</v>
      </c>
      <c r="AO534" s="310">
        <f t="shared" si="347"/>
        <v>0</v>
      </c>
    </row>
    <row r="535" spans="2:41">
      <c r="B535" s="301" t="s">
        <v>1584</v>
      </c>
      <c r="C535" s="302" t="s">
        <v>1585</v>
      </c>
      <c r="D535" s="303" t="str">
        <f t="array" ref="D535">_xlfn.XLOOKUP($B535,$B$114:$B$212,_xlfn.XLOOKUP(D$219,$D$5:$AO$5,$D$114:$AO$212))</f>
        <v>NZ$m</v>
      </c>
      <c r="E535" s="303"/>
      <c r="F535" s="316"/>
      <c r="G535" s="304">
        <f t="array" ref="G535">_xlfn.XLOOKUP($B535,$B$114:$B$212,_xlfn.XLOOKUP(G$219,$D$5:$AO$5,$D$114:$AO$212))</f>
        <v>109.4</v>
      </c>
      <c r="H535" s="304">
        <f t="array" ref="H535">_xlfn.XLOOKUP($B535,$B$114:$B$212,_xlfn.XLOOKUP(H$219,$D$5:$AO$5,$D$114:$AO$212))</f>
        <v>116.1</v>
      </c>
      <c r="I535" s="304">
        <f t="array" ref="I535">_xlfn.XLOOKUP($B535,$B$114:$B$212,_xlfn.XLOOKUP(I$219,$D$5:$AO$5,$D$114:$AO$212))</f>
        <v>-27.4</v>
      </c>
      <c r="J535" s="304">
        <f t="array" ref="J535">_xlfn.XLOOKUP($B535,$B$114:$B$212,_xlfn.XLOOKUP(J$219,$D$5:$AO$5,$D$114:$AO$212))</f>
        <v>29.6</v>
      </c>
      <c r="K535" s="304">
        <f t="array" ref="K535">_xlfn.XLOOKUP($B535,$B$114:$B$212,_xlfn.XLOOKUP(K$219,$D$5:$AO$5,$D$114:$AO$212))</f>
        <v>60.835999999999977</v>
      </c>
      <c r="L535" s="304">
        <f t="array" ref="L535">_xlfn.XLOOKUP($B535,$B$114:$B$212,_xlfn.XLOOKUP(L$219,$D$5:$AO$5,$D$114:$AO$212))</f>
        <v>14.39200000000001</v>
      </c>
      <c r="M535" s="304">
        <f t="array" ref="M535">_xlfn.XLOOKUP($B535,$B$114:$B$212,_xlfn.XLOOKUP(M$219,$D$5:$AO$5,$D$114:$AO$212))</f>
        <v>56.753</v>
      </c>
      <c r="N535" s="304">
        <f t="array" ref="N535">_xlfn.XLOOKUP($B535,$B$114:$B$212,_xlfn.XLOOKUP(N$219,$D$5:$AO$5,$D$114:$AO$212))</f>
        <v>-10.574000000000011</v>
      </c>
      <c r="O535" s="304">
        <f t="array" ref="O535">_xlfn.XLOOKUP($B535,$B$114:$B$212,_xlfn.XLOOKUP(O$219,$D$5:$AO$5,$D$114:$AO$212))</f>
        <v>67.770999999999987</v>
      </c>
      <c r="P535" s="304">
        <f t="array" ref="P535">_xlfn.XLOOKUP($B535,$B$114:$B$212,_xlfn.XLOOKUP(P$219,$D$5:$AO$5,$D$114:$AO$212))</f>
        <v>71.975330560695767</v>
      </c>
      <c r="Q535" s="304">
        <f t="array" ref="Q535">_xlfn.XLOOKUP($B535,$B$114:$B$212,_xlfn.XLOOKUP(Q$219,$D$5:$AO$5,$D$114:$AO$212))</f>
        <v>32.523407335011541</v>
      </c>
      <c r="R535" s="304">
        <f t="array" ref="R535">_xlfn.XLOOKUP($B535,$B$114:$B$212,_xlfn.XLOOKUP(R$219,$D$5:$AO$5,$D$114:$AO$212))</f>
        <v>77.875587870463605</v>
      </c>
      <c r="S535" s="304">
        <f t="array" ref="S535">_xlfn.XLOOKUP($B535,$B$114:$B$212,_xlfn.XLOOKUP(S$219,$D$5:$AO$5,$D$114:$AO$212))</f>
        <v>85.192643213657931</v>
      </c>
      <c r="T535" s="304">
        <f t="array" ref="T535">_xlfn.XLOOKUP($B535,$B$114:$B$212,_xlfn.XLOOKUP(T$219,$D$5:$AO$5,$D$114:$AO$212))</f>
        <v>94.850769889825486</v>
      </c>
      <c r="U535" s="304">
        <f t="array" ref="U535">_xlfn.XLOOKUP($B535,$B$114:$B$212,_xlfn.XLOOKUP(U$219,$D$5:$AO$5,$D$114:$AO$212))</f>
        <v>97.430612638078145</v>
      </c>
      <c r="V535" s="304">
        <f t="array" ref="V535">_xlfn.XLOOKUP($B535,$B$114:$B$212,_xlfn.XLOOKUP(V$219,$D$5:$AO$5,$D$114:$AO$212))</f>
        <v>105.0039439140083</v>
      </c>
      <c r="W535" s="304">
        <f t="array" ref="W535">_xlfn.XLOOKUP($B535,$B$114:$B$212,_xlfn.XLOOKUP(W$219,$D$5:$AO$5,$D$114:$AO$212))</f>
        <v>103.4607977187525</v>
      </c>
      <c r="X535" s="304">
        <f t="array" ref="X535">_xlfn.XLOOKUP($B535,$B$114:$B$212,_xlfn.XLOOKUP(X$219,$D$5:$AO$5,$D$114:$AO$212))</f>
        <v>109.3766955421447</v>
      </c>
      <c r="Y535" s="304">
        <f t="array" ref="Y535">_xlfn.XLOOKUP($B535,$B$114:$B$212,_xlfn.XLOOKUP(Y$219,$D$5:$AO$5,$D$114:$AO$212))</f>
        <v>106.864214924259</v>
      </c>
      <c r="Z535" s="304">
        <f t="array" ref="Z535">_xlfn.XLOOKUP($B535,$B$114:$B$212,_xlfn.XLOOKUP(Z$219,$D$5:$AO$5,$D$114:$AO$212))</f>
        <v>113.29260082855851</v>
      </c>
      <c r="AA535" s="305"/>
      <c r="AB535" s="302" t="str">
        <f t="shared" si="330"/>
        <v>Reported EBIT - old</v>
      </c>
      <c r="AC535" s="303" t="str">
        <f t="shared" si="331"/>
        <v>NZ$m</v>
      </c>
      <c r="AD535" s="303"/>
      <c r="AE535" s="303"/>
      <c r="AF535" s="304">
        <f t="array" ref="AF535">_xlfn.XLOOKUP($B535,$B$114:$B$212,_xlfn.XLOOKUP(AF$219,$D$5:$AO$5,$D$114:$AO$212))</f>
        <v>225.5</v>
      </c>
      <c r="AG535" s="304">
        <f t="array" ref="AG535">_xlfn.XLOOKUP($B535,$B$114:$B$212,_xlfn.XLOOKUP(AG$219,$D$5:$AO$5,$D$114:$AO$212))</f>
        <v>2.2000000000000028</v>
      </c>
      <c r="AH535" s="304">
        <f t="array" ref="AH535">_xlfn.XLOOKUP($B535,$B$114:$B$212,_xlfn.XLOOKUP(AH$219,$D$5:$AO$5,$D$114:$AO$212))</f>
        <v>75.227999999999994</v>
      </c>
      <c r="AI535" s="304">
        <f t="array" ref="AI535">_xlfn.XLOOKUP($B535,$B$114:$B$212,_xlfn.XLOOKUP(AI$219,$D$5:$AO$5,$D$114:$AO$212))</f>
        <v>46.178999999999988</v>
      </c>
      <c r="AJ535" s="304">
        <f t="array" ref="AJ535">_xlfn.XLOOKUP($B535,$B$114:$B$212,_xlfn.XLOOKUP(AJ$219,$D$5:$AO$5,$D$114:$AO$212))</f>
        <v>139.74633056069581</v>
      </c>
      <c r="AK535" s="304">
        <f t="array" ref="AK535">_xlfn.XLOOKUP($B535,$B$114:$B$212,_xlfn.XLOOKUP(AK$219,$D$5:$AO$5,$D$114:$AO$212))</f>
        <v>110.3989952054751</v>
      </c>
      <c r="AL535" s="304">
        <f t="array" ref="AL535">_xlfn.XLOOKUP($B535,$B$114:$B$212,_xlfn.XLOOKUP(AL$219,$D$5:$AO$5,$D$114:$AO$212))</f>
        <v>180.0434131034834</v>
      </c>
      <c r="AM535" s="304">
        <f t="array" ref="AM535">_xlfn.XLOOKUP($B535,$B$114:$B$212,_xlfn.XLOOKUP(AM$219,$D$5:$AO$5,$D$114:$AO$212))</f>
        <v>202.43455655208641</v>
      </c>
      <c r="AN535" s="304">
        <f t="array" ref="AN535">_xlfn.XLOOKUP($B535,$B$114:$B$212,_xlfn.XLOOKUP(AN$219,$D$5:$AO$5,$D$114:$AO$212))</f>
        <v>212.83749326089711</v>
      </c>
      <c r="AO535" s="304">
        <f t="array" ref="AO535">_xlfn.XLOOKUP($B535,$B$114:$B$212,_xlfn.XLOOKUP(AO$219,$D$5:$AO$5,$D$114:$AO$212))</f>
        <v>220.15681575281749</v>
      </c>
    </row>
    <row r="536" spans="2:41">
      <c r="B536" s="301" t="s">
        <v>1584</v>
      </c>
      <c r="C536" s="306" t="s">
        <v>1586</v>
      </c>
      <c r="D536" s="307" t="str">
        <f t="array" ref="D536">_xlfn.XLOOKUP($B536,$B$11:$B$109,_xlfn.XLOOKUP(D$219,$D$5:$AO$5,$D$11:$AO$109))</f>
        <v>NZ$m</v>
      </c>
      <c r="E536" s="307"/>
      <c r="F536" s="316"/>
      <c r="G536" s="308" t="e">
        <f t="array" ref="G536">_xlfn.XLOOKUP($B536,$B$11:$B$109,_xlfn.XLOOKUP(G$219,$D$5:$AO$5,$D$11:$AO$109))</f>
        <v>#REF!</v>
      </c>
      <c r="H536" s="308" t="e">
        <f t="array" ref="H536">_xlfn.XLOOKUP($B536,$B$11:$B$109,_xlfn.XLOOKUP(H$219,$D$5:$AO$5,$D$11:$AO$109))</f>
        <v>#REF!</v>
      </c>
      <c r="I536" s="308" t="e">
        <f t="array" ref="I536">_xlfn.XLOOKUP($B536,$B$11:$B$109,_xlfn.XLOOKUP(I$219,$D$5:$AO$5,$D$11:$AO$109))</f>
        <v>#REF!</v>
      </c>
      <c r="J536" s="308" t="e">
        <f t="array" ref="J536">_xlfn.XLOOKUP($B536,$B$11:$B$109,_xlfn.XLOOKUP(J$219,$D$5:$AO$5,$D$11:$AO$109))</f>
        <v>#REF!</v>
      </c>
      <c r="K536" s="308" t="e">
        <f t="array" ref="K536">_xlfn.XLOOKUP($B536,$B$11:$B$109,_xlfn.XLOOKUP(K$219,$D$5:$AO$5,$D$11:$AO$109))</f>
        <v>#REF!</v>
      </c>
      <c r="L536" s="308" t="e">
        <f t="array" ref="L536">_xlfn.XLOOKUP($B536,$B$11:$B$109,_xlfn.XLOOKUP(L$219,$D$5:$AO$5,$D$11:$AO$109))</f>
        <v>#REF!</v>
      </c>
      <c r="M536" s="308" t="e">
        <f t="array" ref="M536">_xlfn.XLOOKUP($B536,$B$11:$B$109,_xlfn.XLOOKUP(M$219,$D$5:$AO$5,$D$11:$AO$109))</f>
        <v>#REF!</v>
      </c>
      <c r="N536" s="308" t="e">
        <f t="array" ref="N536">_xlfn.XLOOKUP($B536,$B$11:$B$109,_xlfn.XLOOKUP(N$219,$D$5:$AO$5,$D$11:$AO$109))</f>
        <v>#REF!</v>
      </c>
      <c r="O536" s="308" t="e">
        <f t="array" ref="O536">_xlfn.XLOOKUP($B536,$B$11:$B$109,_xlfn.XLOOKUP(O$219,$D$5:$AO$5,$D$11:$AO$109))</f>
        <v>#REF!</v>
      </c>
      <c r="P536" s="308" t="e">
        <f t="array" ref="P536">_xlfn.XLOOKUP($B536,$B$11:$B$109,_xlfn.XLOOKUP(P$219,$D$5:$AO$5,$D$11:$AO$109))</f>
        <v>#REF!</v>
      </c>
      <c r="Q536" s="308" t="e">
        <f t="array" ref="Q536">_xlfn.XLOOKUP($B536,$B$11:$B$109,_xlfn.XLOOKUP(Q$219,$D$5:$AO$5,$D$11:$AO$109))</f>
        <v>#REF!</v>
      </c>
      <c r="R536" s="308" t="e">
        <f t="array" ref="R536">_xlfn.XLOOKUP($B536,$B$11:$B$109,_xlfn.XLOOKUP(R$219,$D$5:$AO$5,$D$11:$AO$109))</f>
        <v>#REF!</v>
      </c>
      <c r="S536" s="308" t="e">
        <f t="array" ref="S536">_xlfn.XLOOKUP($B536,$B$11:$B$109,_xlfn.XLOOKUP(S$219,$D$5:$AO$5,$D$11:$AO$109))</f>
        <v>#REF!</v>
      </c>
      <c r="T536" s="308" t="e">
        <f t="array" ref="T536">_xlfn.XLOOKUP($B536,$B$11:$B$109,_xlfn.XLOOKUP(T$219,$D$5:$AO$5,$D$11:$AO$109))</f>
        <v>#REF!</v>
      </c>
      <c r="U536" s="308" t="e">
        <f t="array" ref="U536">_xlfn.XLOOKUP($B536,$B$11:$B$109,_xlfn.XLOOKUP(U$219,$D$5:$AO$5,$D$11:$AO$109))</f>
        <v>#REF!</v>
      </c>
      <c r="V536" s="308" t="e">
        <f t="array" ref="V536">_xlfn.XLOOKUP($B536,$B$11:$B$109,_xlfn.XLOOKUP(V$219,$D$5:$AO$5,$D$11:$AO$109))</f>
        <v>#REF!</v>
      </c>
      <c r="W536" s="308" t="e">
        <f t="array" ref="W536">_xlfn.XLOOKUP($B536,$B$11:$B$109,_xlfn.XLOOKUP(W$219,$D$5:$AO$5,$D$11:$AO$109))</f>
        <v>#REF!</v>
      </c>
      <c r="X536" s="308" t="e">
        <f t="array" ref="X536">_xlfn.XLOOKUP($B536,$B$11:$B$109,_xlfn.XLOOKUP(X$219,$D$5:$AO$5,$D$11:$AO$109))</f>
        <v>#REF!</v>
      </c>
      <c r="Y536" s="308" t="e">
        <f t="array" ref="Y536">_xlfn.XLOOKUP($B536,$B$11:$B$109,_xlfn.XLOOKUP(Y$219,$D$5:$AO$5,$D$11:$AO$109))</f>
        <v>#REF!</v>
      </c>
      <c r="Z536" s="308" t="e">
        <f t="array" ref="Z536">_xlfn.XLOOKUP($B536,$B$11:$B$109,_xlfn.XLOOKUP(Z$219,$D$5:$AO$5,$D$11:$AO$109))</f>
        <v>#REF!</v>
      </c>
      <c r="AA536" s="308"/>
      <c r="AB536" s="306" t="str">
        <f t="shared" si="330"/>
        <v>Reported EBIT - New</v>
      </c>
      <c r="AC536" s="307" t="str">
        <f t="shared" si="331"/>
        <v>NZ$m</v>
      </c>
      <c r="AD536" s="307"/>
      <c r="AE536" s="307"/>
      <c r="AF536" s="308" t="e">
        <f t="array" ref="AF536">_xlfn.XLOOKUP($B536,$B$11:$B$109,_xlfn.XLOOKUP(AF$219,$D$5:$AO$5,$D$11:$AO$109))</f>
        <v>#REF!</v>
      </c>
      <c r="AG536" s="308" t="e">
        <f t="array" ref="AG536">_xlfn.XLOOKUP($B536,$B$11:$B$109,_xlfn.XLOOKUP(AG$219,$D$5:$AO$5,$D$11:$AO$109))</f>
        <v>#REF!</v>
      </c>
      <c r="AH536" s="308" t="e">
        <f t="array" ref="AH536">_xlfn.XLOOKUP($B536,$B$11:$B$109,_xlfn.XLOOKUP(AH$219,$D$5:$AO$5,$D$11:$AO$109))</f>
        <v>#REF!</v>
      </c>
      <c r="AI536" s="308" t="e">
        <f t="array" ref="AI536">_xlfn.XLOOKUP($B536,$B$11:$B$109,_xlfn.XLOOKUP(AI$219,$D$5:$AO$5,$D$11:$AO$109))</f>
        <v>#REF!</v>
      </c>
      <c r="AJ536" s="308" t="e">
        <f t="array" ref="AJ536">_xlfn.XLOOKUP($B536,$B$11:$B$109,_xlfn.XLOOKUP(AJ$219,$D$5:$AO$5,$D$11:$AO$109))</f>
        <v>#REF!</v>
      </c>
      <c r="AK536" s="308" t="e">
        <f t="array" ref="AK536">_xlfn.XLOOKUP($B536,$B$11:$B$109,_xlfn.XLOOKUP(AK$219,$D$5:$AO$5,$D$11:$AO$109))</f>
        <v>#REF!</v>
      </c>
      <c r="AL536" s="308" t="e">
        <f t="array" ref="AL536">_xlfn.XLOOKUP($B536,$B$11:$B$109,_xlfn.XLOOKUP(AL$219,$D$5:$AO$5,$D$11:$AO$109))</f>
        <v>#REF!</v>
      </c>
      <c r="AM536" s="308" t="e">
        <f t="array" ref="AM536">_xlfn.XLOOKUP($B536,$B$11:$B$109,_xlfn.XLOOKUP(AM$219,$D$5:$AO$5,$D$11:$AO$109))</f>
        <v>#REF!</v>
      </c>
      <c r="AN536" s="308" t="e">
        <f t="array" ref="AN536">_xlfn.XLOOKUP($B536,$B$11:$B$109,_xlfn.XLOOKUP(AN$219,$D$5:$AO$5,$D$11:$AO$109))</f>
        <v>#REF!</v>
      </c>
      <c r="AO536" s="308" t="e">
        <f t="array" ref="AO536">_xlfn.XLOOKUP($B536,$B$11:$B$109,_xlfn.XLOOKUP(AO$219,$D$5:$AO$5,$D$11:$AO$109))</f>
        <v>#REF!</v>
      </c>
    </row>
    <row r="537" spans="2:41" hidden="1" outlineLevel="1">
      <c r="B537" s="301"/>
      <c r="C537" s="309" t="s">
        <v>1510</v>
      </c>
      <c r="D537" s="303" t="s">
        <v>88</v>
      </c>
      <c r="E537" s="303"/>
      <c r="F537" s="303"/>
      <c r="G537" s="310" t="s">
        <v>967</v>
      </c>
      <c r="H537" s="310" t="s">
        <v>967</v>
      </c>
      <c r="I537" s="310" t="e">
        <f t="shared" ref="I537:Z537" si="348">I536/G536-1</f>
        <v>#REF!</v>
      </c>
      <c r="J537" s="310" t="e">
        <f t="shared" si="348"/>
        <v>#REF!</v>
      </c>
      <c r="K537" s="310" t="e">
        <f t="shared" si="348"/>
        <v>#REF!</v>
      </c>
      <c r="L537" s="310" t="e">
        <f t="shared" si="348"/>
        <v>#REF!</v>
      </c>
      <c r="M537" s="310" t="e">
        <f t="shared" si="348"/>
        <v>#REF!</v>
      </c>
      <c r="N537" s="310" t="e">
        <f t="shared" si="348"/>
        <v>#REF!</v>
      </c>
      <c r="O537" s="310" t="e">
        <f t="shared" si="348"/>
        <v>#REF!</v>
      </c>
      <c r="P537" s="310" t="e">
        <f t="shared" si="348"/>
        <v>#REF!</v>
      </c>
      <c r="Q537" s="310" t="e">
        <f t="shared" si="348"/>
        <v>#REF!</v>
      </c>
      <c r="R537" s="310" t="e">
        <f t="shared" si="348"/>
        <v>#REF!</v>
      </c>
      <c r="S537" s="310" t="e">
        <f t="shared" si="348"/>
        <v>#REF!</v>
      </c>
      <c r="T537" s="310" t="e">
        <f t="shared" si="348"/>
        <v>#REF!</v>
      </c>
      <c r="U537" s="310" t="e">
        <f t="shared" si="348"/>
        <v>#REF!</v>
      </c>
      <c r="V537" s="310" t="e">
        <f t="shared" si="348"/>
        <v>#REF!</v>
      </c>
      <c r="W537" s="310" t="e">
        <f t="shared" si="348"/>
        <v>#REF!</v>
      </c>
      <c r="X537" s="310" t="e">
        <f t="shared" si="348"/>
        <v>#REF!</v>
      </c>
      <c r="Y537" s="310" t="e">
        <f t="shared" si="348"/>
        <v>#REF!</v>
      </c>
      <c r="Z537" s="310" t="e">
        <f t="shared" si="348"/>
        <v>#REF!</v>
      </c>
      <c r="AA537" s="311"/>
      <c r="AB537" s="309" t="str">
        <f t="shared" si="330"/>
        <v>- Growth</v>
      </c>
      <c r="AC537" s="303" t="str">
        <f t="shared" si="331"/>
        <v>%</v>
      </c>
      <c r="AD537" s="303"/>
      <c r="AE537" s="303"/>
      <c r="AF537" s="310" t="s">
        <v>967</v>
      </c>
      <c r="AG537" s="310" t="e">
        <f t="shared" ref="AG537:AO537" si="349">AG536/AF536-1</f>
        <v>#REF!</v>
      </c>
      <c r="AH537" s="310" t="e">
        <f t="shared" si="349"/>
        <v>#REF!</v>
      </c>
      <c r="AI537" s="310" t="e">
        <f t="shared" si="349"/>
        <v>#REF!</v>
      </c>
      <c r="AJ537" s="310" t="e">
        <f t="shared" si="349"/>
        <v>#REF!</v>
      </c>
      <c r="AK537" s="310" t="e">
        <f t="shared" si="349"/>
        <v>#REF!</v>
      </c>
      <c r="AL537" s="310" t="e">
        <f t="shared" si="349"/>
        <v>#REF!</v>
      </c>
      <c r="AM537" s="310" t="e">
        <f t="shared" si="349"/>
        <v>#REF!</v>
      </c>
      <c r="AN537" s="310" t="e">
        <f t="shared" si="349"/>
        <v>#REF!</v>
      </c>
      <c r="AO537" s="310" t="e">
        <f t="shared" si="349"/>
        <v>#REF!</v>
      </c>
    </row>
    <row r="538" spans="2:41" collapsed="1">
      <c r="B538" s="301"/>
      <c r="C538" s="309" t="s">
        <v>1511</v>
      </c>
      <c r="D538" s="303" t="s">
        <v>88</v>
      </c>
      <c r="E538" s="303"/>
      <c r="F538" s="303"/>
      <c r="G538" s="310">
        <f t="shared" ref="G538:Z538" si="350">IFERROR(ROUND( G536 / G535,2) - 1, 0)</f>
        <v>0</v>
      </c>
      <c r="H538" s="310">
        <f t="shared" si="350"/>
        <v>0</v>
      </c>
      <c r="I538" s="310">
        <f t="shared" si="350"/>
        <v>0</v>
      </c>
      <c r="J538" s="310">
        <f t="shared" si="350"/>
        <v>0</v>
      </c>
      <c r="K538" s="310">
        <f t="shared" si="350"/>
        <v>0</v>
      </c>
      <c r="L538" s="310">
        <f t="shared" si="350"/>
        <v>0</v>
      </c>
      <c r="M538" s="310">
        <f t="shared" si="350"/>
        <v>0</v>
      </c>
      <c r="N538" s="310">
        <f t="shared" si="350"/>
        <v>0</v>
      </c>
      <c r="O538" s="310">
        <f t="shared" si="350"/>
        <v>0</v>
      </c>
      <c r="P538" s="310">
        <f t="shared" si="350"/>
        <v>0</v>
      </c>
      <c r="Q538" s="310">
        <f t="shared" si="350"/>
        <v>0</v>
      </c>
      <c r="R538" s="310">
        <f t="shared" si="350"/>
        <v>0</v>
      </c>
      <c r="S538" s="310">
        <f t="shared" si="350"/>
        <v>0</v>
      </c>
      <c r="T538" s="310">
        <f t="shared" si="350"/>
        <v>0</v>
      </c>
      <c r="U538" s="310">
        <f t="shared" si="350"/>
        <v>0</v>
      </c>
      <c r="V538" s="310">
        <f t="shared" si="350"/>
        <v>0</v>
      </c>
      <c r="W538" s="310">
        <f t="shared" si="350"/>
        <v>0</v>
      </c>
      <c r="X538" s="310">
        <f t="shared" si="350"/>
        <v>0</v>
      </c>
      <c r="Y538" s="310">
        <f t="shared" si="350"/>
        <v>0</v>
      </c>
      <c r="Z538" s="310">
        <f t="shared" si="350"/>
        <v>0</v>
      </c>
      <c r="AA538" s="310"/>
      <c r="AB538" s="309" t="str">
        <f t="shared" si="330"/>
        <v>- Revision</v>
      </c>
      <c r="AC538" s="303" t="str">
        <f t="shared" si="331"/>
        <v>%</v>
      </c>
      <c r="AD538" s="303"/>
      <c r="AE538" s="303"/>
      <c r="AF538" s="310">
        <f t="shared" ref="AF538:AO538" si="351">IFERROR(ROUND( AF536 / AF535,2) - 1, 0)</f>
        <v>0</v>
      </c>
      <c r="AG538" s="310">
        <f t="shared" si="351"/>
        <v>0</v>
      </c>
      <c r="AH538" s="310">
        <f t="shared" si="351"/>
        <v>0</v>
      </c>
      <c r="AI538" s="310">
        <f t="shared" si="351"/>
        <v>0</v>
      </c>
      <c r="AJ538" s="310">
        <f t="shared" si="351"/>
        <v>0</v>
      </c>
      <c r="AK538" s="310">
        <f t="shared" si="351"/>
        <v>0</v>
      </c>
      <c r="AL538" s="310">
        <f t="shared" si="351"/>
        <v>0</v>
      </c>
      <c r="AM538" s="310">
        <f t="shared" si="351"/>
        <v>0</v>
      </c>
      <c r="AN538" s="310">
        <f t="shared" si="351"/>
        <v>0</v>
      </c>
      <c r="AO538" s="310">
        <f t="shared" si="351"/>
        <v>0</v>
      </c>
    </row>
    <row r="539" spans="2:41">
      <c r="B539" s="301" t="s">
        <v>1498</v>
      </c>
      <c r="C539" s="302" t="s">
        <v>1570</v>
      </c>
      <c r="D539" s="303" t="str">
        <f t="array" ref="D539">_xlfn.XLOOKUP($B539,$B$114:$B$212,_xlfn.XLOOKUP(D$219,$D$5:$AO$5,$D$114:$AO$212))</f>
        <v>NZ$m</v>
      </c>
      <c r="E539" s="303"/>
      <c r="F539" s="303"/>
      <c r="G539" s="304">
        <f t="array" ref="G539">_xlfn.XLOOKUP($B539,$B$114:$B$212,_xlfn.XLOOKUP(G$219,$D$5:$AO$5,$D$114:$AO$212))</f>
        <v>-14</v>
      </c>
      <c r="H539" s="304">
        <f t="array" ref="H539">_xlfn.XLOOKUP($B539,$B$114:$B$212,_xlfn.XLOOKUP(H$219,$D$5:$AO$5,$D$114:$AO$212))</f>
        <v>-18.5</v>
      </c>
      <c r="I539" s="304">
        <f t="array" ref="I539">_xlfn.XLOOKUP($B539,$B$114:$B$212,_xlfn.XLOOKUP(I$219,$D$5:$AO$5,$D$114:$AO$212))</f>
        <v>-17.2</v>
      </c>
      <c r="J539" s="304">
        <f t="array" ref="J539">_xlfn.XLOOKUP($B539,$B$114:$B$212,_xlfn.XLOOKUP(J$219,$D$5:$AO$5,$D$114:$AO$212))</f>
        <v>-17.8</v>
      </c>
      <c r="K539" s="304">
        <f t="array" ref="K539">_xlfn.XLOOKUP($B539,$B$114:$B$212,_xlfn.XLOOKUP(K$219,$D$5:$AO$5,$D$114:$AO$212))</f>
        <v>-15.848000000000001</v>
      </c>
      <c r="L539" s="304">
        <f t="array" ref="L539">_xlfn.XLOOKUP($B539,$B$114:$B$212,_xlfn.XLOOKUP(L$219,$D$5:$AO$5,$D$114:$AO$212))</f>
        <v>-7.6440000000000001</v>
      </c>
      <c r="M539" s="304">
        <f t="array" ref="M539">_xlfn.XLOOKUP($B539,$B$114:$B$212,_xlfn.XLOOKUP(M$219,$D$5:$AO$5,$D$114:$AO$212))</f>
        <v>-8.7149999999999999</v>
      </c>
      <c r="N539" s="304">
        <f t="array" ref="N539">_xlfn.XLOOKUP($B539,$B$114:$B$212,_xlfn.XLOOKUP(N$219,$D$5:$AO$5,$D$114:$AO$212))</f>
        <v>-7.2810000000000006</v>
      </c>
      <c r="O539" s="304">
        <f t="array" ref="O539">_xlfn.XLOOKUP($B539,$B$114:$B$212,_xlfn.XLOOKUP(O$219,$D$5:$AO$5,$D$114:$AO$212))</f>
        <v>-12.3</v>
      </c>
      <c r="P539" s="304">
        <f t="array" ref="P539">_xlfn.XLOOKUP($B539,$B$114:$B$212,_xlfn.XLOOKUP(P$219,$D$5:$AO$5,$D$114:$AO$212))</f>
        <v>-31.25881405479452</v>
      </c>
      <c r="Q539" s="304">
        <f t="array" ref="Q539">_xlfn.XLOOKUP($B539,$B$114:$B$212,_xlfn.XLOOKUP(Q$219,$D$5:$AO$5,$D$114:$AO$212))</f>
        <v>-32.233920838684099</v>
      </c>
      <c r="R539" s="304">
        <f t="array" ref="R539">_xlfn.XLOOKUP($B539,$B$114:$B$212,_xlfn.XLOOKUP(R$219,$D$5:$AO$5,$D$114:$AO$212))</f>
        <v>-31.994538809275099</v>
      </c>
      <c r="S539" s="304">
        <f t="array" ref="S539">_xlfn.XLOOKUP($B539,$B$114:$B$212,_xlfn.XLOOKUP(S$219,$D$5:$AO$5,$D$114:$AO$212))</f>
        <v>-28.250639851242578</v>
      </c>
      <c r="T539" s="304">
        <f t="array" ref="T539">_xlfn.XLOOKUP($B539,$B$114:$B$212,_xlfn.XLOOKUP(T$219,$D$5:$AO$5,$D$114:$AO$212))</f>
        <v>-27.42042096632802</v>
      </c>
      <c r="U539" s="304">
        <f t="array" ref="U539">_xlfn.XLOOKUP($B539,$B$114:$B$212,_xlfn.XLOOKUP(U$219,$D$5:$AO$5,$D$114:$AO$212))</f>
        <v>-27.597374683673809</v>
      </c>
      <c r="V539" s="304">
        <f t="array" ref="V539">_xlfn.XLOOKUP($B539,$B$114:$B$212,_xlfn.XLOOKUP(V$219,$D$5:$AO$5,$D$114:$AO$212))</f>
        <v>-26.996398200643931</v>
      </c>
      <c r="W539" s="304">
        <f t="array" ref="W539">_xlfn.XLOOKUP($B539,$B$114:$B$212,_xlfn.XLOOKUP(W$219,$D$5:$AO$5,$D$114:$AO$212))</f>
        <v>-21.885638311676509</v>
      </c>
      <c r="X539" s="304">
        <f t="array" ref="X539">_xlfn.XLOOKUP($B539,$B$114:$B$212,_xlfn.XLOOKUP(X$219,$D$5:$AO$5,$D$114:$AO$212))</f>
        <v>-21.180279712643351</v>
      </c>
      <c r="Y539" s="304">
        <f t="array" ref="Y539">_xlfn.XLOOKUP($B539,$B$114:$B$212,_xlfn.XLOOKUP(Y$219,$D$5:$AO$5,$D$114:$AO$212))</f>
        <v>-21.291922319684051</v>
      </c>
      <c r="Z539" s="304">
        <f t="array" ref="Z539">_xlfn.XLOOKUP($B539,$B$114:$B$212,_xlfn.XLOOKUP(Z$219,$D$5:$AO$5,$D$114:$AO$212))</f>
        <v>-20.683186103560701</v>
      </c>
      <c r="AA539" s="305"/>
      <c r="AB539" s="302" t="str">
        <f t="shared" si="330"/>
        <v>Net Finance Costs - old</v>
      </c>
      <c r="AC539" s="303" t="str">
        <f t="shared" si="331"/>
        <v>NZ$m</v>
      </c>
      <c r="AD539" s="303"/>
      <c r="AE539" s="303"/>
      <c r="AF539" s="304">
        <f t="array" ref="AF539">_xlfn.XLOOKUP($B539,$B$114:$B$212,_xlfn.XLOOKUP(AF$219,$D$5:$AO$5,$D$114:$AO$212))</f>
        <v>-32.5</v>
      </c>
      <c r="AG539" s="304">
        <f t="array" ref="AG539">_xlfn.XLOOKUP($B539,$B$114:$B$212,_xlfn.XLOOKUP(AG$219,$D$5:$AO$5,$D$114:$AO$212))</f>
        <v>-35</v>
      </c>
      <c r="AH539" s="304">
        <f t="array" ref="AH539">_xlfn.XLOOKUP($B539,$B$114:$B$212,_xlfn.XLOOKUP(AH$219,$D$5:$AO$5,$D$114:$AO$212))</f>
        <v>-23.492000000000001</v>
      </c>
      <c r="AI539" s="304">
        <f t="array" ref="AI539">_xlfn.XLOOKUP($B539,$B$114:$B$212,_xlfn.XLOOKUP(AI$219,$D$5:$AO$5,$D$114:$AO$212))</f>
        <v>-15.996</v>
      </c>
      <c r="AJ539" s="304">
        <f t="array" ref="AJ539">_xlfn.XLOOKUP($B539,$B$114:$B$212,_xlfn.XLOOKUP(AJ$219,$D$5:$AO$5,$D$114:$AO$212))</f>
        <v>-43.558814054794517</v>
      </c>
      <c r="AK539" s="304">
        <f t="array" ref="AK539">_xlfn.XLOOKUP($B539,$B$114:$B$212,_xlfn.XLOOKUP(AK$219,$D$5:$AO$5,$D$114:$AO$212))</f>
        <v>-64.228459647959198</v>
      </c>
      <c r="AL539" s="304">
        <f t="array" ref="AL539">_xlfn.XLOOKUP($B539,$B$114:$B$212,_xlfn.XLOOKUP(AL$219,$D$5:$AO$5,$D$114:$AO$212))</f>
        <v>-55.671060817570613</v>
      </c>
      <c r="AM539" s="304">
        <f t="array" ref="AM539">_xlfn.XLOOKUP($B539,$B$114:$B$212,_xlfn.XLOOKUP(AM$219,$D$5:$AO$5,$D$114:$AO$212))</f>
        <v>-54.59377288431773</v>
      </c>
      <c r="AN539" s="304">
        <f t="array" ref="AN539">_xlfn.XLOOKUP($B539,$B$114:$B$212,_xlfn.XLOOKUP(AN$219,$D$5:$AO$5,$D$114:$AO$212))</f>
        <v>-43.06591802431987</v>
      </c>
      <c r="AO539" s="304">
        <f t="array" ref="AO539">_xlfn.XLOOKUP($B539,$B$114:$B$212,_xlfn.XLOOKUP(AO$219,$D$5:$AO$5,$D$114:$AO$212))</f>
        <v>-41.975108423244748</v>
      </c>
    </row>
    <row r="540" spans="2:41">
      <c r="B540" s="301" t="s">
        <v>1498</v>
      </c>
      <c r="C540" s="306" t="s">
        <v>1571</v>
      </c>
      <c r="D540" s="307" t="str">
        <f t="array" ref="D540">_xlfn.XLOOKUP($B540,$B$11:$B$109,_xlfn.XLOOKUP(D$219,$D$5:$AO$5,$D$11:$AO$109))</f>
        <v>NZ$m</v>
      </c>
      <c r="E540" s="307"/>
      <c r="F540" s="307"/>
      <c r="G540" s="308" t="e">
        <f t="array" ref="G540">_xlfn.XLOOKUP($B540,$B$11:$B$109,_xlfn.XLOOKUP(G$219,$D$5:$AO$5,$D$11:$AO$109))</f>
        <v>#REF!</v>
      </c>
      <c r="H540" s="308" t="e">
        <f t="array" ref="H540">_xlfn.XLOOKUP($B540,$B$11:$B$109,_xlfn.XLOOKUP(H$219,$D$5:$AO$5,$D$11:$AO$109))</f>
        <v>#REF!</v>
      </c>
      <c r="I540" s="308" t="e">
        <f t="array" ref="I540">_xlfn.XLOOKUP($B540,$B$11:$B$109,_xlfn.XLOOKUP(I$219,$D$5:$AO$5,$D$11:$AO$109))</f>
        <v>#REF!</v>
      </c>
      <c r="J540" s="308" t="e">
        <f t="array" ref="J540">_xlfn.XLOOKUP($B540,$B$11:$B$109,_xlfn.XLOOKUP(J$219,$D$5:$AO$5,$D$11:$AO$109))</f>
        <v>#REF!</v>
      </c>
      <c r="K540" s="308" t="e">
        <f t="array" ref="K540">_xlfn.XLOOKUP($B540,$B$11:$B$109,_xlfn.XLOOKUP(K$219,$D$5:$AO$5,$D$11:$AO$109))</f>
        <v>#REF!</v>
      </c>
      <c r="L540" s="308" t="e">
        <f t="array" ref="L540">_xlfn.XLOOKUP($B540,$B$11:$B$109,_xlfn.XLOOKUP(L$219,$D$5:$AO$5,$D$11:$AO$109))</f>
        <v>#REF!</v>
      </c>
      <c r="M540" s="308" t="e">
        <f t="array" ref="M540">_xlfn.XLOOKUP($B540,$B$11:$B$109,_xlfn.XLOOKUP(M$219,$D$5:$AO$5,$D$11:$AO$109))</f>
        <v>#REF!</v>
      </c>
      <c r="N540" s="308" t="e">
        <f t="array" ref="N540">_xlfn.XLOOKUP($B540,$B$11:$B$109,_xlfn.XLOOKUP(N$219,$D$5:$AO$5,$D$11:$AO$109))</f>
        <v>#REF!</v>
      </c>
      <c r="O540" s="308" t="e">
        <f t="array" ref="O540">_xlfn.XLOOKUP($B540,$B$11:$B$109,_xlfn.XLOOKUP(O$219,$D$5:$AO$5,$D$11:$AO$109))</f>
        <v>#REF!</v>
      </c>
      <c r="P540" s="308" t="e">
        <f t="array" ref="P540">_xlfn.XLOOKUP($B540,$B$11:$B$109,_xlfn.XLOOKUP(P$219,$D$5:$AO$5,$D$11:$AO$109))</f>
        <v>#REF!</v>
      </c>
      <c r="Q540" s="308" t="e">
        <f t="array" ref="Q540">_xlfn.XLOOKUP($B540,$B$11:$B$109,_xlfn.XLOOKUP(Q$219,$D$5:$AO$5,$D$11:$AO$109))</f>
        <v>#REF!</v>
      </c>
      <c r="R540" s="308" t="e">
        <f t="array" ref="R540">_xlfn.XLOOKUP($B540,$B$11:$B$109,_xlfn.XLOOKUP(R$219,$D$5:$AO$5,$D$11:$AO$109))</f>
        <v>#REF!</v>
      </c>
      <c r="S540" s="308" t="e">
        <f t="array" ref="S540">_xlfn.XLOOKUP($B540,$B$11:$B$109,_xlfn.XLOOKUP(S$219,$D$5:$AO$5,$D$11:$AO$109))</f>
        <v>#REF!</v>
      </c>
      <c r="T540" s="308" t="e">
        <f t="array" ref="T540">_xlfn.XLOOKUP($B540,$B$11:$B$109,_xlfn.XLOOKUP(T$219,$D$5:$AO$5,$D$11:$AO$109))</f>
        <v>#REF!</v>
      </c>
      <c r="U540" s="308" t="e">
        <f t="array" ref="U540">_xlfn.XLOOKUP($B540,$B$11:$B$109,_xlfn.XLOOKUP(U$219,$D$5:$AO$5,$D$11:$AO$109))</f>
        <v>#REF!</v>
      </c>
      <c r="V540" s="308" t="e">
        <f t="array" ref="V540">_xlfn.XLOOKUP($B540,$B$11:$B$109,_xlfn.XLOOKUP(V$219,$D$5:$AO$5,$D$11:$AO$109))</f>
        <v>#REF!</v>
      </c>
      <c r="W540" s="308" t="e">
        <f t="array" ref="W540">_xlfn.XLOOKUP($B540,$B$11:$B$109,_xlfn.XLOOKUP(W$219,$D$5:$AO$5,$D$11:$AO$109))</f>
        <v>#REF!</v>
      </c>
      <c r="X540" s="308" t="e">
        <f t="array" ref="X540">_xlfn.XLOOKUP($B540,$B$11:$B$109,_xlfn.XLOOKUP(X$219,$D$5:$AO$5,$D$11:$AO$109))</f>
        <v>#REF!</v>
      </c>
      <c r="Y540" s="308" t="e">
        <f t="array" ref="Y540">_xlfn.XLOOKUP($B540,$B$11:$B$109,_xlfn.XLOOKUP(Y$219,$D$5:$AO$5,$D$11:$AO$109))</f>
        <v>#REF!</v>
      </c>
      <c r="Z540" s="308" t="e">
        <f t="array" ref="Z540">_xlfn.XLOOKUP($B540,$B$11:$B$109,_xlfn.XLOOKUP(Z$219,$D$5:$AO$5,$D$11:$AO$109))</f>
        <v>#REF!</v>
      </c>
      <c r="AA540" s="308"/>
      <c r="AB540" s="306" t="str">
        <f t="shared" si="330"/>
        <v>Net Finance Costs - New</v>
      </c>
      <c r="AC540" s="307" t="str">
        <f t="shared" si="331"/>
        <v>NZ$m</v>
      </c>
      <c r="AD540" s="307"/>
      <c r="AE540" s="307"/>
      <c r="AF540" s="308" t="e">
        <f t="array" ref="AF540">_xlfn.XLOOKUP($B540,$B$11:$B$109,_xlfn.XLOOKUP(AF$219,$D$5:$AO$5,$D$11:$AO$109))</f>
        <v>#REF!</v>
      </c>
      <c r="AG540" s="308" t="e">
        <f t="array" ref="AG540">_xlfn.XLOOKUP($B540,$B$11:$B$109,_xlfn.XLOOKUP(AG$219,$D$5:$AO$5,$D$11:$AO$109))</f>
        <v>#REF!</v>
      </c>
      <c r="AH540" s="308" t="e">
        <f t="array" ref="AH540">_xlfn.XLOOKUP($B540,$B$11:$B$109,_xlfn.XLOOKUP(AH$219,$D$5:$AO$5,$D$11:$AO$109))</f>
        <v>#REF!</v>
      </c>
      <c r="AI540" s="308" t="e">
        <f t="array" ref="AI540">_xlfn.XLOOKUP($B540,$B$11:$B$109,_xlfn.XLOOKUP(AI$219,$D$5:$AO$5,$D$11:$AO$109))</f>
        <v>#REF!</v>
      </c>
      <c r="AJ540" s="308" t="e">
        <f t="array" ref="AJ540">_xlfn.XLOOKUP($B540,$B$11:$B$109,_xlfn.XLOOKUP(AJ$219,$D$5:$AO$5,$D$11:$AO$109))</f>
        <v>#REF!</v>
      </c>
      <c r="AK540" s="308" t="e">
        <f t="array" ref="AK540">_xlfn.XLOOKUP($B540,$B$11:$B$109,_xlfn.XLOOKUP(AK$219,$D$5:$AO$5,$D$11:$AO$109))</f>
        <v>#REF!</v>
      </c>
      <c r="AL540" s="308" t="e">
        <f t="array" ref="AL540">_xlfn.XLOOKUP($B540,$B$11:$B$109,_xlfn.XLOOKUP(AL$219,$D$5:$AO$5,$D$11:$AO$109))</f>
        <v>#REF!</v>
      </c>
      <c r="AM540" s="308" t="e">
        <f t="array" ref="AM540">_xlfn.XLOOKUP($B540,$B$11:$B$109,_xlfn.XLOOKUP(AM$219,$D$5:$AO$5,$D$11:$AO$109))</f>
        <v>#REF!</v>
      </c>
      <c r="AN540" s="308" t="e">
        <f t="array" ref="AN540">_xlfn.XLOOKUP($B540,$B$11:$B$109,_xlfn.XLOOKUP(AN$219,$D$5:$AO$5,$D$11:$AO$109))</f>
        <v>#REF!</v>
      </c>
      <c r="AO540" s="308" t="e">
        <f t="array" ref="AO540">_xlfn.XLOOKUP($B540,$B$11:$B$109,_xlfn.XLOOKUP(AO$219,$D$5:$AO$5,$D$11:$AO$109))</f>
        <v>#REF!</v>
      </c>
    </row>
    <row r="541" spans="2:41" hidden="1" outlineLevel="1">
      <c r="B541" s="301"/>
      <c r="C541" s="309" t="s">
        <v>1510</v>
      </c>
      <c r="D541" s="303" t="s">
        <v>88</v>
      </c>
      <c r="E541" s="303"/>
      <c r="F541" s="303"/>
      <c r="G541" s="310" t="s">
        <v>967</v>
      </c>
      <c r="H541" s="310" t="s">
        <v>967</v>
      </c>
      <c r="I541" s="310" t="e">
        <f t="shared" ref="I541:Z541" si="352">I540/G540-1</f>
        <v>#REF!</v>
      </c>
      <c r="J541" s="310" t="e">
        <f t="shared" si="352"/>
        <v>#REF!</v>
      </c>
      <c r="K541" s="310" t="e">
        <f t="shared" si="352"/>
        <v>#REF!</v>
      </c>
      <c r="L541" s="310" t="e">
        <f t="shared" si="352"/>
        <v>#REF!</v>
      </c>
      <c r="M541" s="310" t="e">
        <f t="shared" si="352"/>
        <v>#REF!</v>
      </c>
      <c r="N541" s="310" t="e">
        <f t="shared" si="352"/>
        <v>#REF!</v>
      </c>
      <c r="O541" s="310" t="e">
        <f t="shared" si="352"/>
        <v>#REF!</v>
      </c>
      <c r="P541" s="310" t="e">
        <f t="shared" si="352"/>
        <v>#REF!</v>
      </c>
      <c r="Q541" s="310" t="e">
        <f t="shared" si="352"/>
        <v>#REF!</v>
      </c>
      <c r="R541" s="310" t="e">
        <f t="shared" si="352"/>
        <v>#REF!</v>
      </c>
      <c r="S541" s="310" t="e">
        <f t="shared" si="352"/>
        <v>#REF!</v>
      </c>
      <c r="T541" s="310" t="e">
        <f t="shared" si="352"/>
        <v>#REF!</v>
      </c>
      <c r="U541" s="310" t="e">
        <f t="shared" si="352"/>
        <v>#REF!</v>
      </c>
      <c r="V541" s="310" t="e">
        <f t="shared" si="352"/>
        <v>#REF!</v>
      </c>
      <c r="W541" s="310" t="e">
        <f t="shared" si="352"/>
        <v>#REF!</v>
      </c>
      <c r="X541" s="310" t="e">
        <f t="shared" si="352"/>
        <v>#REF!</v>
      </c>
      <c r="Y541" s="310" t="e">
        <f t="shared" si="352"/>
        <v>#REF!</v>
      </c>
      <c r="Z541" s="310" t="e">
        <f t="shared" si="352"/>
        <v>#REF!</v>
      </c>
      <c r="AA541" s="311"/>
      <c r="AB541" s="309" t="str">
        <f t="shared" si="330"/>
        <v>- Growth</v>
      </c>
      <c r="AC541" s="303" t="str">
        <f t="shared" si="331"/>
        <v>%</v>
      </c>
      <c r="AD541" s="303"/>
      <c r="AE541" s="303"/>
      <c r="AF541" s="310" t="s">
        <v>967</v>
      </c>
      <c r="AG541" s="310" t="e">
        <f t="shared" ref="AG541:AO541" si="353">AG540/AF540-1</f>
        <v>#REF!</v>
      </c>
      <c r="AH541" s="310" t="e">
        <f t="shared" si="353"/>
        <v>#REF!</v>
      </c>
      <c r="AI541" s="310" t="e">
        <f t="shared" si="353"/>
        <v>#REF!</v>
      </c>
      <c r="AJ541" s="310" t="e">
        <f t="shared" si="353"/>
        <v>#REF!</v>
      </c>
      <c r="AK541" s="310" t="e">
        <f t="shared" si="353"/>
        <v>#REF!</v>
      </c>
      <c r="AL541" s="310" t="e">
        <f t="shared" si="353"/>
        <v>#REF!</v>
      </c>
      <c r="AM541" s="310" t="e">
        <f t="shared" si="353"/>
        <v>#REF!</v>
      </c>
      <c r="AN541" s="310" t="e">
        <f t="shared" si="353"/>
        <v>#REF!</v>
      </c>
      <c r="AO541" s="310" t="e">
        <f t="shared" si="353"/>
        <v>#REF!</v>
      </c>
    </row>
    <row r="542" spans="2:41" collapsed="1">
      <c r="B542" s="301"/>
      <c r="C542" s="309" t="s">
        <v>1511</v>
      </c>
      <c r="D542" s="303" t="s">
        <v>88</v>
      </c>
      <c r="E542" s="303"/>
      <c r="F542" s="303"/>
      <c r="G542" s="310">
        <f t="shared" ref="G542:Z542" si="354">IFERROR(ROUND( G540 / G539,2) - 1, 0)</f>
        <v>0</v>
      </c>
      <c r="H542" s="310">
        <f t="shared" si="354"/>
        <v>0</v>
      </c>
      <c r="I542" s="310">
        <f t="shared" si="354"/>
        <v>0</v>
      </c>
      <c r="J542" s="310">
        <f t="shared" si="354"/>
        <v>0</v>
      </c>
      <c r="K542" s="310">
        <f t="shared" si="354"/>
        <v>0</v>
      </c>
      <c r="L542" s="310">
        <f t="shared" si="354"/>
        <v>0</v>
      </c>
      <c r="M542" s="310">
        <f t="shared" si="354"/>
        <v>0</v>
      </c>
      <c r="N542" s="310">
        <f t="shared" si="354"/>
        <v>0</v>
      </c>
      <c r="O542" s="310">
        <f t="shared" si="354"/>
        <v>0</v>
      </c>
      <c r="P542" s="310">
        <f t="shared" si="354"/>
        <v>0</v>
      </c>
      <c r="Q542" s="310">
        <f t="shared" si="354"/>
        <v>0</v>
      </c>
      <c r="R542" s="310">
        <f t="shared" si="354"/>
        <v>0</v>
      </c>
      <c r="S542" s="310">
        <f t="shared" si="354"/>
        <v>0</v>
      </c>
      <c r="T542" s="310">
        <f t="shared" si="354"/>
        <v>0</v>
      </c>
      <c r="U542" s="310">
        <f t="shared" si="354"/>
        <v>0</v>
      </c>
      <c r="V542" s="310">
        <f t="shared" si="354"/>
        <v>0</v>
      </c>
      <c r="W542" s="310">
        <f t="shared" si="354"/>
        <v>0</v>
      </c>
      <c r="X542" s="310">
        <f t="shared" si="354"/>
        <v>0</v>
      </c>
      <c r="Y542" s="310">
        <f t="shared" si="354"/>
        <v>0</v>
      </c>
      <c r="Z542" s="310">
        <f t="shared" si="354"/>
        <v>0</v>
      </c>
      <c r="AA542" s="310"/>
      <c r="AB542" s="309" t="str">
        <f t="shared" si="330"/>
        <v>- Revision</v>
      </c>
      <c r="AC542" s="303" t="str">
        <f t="shared" si="331"/>
        <v>%</v>
      </c>
      <c r="AD542" s="303"/>
      <c r="AE542" s="303"/>
      <c r="AF542" s="310">
        <f t="shared" ref="AF542:AO542" si="355">IFERROR(ROUND( AF540 / AF539,2) - 1, 0)</f>
        <v>0</v>
      </c>
      <c r="AG542" s="310">
        <f t="shared" si="355"/>
        <v>0</v>
      </c>
      <c r="AH542" s="310">
        <f t="shared" si="355"/>
        <v>0</v>
      </c>
      <c r="AI542" s="310">
        <f t="shared" si="355"/>
        <v>0</v>
      </c>
      <c r="AJ542" s="310">
        <f t="shared" si="355"/>
        <v>0</v>
      </c>
      <c r="AK542" s="310">
        <f t="shared" si="355"/>
        <v>0</v>
      </c>
      <c r="AL542" s="310">
        <f t="shared" si="355"/>
        <v>0</v>
      </c>
      <c r="AM542" s="310">
        <f t="shared" si="355"/>
        <v>0</v>
      </c>
      <c r="AN542" s="310">
        <f t="shared" si="355"/>
        <v>0</v>
      </c>
      <c r="AO542" s="310">
        <f t="shared" si="355"/>
        <v>0</v>
      </c>
    </row>
    <row r="543" spans="2:41">
      <c r="B543" s="301" t="s">
        <v>1499</v>
      </c>
      <c r="C543" s="302" t="s">
        <v>1572</v>
      </c>
      <c r="D543" s="303" t="str">
        <f t="array" ref="D543">_xlfn.XLOOKUP($B543,$B$114:$B$212,_xlfn.XLOOKUP(D$219,$D$5:$AO$5,$D$114:$AO$212))</f>
        <v>NZ$m</v>
      </c>
      <c r="E543" s="303"/>
      <c r="F543" s="303"/>
      <c r="G543" s="304">
        <f t="array" ref="G543">_xlfn.XLOOKUP($B543,$B$114:$B$212,_xlfn.XLOOKUP(G$219,$D$5:$AO$5,$D$114:$AO$212))</f>
        <v>95.4</v>
      </c>
      <c r="H543" s="304">
        <f t="array" ref="H543">_xlfn.XLOOKUP($B543,$B$114:$B$212,_xlfn.XLOOKUP(H$219,$D$5:$AO$5,$D$114:$AO$212))</f>
        <v>97.600000000000009</v>
      </c>
      <c r="I543" s="304">
        <f t="array" ref="I543">_xlfn.XLOOKUP($B543,$B$114:$B$212,_xlfn.XLOOKUP(I$219,$D$5:$AO$5,$D$114:$AO$212))</f>
        <v>-44.599999999999987</v>
      </c>
      <c r="J543" s="304">
        <f t="array" ref="J543">_xlfn.XLOOKUP($B543,$B$114:$B$212,_xlfn.XLOOKUP(J$219,$D$5:$AO$5,$D$114:$AO$212))</f>
        <v>11.8</v>
      </c>
      <c r="K543" s="304">
        <f t="array" ref="K543">_xlfn.XLOOKUP($B543,$B$114:$B$212,_xlfn.XLOOKUP(K$219,$D$5:$AO$5,$D$114:$AO$212))</f>
        <v>44.987999999999992</v>
      </c>
      <c r="L543" s="304">
        <f t="array" ref="L543">_xlfn.XLOOKUP($B543,$B$114:$B$212,_xlfn.XLOOKUP(L$219,$D$5:$AO$5,$D$114:$AO$212))</f>
        <v>6.74800000000001</v>
      </c>
      <c r="M543" s="304">
        <f t="array" ref="M543">_xlfn.XLOOKUP($B543,$B$114:$B$212,_xlfn.XLOOKUP(M$219,$D$5:$AO$5,$D$114:$AO$212))</f>
        <v>48.037999999999997</v>
      </c>
      <c r="N543" s="304">
        <f t="array" ref="N543">_xlfn.XLOOKUP($B543,$B$114:$B$212,_xlfn.XLOOKUP(N$219,$D$5:$AO$5,$D$114:$AO$212))</f>
        <v>-17.855000000000011</v>
      </c>
      <c r="O543" s="304">
        <f t="array" ref="O543">_xlfn.XLOOKUP($B543,$B$114:$B$212,_xlfn.XLOOKUP(O$219,$D$5:$AO$5,$D$114:$AO$212))</f>
        <v>55.470999999999989</v>
      </c>
      <c r="P543" s="304">
        <f t="array" ref="P543">_xlfn.XLOOKUP($B543,$B$114:$B$212,_xlfn.XLOOKUP(P$219,$D$5:$AO$5,$D$114:$AO$212))</f>
        <v>40.716516505901239</v>
      </c>
      <c r="Q543" s="304">
        <f t="array" ref="Q543">_xlfn.XLOOKUP($B543,$B$114:$B$212,_xlfn.XLOOKUP(Q$219,$D$5:$AO$5,$D$114:$AO$212))</f>
        <v>0.2894864963274415</v>
      </c>
      <c r="R543" s="304">
        <f t="array" ref="R543">_xlfn.XLOOKUP($B543,$B$114:$B$212,_xlfn.XLOOKUP(R$219,$D$5:$AO$5,$D$114:$AO$212))</f>
        <v>45.881049061188513</v>
      </c>
      <c r="S543" s="304">
        <f t="array" ref="S543">_xlfn.XLOOKUP($B543,$B$114:$B$212,_xlfn.XLOOKUP(S$219,$D$5:$AO$5,$D$114:$AO$212))</f>
        <v>56.942003362415349</v>
      </c>
      <c r="T543" s="304">
        <f t="array" ref="T543">_xlfn.XLOOKUP($B543,$B$114:$B$212,_xlfn.XLOOKUP(T$219,$D$5:$AO$5,$D$114:$AO$212))</f>
        <v>67.430348923497462</v>
      </c>
      <c r="U543" s="304">
        <f t="array" ref="U543">_xlfn.XLOOKUP($B543,$B$114:$B$212,_xlfn.XLOOKUP(U$219,$D$5:$AO$5,$D$114:$AO$212))</f>
        <v>69.833237954404339</v>
      </c>
      <c r="V543" s="304">
        <f t="array" ref="V543">_xlfn.XLOOKUP($B543,$B$114:$B$212,_xlfn.XLOOKUP(V$219,$D$5:$AO$5,$D$114:$AO$212))</f>
        <v>78.007545713364365</v>
      </c>
      <c r="W543" s="304">
        <f t="array" ref="W543">_xlfn.XLOOKUP($B543,$B$114:$B$212,_xlfn.XLOOKUP(W$219,$D$5:$AO$5,$D$114:$AO$212))</f>
        <v>81.575159407075944</v>
      </c>
      <c r="X543" s="304">
        <f t="array" ref="X543">_xlfn.XLOOKUP($B543,$B$114:$B$212,_xlfn.XLOOKUP(X$219,$D$5:$AO$5,$D$114:$AO$212))</f>
        <v>88.196415829501305</v>
      </c>
      <c r="Y543" s="304">
        <f t="array" ref="Y543">_xlfn.XLOOKUP($B543,$B$114:$B$212,_xlfn.XLOOKUP(Y$219,$D$5:$AO$5,$D$114:$AO$212))</f>
        <v>85.57229260457494</v>
      </c>
      <c r="Z543" s="304">
        <f t="array" ref="Z543">_xlfn.XLOOKUP($B543,$B$114:$B$212,_xlfn.XLOOKUP(Z$219,$D$5:$AO$5,$D$114:$AO$212))</f>
        <v>92.609414724997833</v>
      </c>
      <c r="AA543" s="305"/>
      <c r="AB543" s="302" t="str">
        <f t="shared" si="330"/>
        <v>NPBT - old</v>
      </c>
      <c r="AC543" s="303" t="str">
        <f t="shared" si="331"/>
        <v>NZ$m</v>
      </c>
      <c r="AD543" s="303"/>
      <c r="AE543" s="303"/>
      <c r="AF543" s="304">
        <f t="array" ref="AF543">_xlfn.XLOOKUP($B543,$B$114:$B$212,_xlfn.XLOOKUP(AF$219,$D$5:$AO$5,$D$114:$AO$212))</f>
        <v>193</v>
      </c>
      <c r="AG543" s="304">
        <f t="array" ref="AG543">_xlfn.XLOOKUP($B543,$B$114:$B$212,_xlfn.XLOOKUP(AG$219,$D$5:$AO$5,$D$114:$AO$212))</f>
        <v>-32.799999999999997</v>
      </c>
      <c r="AH543" s="304">
        <f t="array" ref="AH543">_xlfn.XLOOKUP($B543,$B$114:$B$212,_xlfn.XLOOKUP(AH$219,$D$5:$AO$5,$D$114:$AO$212))</f>
        <v>51.735999999999997</v>
      </c>
      <c r="AI543" s="304">
        <f t="array" ref="AI543">_xlfn.XLOOKUP($B543,$B$114:$B$212,_xlfn.XLOOKUP(AI$219,$D$5:$AO$5,$D$114:$AO$212))</f>
        <v>30.182999999999989</v>
      </c>
      <c r="AJ543" s="304">
        <f t="array" ref="AJ543">_xlfn.XLOOKUP($B543,$B$114:$B$212,_xlfn.XLOOKUP(AJ$219,$D$5:$AO$5,$D$114:$AO$212))</f>
        <v>96.187516505901229</v>
      </c>
      <c r="AK543" s="304">
        <f t="array" ref="AK543">_xlfn.XLOOKUP($B543,$B$114:$B$212,_xlfn.XLOOKUP(AK$219,$D$5:$AO$5,$D$114:$AO$212))</f>
        <v>46.170535557515947</v>
      </c>
      <c r="AL543" s="304">
        <f t="array" ref="AL543">_xlfn.XLOOKUP($B543,$B$114:$B$212,_xlfn.XLOOKUP(AL$219,$D$5:$AO$5,$D$114:$AO$212))</f>
        <v>124.3723522859128</v>
      </c>
      <c r="AM543" s="304">
        <f t="array" ref="AM543">_xlfn.XLOOKUP($B543,$B$114:$B$212,_xlfn.XLOOKUP(AM$219,$D$5:$AO$5,$D$114:$AO$212))</f>
        <v>147.8407836677687</v>
      </c>
      <c r="AN543" s="304">
        <f t="array" ref="AN543">_xlfn.XLOOKUP($B543,$B$114:$B$212,_xlfn.XLOOKUP(AN$219,$D$5:$AO$5,$D$114:$AO$212))</f>
        <v>169.77157523657721</v>
      </c>
      <c r="AO543" s="304">
        <f t="array" ref="AO543">_xlfn.XLOOKUP($B543,$B$114:$B$212,_xlfn.XLOOKUP(AO$219,$D$5:$AO$5,$D$114:$AO$212))</f>
        <v>178.18170732957279</v>
      </c>
    </row>
    <row r="544" spans="2:41">
      <c r="B544" s="301" t="s">
        <v>1499</v>
      </c>
      <c r="C544" s="306" t="s">
        <v>1573</v>
      </c>
      <c r="D544" s="307" t="str">
        <f t="array" ref="D544">_xlfn.XLOOKUP($B544,$B$11:$B$109,_xlfn.XLOOKUP(D$219,$D$5:$AO$5,$D$11:$AO$109))</f>
        <v>NZ$m</v>
      </c>
      <c r="E544" s="307"/>
      <c r="F544" s="307"/>
      <c r="G544" s="308" t="e">
        <f t="array" ref="G544">_xlfn.XLOOKUP($B544,$B$11:$B$109,_xlfn.XLOOKUP(G$219,$D$5:$AO$5,$D$11:$AO$109))</f>
        <v>#REF!</v>
      </c>
      <c r="H544" s="308" t="e">
        <f t="array" ref="H544">_xlfn.XLOOKUP($B544,$B$11:$B$109,_xlfn.XLOOKUP(H$219,$D$5:$AO$5,$D$11:$AO$109))</f>
        <v>#REF!</v>
      </c>
      <c r="I544" s="308" t="e">
        <f t="array" ref="I544">_xlfn.XLOOKUP($B544,$B$11:$B$109,_xlfn.XLOOKUP(I$219,$D$5:$AO$5,$D$11:$AO$109))</f>
        <v>#REF!</v>
      </c>
      <c r="J544" s="308" t="e">
        <f t="array" ref="J544">_xlfn.XLOOKUP($B544,$B$11:$B$109,_xlfn.XLOOKUP(J$219,$D$5:$AO$5,$D$11:$AO$109))</f>
        <v>#REF!</v>
      </c>
      <c r="K544" s="308" t="e">
        <f t="array" ref="K544">_xlfn.XLOOKUP($B544,$B$11:$B$109,_xlfn.XLOOKUP(K$219,$D$5:$AO$5,$D$11:$AO$109))</f>
        <v>#REF!</v>
      </c>
      <c r="L544" s="308" t="e">
        <f t="array" ref="L544">_xlfn.XLOOKUP($B544,$B$11:$B$109,_xlfn.XLOOKUP(L$219,$D$5:$AO$5,$D$11:$AO$109))</f>
        <v>#REF!</v>
      </c>
      <c r="M544" s="308" t="e">
        <f t="array" ref="M544">_xlfn.XLOOKUP($B544,$B$11:$B$109,_xlfn.XLOOKUP(M$219,$D$5:$AO$5,$D$11:$AO$109))</f>
        <v>#REF!</v>
      </c>
      <c r="N544" s="308" t="e">
        <f t="array" ref="N544">_xlfn.XLOOKUP($B544,$B$11:$B$109,_xlfn.XLOOKUP(N$219,$D$5:$AO$5,$D$11:$AO$109))</f>
        <v>#REF!</v>
      </c>
      <c r="O544" s="308" t="e">
        <f t="array" ref="O544">_xlfn.XLOOKUP($B544,$B$11:$B$109,_xlfn.XLOOKUP(O$219,$D$5:$AO$5,$D$11:$AO$109))</f>
        <v>#REF!</v>
      </c>
      <c r="P544" s="308" t="e">
        <f t="array" ref="P544">_xlfn.XLOOKUP($B544,$B$11:$B$109,_xlfn.XLOOKUP(P$219,$D$5:$AO$5,$D$11:$AO$109))</f>
        <v>#REF!</v>
      </c>
      <c r="Q544" s="308" t="e">
        <f t="array" ref="Q544">_xlfn.XLOOKUP($B544,$B$11:$B$109,_xlfn.XLOOKUP(Q$219,$D$5:$AO$5,$D$11:$AO$109))</f>
        <v>#REF!</v>
      </c>
      <c r="R544" s="308" t="e">
        <f t="array" ref="R544">_xlfn.XLOOKUP($B544,$B$11:$B$109,_xlfn.XLOOKUP(R$219,$D$5:$AO$5,$D$11:$AO$109))</f>
        <v>#REF!</v>
      </c>
      <c r="S544" s="308" t="e">
        <f t="array" ref="S544">_xlfn.XLOOKUP($B544,$B$11:$B$109,_xlfn.XLOOKUP(S$219,$D$5:$AO$5,$D$11:$AO$109))</f>
        <v>#REF!</v>
      </c>
      <c r="T544" s="308" t="e">
        <f t="array" ref="T544">_xlfn.XLOOKUP($B544,$B$11:$B$109,_xlfn.XLOOKUP(T$219,$D$5:$AO$5,$D$11:$AO$109))</f>
        <v>#REF!</v>
      </c>
      <c r="U544" s="308" t="e">
        <f t="array" ref="U544">_xlfn.XLOOKUP($B544,$B$11:$B$109,_xlfn.XLOOKUP(U$219,$D$5:$AO$5,$D$11:$AO$109))</f>
        <v>#REF!</v>
      </c>
      <c r="V544" s="308" t="e">
        <f t="array" ref="V544">_xlfn.XLOOKUP($B544,$B$11:$B$109,_xlfn.XLOOKUP(V$219,$D$5:$AO$5,$D$11:$AO$109))</f>
        <v>#REF!</v>
      </c>
      <c r="W544" s="308" t="e">
        <f t="array" ref="W544">_xlfn.XLOOKUP($B544,$B$11:$B$109,_xlfn.XLOOKUP(W$219,$D$5:$AO$5,$D$11:$AO$109))</f>
        <v>#REF!</v>
      </c>
      <c r="X544" s="308" t="e">
        <f t="array" ref="X544">_xlfn.XLOOKUP($B544,$B$11:$B$109,_xlfn.XLOOKUP(X$219,$D$5:$AO$5,$D$11:$AO$109))</f>
        <v>#REF!</v>
      </c>
      <c r="Y544" s="308" t="e">
        <f t="array" ref="Y544">_xlfn.XLOOKUP($B544,$B$11:$B$109,_xlfn.XLOOKUP(Y$219,$D$5:$AO$5,$D$11:$AO$109))</f>
        <v>#REF!</v>
      </c>
      <c r="Z544" s="308" t="e">
        <f t="array" ref="Z544">_xlfn.XLOOKUP($B544,$B$11:$B$109,_xlfn.XLOOKUP(Z$219,$D$5:$AO$5,$D$11:$AO$109))</f>
        <v>#REF!</v>
      </c>
      <c r="AA544" s="308"/>
      <c r="AB544" s="306" t="str">
        <f t="shared" si="330"/>
        <v>NPBT - New</v>
      </c>
      <c r="AC544" s="307" t="str">
        <f t="shared" si="331"/>
        <v>NZ$m</v>
      </c>
      <c r="AD544" s="307"/>
      <c r="AE544" s="307"/>
      <c r="AF544" s="308" t="e">
        <f t="array" ref="AF544">_xlfn.XLOOKUP($B544,$B$11:$B$109,_xlfn.XLOOKUP(AF$219,$D$5:$AO$5,$D$11:$AO$109))</f>
        <v>#REF!</v>
      </c>
      <c r="AG544" s="308" t="e">
        <f t="array" ref="AG544">_xlfn.XLOOKUP($B544,$B$11:$B$109,_xlfn.XLOOKUP(AG$219,$D$5:$AO$5,$D$11:$AO$109))</f>
        <v>#REF!</v>
      </c>
      <c r="AH544" s="308" t="e">
        <f t="array" ref="AH544">_xlfn.XLOOKUP($B544,$B$11:$B$109,_xlfn.XLOOKUP(AH$219,$D$5:$AO$5,$D$11:$AO$109))</f>
        <v>#REF!</v>
      </c>
      <c r="AI544" s="308" t="e">
        <f t="array" ref="AI544">_xlfn.XLOOKUP($B544,$B$11:$B$109,_xlfn.XLOOKUP(AI$219,$D$5:$AO$5,$D$11:$AO$109))</f>
        <v>#REF!</v>
      </c>
      <c r="AJ544" s="308" t="e">
        <f t="array" ref="AJ544">_xlfn.XLOOKUP($B544,$B$11:$B$109,_xlfn.XLOOKUP(AJ$219,$D$5:$AO$5,$D$11:$AO$109))</f>
        <v>#REF!</v>
      </c>
      <c r="AK544" s="308" t="e">
        <f t="array" ref="AK544">_xlfn.XLOOKUP($B544,$B$11:$B$109,_xlfn.XLOOKUP(AK$219,$D$5:$AO$5,$D$11:$AO$109))</f>
        <v>#REF!</v>
      </c>
      <c r="AL544" s="308" t="e">
        <f t="array" ref="AL544">_xlfn.XLOOKUP($B544,$B$11:$B$109,_xlfn.XLOOKUP(AL$219,$D$5:$AO$5,$D$11:$AO$109))</f>
        <v>#REF!</v>
      </c>
      <c r="AM544" s="308" t="e">
        <f t="array" ref="AM544">_xlfn.XLOOKUP($B544,$B$11:$B$109,_xlfn.XLOOKUP(AM$219,$D$5:$AO$5,$D$11:$AO$109))</f>
        <v>#REF!</v>
      </c>
      <c r="AN544" s="308" t="e">
        <f t="array" ref="AN544">_xlfn.XLOOKUP($B544,$B$11:$B$109,_xlfn.XLOOKUP(AN$219,$D$5:$AO$5,$D$11:$AO$109))</f>
        <v>#REF!</v>
      </c>
      <c r="AO544" s="308" t="e">
        <f t="array" ref="AO544">_xlfn.XLOOKUP($B544,$B$11:$B$109,_xlfn.XLOOKUP(AO$219,$D$5:$AO$5,$D$11:$AO$109))</f>
        <v>#REF!</v>
      </c>
    </row>
    <row r="545" spans="2:41" hidden="1" outlineLevel="1">
      <c r="B545" s="301"/>
      <c r="C545" s="309" t="s">
        <v>1510</v>
      </c>
      <c r="D545" s="303" t="s">
        <v>88</v>
      </c>
      <c r="E545" s="303"/>
      <c r="F545" s="303"/>
      <c r="G545" s="310" t="s">
        <v>967</v>
      </c>
      <c r="H545" s="310" t="s">
        <v>967</v>
      </c>
      <c r="I545" s="310" t="e">
        <f t="shared" ref="I545:Z545" si="356">I544/G544-1</f>
        <v>#REF!</v>
      </c>
      <c r="J545" s="310" t="e">
        <f t="shared" si="356"/>
        <v>#REF!</v>
      </c>
      <c r="K545" s="310" t="e">
        <f t="shared" si="356"/>
        <v>#REF!</v>
      </c>
      <c r="L545" s="310" t="e">
        <f t="shared" si="356"/>
        <v>#REF!</v>
      </c>
      <c r="M545" s="310" t="e">
        <f t="shared" si="356"/>
        <v>#REF!</v>
      </c>
      <c r="N545" s="310" t="e">
        <f t="shared" si="356"/>
        <v>#REF!</v>
      </c>
      <c r="O545" s="310" t="e">
        <f t="shared" si="356"/>
        <v>#REF!</v>
      </c>
      <c r="P545" s="310" t="e">
        <f t="shared" si="356"/>
        <v>#REF!</v>
      </c>
      <c r="Q545" s="310" t="e">
        <f t="shared" si="356"/>
        <v>#REF!</v>
      </c>
      <c r="R545" s="310" t="e">
        <f t="shared" si="356"/>
        <v>#REF!</v>
      </c>
      <c r="S545" s="310" t="e">
        <f t="shared" si="356"/>
        <v>#REF!</v>
      </c>
      <c r="T545" s="310" t="e">
        <f t="shared" si="356"/>
        <v>#REF!</v>
      </c>
      <c r="U545" s="310" t="e">
        <f t="shared" si="356"/>
        <v>#REF!</v>
      </c>
      <c r="V545" s="310" t="e">
        <f t="shared" si="356"/>
        <v>#REF!</v>
      </c>
      <c r="W545" s="310" t="e">
        <f t="shared" si="356"/>
        <v>#REF!</v>
      </c>
      <c r="X545" s="310" t="e">
        <f t="shared" si="356"/>
        <v>#REF!</v>
      </c>
      <c r="Y545" s="310" t="e">
        <f t="shared" si="356"/>
        <v>#REF!</v>
      </c>
      <c r="Z545" s="310" t="e">
        <f t="shared" si="356"/>
        <v>#REF!</v>
      </c>
      <c r="AA545" s="311"/>
      <c r="AB545" s="309" t="str">
        <f t="shared" si="330"/>
        <v>- Growth</v>
      </c>
      <c r="AC545" s="303" t="str">
        <f t="shared" si="331"/>
        <v>%</v>
      </c>
      <c r="AD545" s="303"/>
      <c r="AE545" s="303"/>
      <c r="AF545" s="310" t="s">
        <v>967</v>
      </c>
      <c r="AG545" s="310" t="e">
        <f t="shared" ref="AG545:AO545" si="357">AG544/AF544-1</f>
        <v>#REF!</v>
      </c>
      <c r="AH545" s="310" t="e">
        <f t="shared" si="357"/>
        <v>#REF!</v>
      </c>
      <c r="AI545" s="310" t="e">
        <f t="shared" si="357"/>
        <v>#REF!</v>
      </c>
      <c r="AJ545" s="310" t="e">
        <f t="shared" si="357"/>
        <v>#REF!</v>
      </c>
      <c r="AK545" s="310" t="e">
        <f t="shared" si="357"/>
        <v>#REF!</v>
      </c>
      <c r="AL545" s="310" t="e">
        <f t="shared" si="357"/>
        <v>#REF!</v>
      </c>
      <c r="AM545" s="310" t="e">
        <f t="shared" si="357"/>
        <v>#REF!</v>
      </c>
      <c r="AN545" s="310" t="e">
        <f t="shared" si="357"/>
        <v>#REF!</v>
      </c>
      <c r="AO545" s="310" t="e">
        <f t="shared" si="357"/>
        <v>#REF!</v>
      </c>
    </row>
    <row r="546" spans="2:41" collapsed="1">
      <c r="B546" s="301"/>
      <c r="C546" s="309" t="s">
        <v>1511</v>
      </c>
      <c r="D546" s="303" t="s">
        <v>88</v>
      </c>
      <c r="E546" s="303"/>
      <c r="F546" s="303"/>
      <c r="G546" s="310">
        <f t="shared" ref="G546:Z546" si="358">IFERROR(ROUND( G544 / G543,2) - 1, 0)</f>
        <v>0</v>
      </c>
      <c r="H546" s="310">
        <f t="shared" si="358"/>
        <v>0</v>
      </c>
      <c r="I546" s="310">
        <f t="shared" si="358"/>
        <v>0</v>
      </c>
      <c r="J546" s="310">
        <f t="shared" si="358"/>
        <v>0</v>
      </c>
      <c r="K546" s="310">
        <f t="shared" si="358"/>
        <v>0</v>
      </c>
      <c r="L546" s="310">
        <f t="shared" si="358"/>
        <v>0</v>
      </c>
      <c r="M546" s="310">
        <f t="shared" si="358"/>
        <v>0</v>
      </c>
      <c r="N546" s="310">
        <f t="shared" si="358"/>
        <v>0</v>
      </c>
      <c r="O546" s="310">
        <f t="shared" si="358"/>
        <v>0</v>
      </c>
      <c r="P546" s="310">
        <f t="shared" si="358"/>
        <v>0</v>
      </c>
      <c r="Q546" s="310">
        <f t="shared" si="358"/>
        <v>0</v>
      </c>
      <c r="R546" s="310">
        <f t="shared" si="358"/>
        <v>0</v>
      </c>
      <c r="S546" s="310">
        <f t="shared" si="358"/>
        <v>0</v>
      </c>
      <c r="T546" s="310">
        <f t="shared" si="358"/>
        <v>0</v>
      </c>
      <c r="U546" s="310">
        <f t="shared" si="358"/>
        <v>0</v>
      </c>
      <c r="V546" s="310">
        <f t="shared" si="358"/>
        <v>0</v>
      </c>
      <c r="W546" s="310">
        <f t="shared" si="358"/>
        <v>0</v>
      </c>
      <c r="X546" s="310">
        <f t="shared" si="358"/>
        <v>0</v>
      </c>
      <c r="Y546" s="310">
        <f t="shared" si="358"/>
        <v>0</v>
      </c>
      <c r="Z546" s="310">
        <f t="shared" si="358"/>
        <v>0</v>
      </c>
      <c r="AA546" s="310"/>
      <c r="AB546" s="309" t="str">
        <f t="shared" si="330"/>
        <v>- Revision</v>
      </c>
      <c r="AC546" s="303" t="str">
        <f t="shared" si="331"/>
        <v>%</v>
      </c>
      <c r="AD546" s="303"/>
      <c r="AE546" s="303"/>
      <c r="AF546" s="310">
        <f t="shared" ref="AF546:AO546" si="359">IFERROR(ROUND( AF544 / AF543,2) - 1, 0)</f>
        <v>0</v>
      </c>
      <c r="AG546" s="310">
        <f t="shared" si="359"/>
        <v>0</v>
      </c>
      <c r="AH546" s="310">
        <f t="shared" si="359"/>
        <v>0</v>
      </c>
      <c r="AI546" s="310">
        <f t="shared" si="359"/>
        <v>0</v>
      </c>
      <c r="AJ546" s="310">
        <f t="shared" si="359"/>
        <v>0</v>
      </c>
      <c r="AK546" s="310">
        <f t="shared" si="359"/>
        <v>0</v>
      </c>
      <c r="AL546" s="310">
        <f t="shared" si="359"/>
        <v>0</v>
      </c>
      <c r="AM546" s="310">
        <f t="shared" si="359"/>
        <v>0</v>
      </c>
      <c r="AN546" s="310">
        <f t="shared" si="359"/>
        <v>0</v>
      </c>
      <c r="AO546" s="310">
        <f t="shared" si="359"/>
        <v>0</v>
      </c>
    </row>
    <row r="547" spans="2:41">
      <c r="B547" s="301" t="s">
        <v>1500</v>
      </c>
      <c r="C547" s="302" t="s">
        <v>1574</v>
      </c>
      <c r="D547" s="303" t="str">
        <f t="array" ref="D547">_xlfn.XLOOKUP($B547,$B$114:$B$212,_xlfn.XLOOKUP(D$219,$D$5:$AO$5,$D$114:$AO$212))</f>
        <v>NZ$m</v>
      </c>
      <c r="E547" s="303"/>
      <c r="F547" s="303"/>
      <c r="G547" s="304">
        <f t="array" ref="G547">_xlfn.XLOOKUP($B547,$B$114:$B$212,_xlfn.XLOOKUP(G$219,$D$5:$AO$5,$D$114:$AO$212))</f>
        <v>-17.5</v>
      </c>
      <c r="H547" s="304">
        <f t="array" ref="H547">_xlfn.XLOOKUP($B547,$B$114:$B$212,_xlfn.XLOOKUP(H$219,$D$5:$AO$5,$D$114:$AO$212))</f>
        <v>-19.7</v>
      </c>
      <c r="I547" s="304">
        <f t="array" ref="I547">_xlfn.XLOOKUP($B547,$B$114:$B$212,_xlfn.XLOOKUP(I$219,$D$5:$AO$5,$D$114:$AO$212))</f>
        <v>10.9</v>
      </c>
      <c r="J547" s="304">
        <f t="array" ref="J547">_xlfn.XLOOKUP($B547,$B$114:$B$212,_xlfn.XLOOKUP(J$219,$D$5:$AO$5,$D$114:$AO$212))</f>
        <v>-11.7</v>
      </c>
      <c r="K547" s="304">
        <f t="array" ref="K547">_xlfn.XLOOKUP($B547,$B$114:$B$212,_xlfn.XLOOKUP(K$219,$D$5:$AO$5,$D$114:$AO$212))</f>
        <v>-22.2</v>
      </c>
      <c r="L547" s="304">
        <f t="array" ref="L547">_xlfn.XLOOKUP($B547,$B$114:$B$212,_xlfn.XLOOKUP(L$219,$D$5:$AO$5,$D$114:$AO$212))</f>
        <v>-21.56</v>
      </c>
      <c r="M547" s="304">
        <f t="array" ref="M547">_xlfn.XLOOKUP($B547,$B$114:$B$212,_xlfn.XLOOKUP(M$219,$D$5:$AO$5,$D$114:$AO$212))</f>
        <v>-25.4</v>
      </c>
      <c r="N547" s="304">
        <f t="array" ref="N547">_xlfn.XLOOKUP($B547,$B$114:$B$212,_xlfn.XLOOKUP(N$219,$D$5:$AO$5,$D$114:$AO$212))</f>
        <v>-148.08799999999999</v>
      </c>
      <c r="O547" s="304">
        <f t="array" ref="O547">_xlfn.XLOOKUP($B547,$B$114:$B$212,_xlfn.XLOOKUP(O$219,$D$5:$AO$5,$D$114:$AO$212))</f>
        <v>-17.7</v>
      </c>
      <c r="P547" s="304">
        <f t="array" ref="P547">_xlfn.XLOOKUP($B547,$B$114:$B$212,_xlfn.XLOOKUP(P$219,$D$5:$AO$5,$D$114:$AO$212))</f>
        <v>-12.21495495177037</v>
      </c>
      <c r="Q547" s="304">
        <f t="array" ref="Q547">_xlfn.XLOOKUP($B547,$B$114:$B$212,_xlfn.XLOOKUP(Q$219,$D$5:$AO$5,$D$114:$AO$212))</f>
        <v>-8.6845948898232453E-2</v>
      </c>
      <c r="R547" s="304">
        <f t="array" ref="R547">_xlfn.XLOOKUP($B547,$B$114:$B$212,_xlfn.XLOOKUP(R$219,$D$5:$AO$5,$D$114:$AO$212))</f>
        <v>-13.76431471835655</v>
      </c>
      <c r="S547" s="304">
        <f t="array" ref="S547">_xlfn.XLOOKUP($B547,$B$114:$B$212,_xlfn.XLOOKUP(S$219,$D$5:$AO$5,$D$114:$AO$212))</f>
        <v>-17.082601008724609</v>
      </c>
      <c r="T547" s="304">
        <f t="array" ref="T547">_xlfn.XLOOKUP($B547,$B$114:$B$212,_xlfn.XLOOKUP(T$219,$D$5:$AO$5,$D$114:$AO$212))</f>
        <v>-20.229104677049239</v>
      </c>
      <c r="U547" s="304">
        <f t="array" ref="U547">_xlfn.XLOOKUP($B547,$B$114:$B$212,_xlfn.XLOOKUP(U$219,$D$5:$AO$5,$D$114:$AO$212))</f>
        <v>-20.949971386321302</v>
      </c>
      <c r="V547" s="304">
        <f t="array" ref="V547">_xlfn.XLOOKUP($B547,$B$114:$B$212,_xlfn.XLOOKUP(V$219,$D$5:$AO$5,$D$114:$AO$212))</f>
        <v>-23.402263714009312</v>
      </c>
      <c r="W547" s="304">
        <f t="array" ref="W547">_xlfn.XLOOKUP($B547,$B$114:$B$212,_xlfn.XLOOKUP(W$219,$D$5:$AO$5,$D$114:$AO$212))</f>
        <v>-24.472547822122781</v>
      </c>
      <c r="X547" s="304">
        <f t="array" ref="X547">_xlfn.XLOOKUP($B547,$B$114:$B$212,_xlfn.XLOOKUP(X$219,$D$5:$AO$5,$D$114:$AO$212))</f>
        <v>-26.458924748850389</v>
      </c>
      <c r="Y547" s="304">
        <f t="array" ref="Y547">_xlfn.XLOOKUP($B547,$B$114:$B$212,_xlfn.XLOOKUP(Y$219,$D$5:$AO$5,$D$114:$AO$212))</f>
        <v>-25.67168778137248</v>
      </c>
      <c r="Z547" s="304">
        <f t="array" ref="Z547">_xlfn.XLOOKUP($B547,$B$114:$B$212,_xlfn.XLOOKUP(Z$219,$D$5:$AO$5,$D$114:$AO$212))</f>
        <v>-27.782824417499349</v>
      </c>
      <c r="AA547" s="305"/>
      <c r="AB547" s="302" t="str">
        <f t="shared" si="330"/>
        <v>Income Tax Expense - old</v>
      </c>
      <c r="AC547" s="303" t="str">
        <f t="shared" si="331"/>
        <v>NZ$m</v>
      </c>
      <c r="AD547" s="303"/>
      <c r="AE547" s="303"/>
      <c r="AF547" s="304">
        <f t="array" ref="AF547">_xlfn.XLOOKUP($B547,$B$114:$B$212,_xlfn.XLOOKUP(AF$219,$D$5:$AO$5,$D$114:$AO$212))</f>
        <v>-37.200000000000003</v>
      </c>
      <c r="AG547" s="304">
        <f t="array" ref="AG547">_xlfn.XLOOKUP($B547,$B$114:$B$212,_xlfn.XLOOKUP(AG$219,$D$5:$AO$5,$D$114:$AO$212))</f>
        <v>-0.80000000000000071</v>
      </c>
      <c r="AH547" s="304">
        <f t="array" ref="AH547">_xlfn.XLOOKUP($B547,$B$114:$B$212,_xlfn.XLOOKUP(AH$219,$D$5:$AO$5,$D$114:$AO$212))</f>
        <v>-43.76</v>
      </c>
      <c r="AI547" s="304">
        <f t="array" ref="AI547">_xlfn.XLOOKUP($B547,$B$114:$B$212,_xlfn.XLOOKUP(AI$219,$D$5:$AO$5,$D$114:$AO$212))</f>
        <v>-173.488</v>
      </c>
      <c r="AJ547" s="304">
        <f t="array" ref="AJ547">_xlfn.XLOOKUP($B547,$B$114:$B$212,_xlfn.XLOOKUP(AJ$219,$D$5:$AO$5,$D$114:$AO$212))</f>
        <v>-29.914954951770369</v>
      </c>
      <c r="AK547" s="304">
        <f t="array" ref="AK547">_xlfn.XLOOKUP($B547,$B$114:$B$212,_xlfn.XLOOKUP(AK$219,$D$5:$AO$5,$D$114:$AO$212))</f>
        <v>-13.85116066725478</v>
      </c>
      <c r="AL547" s="304">
        <f t="array" ref="AL547">_xlfn.XLOOKUP($B547,$B$114:$B$212,_xlfn.XLOOKUP(AL$219,$D$5:$AO$5,$D$114:$AO$212))</f>
        <v>-37.311705685773838</v>
      </c>
      <c r="AM547" s="304">
        <f t="array" ref="AM547">_xlfn.XLOOKUP($B547,$B$114:$B$212,_xlfn.XLOOKUP(AM$219,$D$5:$AO$5,$D$114:$AO$212))</f>
        <v>-44.35223510033061</v>
      </c>
      <c r="AN547" s="304">
        <f t="array" ref="AN547">_xlfn.XLOOKUP($B547,$B$114:$B$212,_xlfn.XLOOKUP(AN$219,$D$5:$AO$5,$D$114:$AO$212))</f>
        <v>-50.93147257097317</v>
      </c>
      <c r="AO547" s="304">
        <f t="array" ref="AO547">_xlfn.XLOOKUP($B547,$B$114:$B$212,_xlfn.XLOOKUP(AO$219,$D$5:$AO$5,$D$114:$AO$212))</f>
        <v>-53.454512198871832</v>
      </c>
    </row>
    <row r="548" spans="2:41">
      <c r="B548" s="301" t="s">
        <v>1500</v>
      </c>
      <c r="C548" s="306" t="s">
        <v>1575</v>
      </c>
      <c r="D548" s="307" t="str">
        <f t="array" ref="D548">_xlfn.XLOOKUP($B548,$B$11:$B$109,_xlfn.XLOOKUP(D$219,$D$5:$AO$5,$D$11:$AO$109))</f>
        <v>NZ$m</v>
      </c>
      <c r="E548" s="307"/>
      <c r="F548" s="307"/>
      <c r="G548" s="308" t="e">
        <f t="array" ref="G548">_xlfn.XLOOKUP($B548,$B$11:$B$109,_xlfn.XLOOKUP(G$219,$D$5:$AO$5,$D$11:$AO$109))</f>
        <v>#REF!</v>
      </c>
      <c r="H548" s="308" t="e">
        <f t="array" ref="H548">_xlfn.XLOOKUP($B548,$B$11:$B$109,_xlfn.XLOOKUP(H$219,$D$5:$AO$5,$D$11:$AO$109))</f>
        <v>#REF!</v>
      </c>
      <c r="I548" s="308" t="e">
        <f t="array" ref="I548">_xlfn.XLOOKUP($B548,$B$11:$B$109,_xlfn.XLOOKUP(I$219,$D$5:$AO$5,$D$11:$AO$109))</f>
        <v>#REF!</v>
      </c>
      <c r="J548" s="308" t="e">
        <f t="array" ref="J548">_xlfn.XLOOKUP($B548,$B$11:$B$109,_xlfn.XLOOKUP(J$219,$D$5:$AO$5,$D$11:$AO$109))</f>
        <v>#REF!</v>
      </c>
      <c r="K548" s="308" t="e">
        <f t="array" ref="K548">_xlfn.XLOOKUP($B548,$B$11:$B$109,_xlfn.XLOOKUP(K$219,$D$5:$AO$5,$D$11:$AO$109))</f>
        <v>#REF!</v>
      </c>
      <c r="L548" s="308" t="e">
        <f t="array" ref="L548">_xlfn.XLOOKUP($B548,$B$11:$B$109,_xlfn.XLOOKUP(L$219,$D$5:$AO$5,$D$11:$AO$109))</f>
        <v>#REF!</v>
      </c>
      <c r="M548" s="308" t="e">
        <f t="array" ref="M548">_xlfn.XLOOKUP($B548,$B$11:$B$109,_xlfn.XLOOKUP(M$219,$D$5:$AO$5,$D$11:$AO$109))</f>
        <v>#REF!</v>
      </c>
      <c r="N548" s="308" t="e">
        <f t="array" ref="N548">_xlfn.XLOOKUP($B548,$B$11:$B$109,_xlfn.XLOOKUP(N$219,$D$5:$AO$5,$D$11:$AO$109))</f>
        <v>#REF!</v>
      </c>
      <c r="O548" s="308" t="e">
        <f t="array" ref="O548">_xlfn.XLOOKUP($B548,$B$11:$B$109,_xlfn.XLOOKUP(O$219,$D$5:$AO$5,$D$11:$AO$109))</f>
        <v>#REF!</v>
      </c>
      <c r="P548" s="308" t="e">
        <f t="array" ref="P548">_xlfn.XLOOKUP($B548,$B$11:$B$109,_xlfn.XLOOKUP(P$219,$D$5:$AO$5,$D$11:$AO$109))</f>
        <v>#REF!</v>
      </c>
      <c r="Q548" s="308" t="e">
        <f t="array" ref="Q548">_xlfn.XLOOKUP($B548,$B$11:$B$109,_xlfn.XLOOKUP(Q$219,$D$5:$AO$5,$D$11:$AO$109))</f>
        <v>#REF!</v>
      </c>
      <c r="R548" s="308" t="e">
        <f t="array" ref="R548">_xlfn.XLOOKUP($B548,$B$11:$B$109,_xlfn.XLOOKUP(R$219,$D$5:$AO$5,$D$11:$AO$109))</f>
        <v>#REF!</v>
      </c>
      <c r="S548" s="308" t="e">
        <f t="array" ref="S548">_xlfn.XLOOKUP($B548,$B$11:$B$109,_xlfn.XLOOKUP(S$219,$D$5:$AO$5,$D$11:$AO$109))</f>
        <v>#REF!</v>
      </c>
      <c r="T548" s="308" t="e">
        <f t="array" ref="T548">_xlfn.XLOOKUP($B548,$B$11:$B$109,_xlfn.XLOOKUP(T$219,$D$5:$AO$5,$D$11:$AO$109))</f>
        <v>#REF!</v>
      </c>
      <c r="U548" s="308" t="e">
        <f t="array" ref="U548">_xlfn.XLOOKUP($B548,$B$11:$B$109,_xlfn.XLOOKUP(U$219,$D$5:$AO$5,$D$11:$AO$109))</f>
        <v>#REF!</v>
      </c>
      <c r="V548" s="308" t="e">
        <f t="array" ref="V548">_xlfn.XLOOKUP($B548,$B$11:$B$109,_xlfn.XLOOKUP(V$219,$D$5:$AO$5,$D$11:$AO$109))</f>
        <v>#REF!</v>
      </c>
      <c r="W548" s="308" t="e">
        <f t="array" ref="W548">_xlfn.XLOOKUP($B548,$B$11:$B$109,_xlfn.XLOOKUP(W$219,$D$5:$AO$5,$D$11:$AO$109))</f>
        <v>#REF!</v>
      </c>
      <c r="X548" s="308" t="e">
        <f t="array" ref="X548">_xlfn.XLOOKUP($B548,$B$11:$B$109,_xlfn.XLOOKUP(X$219,$D$5:$AO$5,$D$11:$AO$109))</f>
        <v>#REF!</v>
      </c>
      <c r="Y548" s="308" t="e">
        <f t="array" ref="Y548">_xlfn.XLOOKUP($B548,$B$11:$B$109,_xlfn.XLOOKUP(Y$219,$D$5:$AO$5,$D$11:$AO$109))</f>
        <v>#REF!</v>
      </c>
      <c r="Z548" s="308" t="e">
        <f t="array" ref="Z548">_xlfn.XLOOKUP($B548,$B$11:$B$109,_xlfn.XLOOKUP(Z$219,$D$5:$AO$5,$D$11:$AO$109))</f>
        <v>#REF!</v>
      </c>
      <c r="AA548" s="308"/>
      <c r="AB548" s="306" t="str">
        <f t="shared" si="330"/>
        <v>Income Tax Expense - New</v>
      </c>
      <c r="AC548" s="307" t="str">
        <f t="shared" si="331"/>
        <v>NZ$m</v>
      </c>
      <c r="AD548" s="307"/>
      <c r="AE548" s="307"/>
      <c r="AF548" s="308" t="e">
        <f t="array" ref="AF548">_xlfn.XLOOKUP($B548,$B$11:$B$109,_xlfn.XLOOKUP(AF$219,$D$5:$AO$5,$D$11:$AO$109))</f>
        <v>#REF!</v>
      </c>
      <c r="AG548" s="308" t="e">
        <f t="array" ref="AG548">_xlfn.XLOOKUP($B548,$B$11:$B$109,_xlfn.XLOOKUP(AG$219,$D$5:$AO$5,$D$11:$AO$109))</f>
        <v>#REF!</v>
      </c>
      <c r="AH548" s="308" t="e">
        <f t="array" ref="AH548">_xlfn.XLOOKUP($B548,$B$11:$B$109,_xlfn.XLOOKUP(AH$219,$D$5:$AO$5,$D$11:$AO$109))</f>
        <v>#REF!</v>
      </c>
      <c r="AI548" s="308" t="e">
        <f t="array" ref="AI548">_xlfn.XLOOKUP($B548,$B$11:$B$109,_xlfn.XLOOKUP(AI$219,$D$5:$AO$5,$D$11:$AO$109))</f>
        <v>#REF!</v>
      </c>
      <c r="AJ548" s="308" t="e">
        <f t="array" ref="AJ548">_xlfn.XLOOKUP($B548,$B$11:$B$109,_xlfn.XLOOKUP(AJ$219,$D$5:$AO$5,$D$11:$AO$109))</f>
        <v>#REF!</v>
      </c>
      <c r="AK548" s="308" t="e">
        <f t="array" ref="AK548">_xlfn.XLOOKUP($B548,$B$11:$B$109,_xlfn.XLOOKUP(AK$219,$D$5:$AO$5,$D$11:$AO$109))</f>
        <v>#REF!</v>
      </c>
      <c r="AL548" s="308" t="e">
        <f t="array" ref="AL548">_xlfn.XLOOKUP($B548,$B$11:$B$109,_xlfn.XLOOKUP(AL$219,$D$5:$AO$5,$D$11:$AO$109))</f>
        <v>#REF!</v>
      </c>
      <c r="AM548" s="308" t="e">
        <f t="array" ref="AM548">_xlfn.XLOOKUP($B548,$B$11:$B$109,_xlfn.XLOOKUP(AM$219,$D$5:$AO$5,$D$11:$AO$109))</f>
        <v>#REF!</v>
      </c>
      <c r="AN548" s="308" t="e">
        <f t="array" ref="AN548">_xlfn.XLOOKUP($B548,$B$11:$B$109,_xlfn.XLOOKUP(AN$219,$D$5:$AO$5,$D$11:$AO$109))</f>
        <v>#REF!</v>
      </c>
      <c r="AO548" s="308" t="e">
        <f t="array" ref="AO548">_xlfn.XLOOKUP($B548,$B$11:$B$109,_xlfn.XLOOKUP(AO$219,$D$5:$AO$5,$D$11:$AO$109))</f>
        <v>#REF!</v>
      </c>
    </row>
    <row r="549" spans="2:41" hidden="1" outlineLevel="1">
      <c r="B549" s="301"/>
      <c r="C549" s="309" t="s">
        <v>1510</v>
      </c>
      <c r="D549" s="303" t="s">
        <v>88</v>
      </c>
      <c r="E549" s="303"/>
      <c r="F549" s="303"/>
      <c r="G549" s="310" t="s">
        <v>967</v>
      </c>
      <c r="H549" s="310" t="s">
        <v>967</v>
      </c>
      <c r="I549" s="310" t="e">
        <f t="shared" ref="I549:Z549" si="360">I548/G548-1</f>
        <v>#REF!</v>
      </c>
      <c r="J549" s="310" t="e">
        <f t="shared" si="360"/>
        <v>#REF!</v>
      </c>
      <c r="K549" s="310" t="e">
        <f t="shared" si="360"/>
        <v>#REF!</v>
      </c>
      <c r="L549" s="310" t="e">
        <f t="shared" si="360"/>
        <v>#REF!</v>
      </c>
      <c r="M549" s="310" t="e">
        <f t="shared" si="360"/>
        <v>#REF!</v>
      </c>
      <c r="N549" s="310" t="e">
        <f t="shared" si="360"/>
        <v>#REF!</v>
      </c>
      <c r="O549" s="310" t="e">
        <f t="shared" si="360"/>
        <v>#REF!</v>
      </c>
      <c r="P549" s="310" t="e">
        <f t="shared" si="360"/>
        <v>#REF!</v>
      </c>
      <c r="Q549" s="310" t="e">
        <f t="shared" si="360"/>
        <v>#REF!</v>
      </c>
      <c r="R549" s="310" t="e">
        <f t="shared" si="360"/>
        <v>#REF!</v>
      </c>
      <c r="S549" s="310" t="e">
        <f t="shared" si="360"/>
        <v>#REF!</v>
      </c>
      <c r="T549" s="310" t="e">
        <f t="shared" si="360"/>
        <v>#REF!</v>
      </c>
      <c r="U549" s="310" t="e">
        <f t="shared" si="360"/>
        <v>#REF!</v>
      </c>
      <c r="V549" s="310" t="e">
        <f t="shared" si="360"/>
        <v>#REF!</v>
      </c>
      <c r="W549" s="310" t="e">
        <f t="shared" si="360"/>
        <v>#REF!</v>
      </c>
      <c r="X549" s="310" t="e">
        <f t="shared" si="360"/>
        <v>#REF!</v>
      </c>
      <c r="Y549" s="310" t="e">
        <f t="shared" si="360"/>
        <v>#REF!</v>
      </c>
      <c r="Z549" s="310" t="e">
        <f t="shared" si="360"/>
        <v>#REF!</v>
      </c>
      <c r="AA549" s="311"/>
      <c r="AB549" s="309" t="str">
        <f t="shared" si="330"/>
        <v>- Growth</v>
      </c>
      <c r="AC549" s="303" t="str">
        <f t="shared" si="331"/>
        <v>%</v>
      </c>
      <c r="AD549" s="303"/>
      <c r="AE549" s="303"/>
      <c r="AF549" s="310" t="s">
        <v>967</v>
      </c>
      <c r="AG549" s="310" t="e">
        <f t="shared" ref="AG549:AO549" si="361">AG548/AF548-1</f>
        <v>#REF!</v>
      </c>
      <c r="AH549" s="310" t="e">
        <f t="shared" si="361"/>
        <v>#REF!</v>
      </c>
      <c r="AI549" s="310" t="e">
        <f t="shared" si="361"/>
        <v>#REF!</v>
      </c>
      <c r="AJ549" s="310" t="e">
        <f t="shared" si="361"/>
        <v>#REF!</v>
      </c>
      <c r="AK549" s="310" t="e">
        <f t="shared" si="361"/>
        <v>#REF!</v>
      </c>
      <c r="AL549" s="310" t="e">
        <f t="shared" si="361"/>
        <v>#REF!</v>
      </c>
      <c r="AM549" s="310" t="e">
        <f t="shared" si="361"/>
        <v>#REF!</v>
      </c>
      <c r="AN549" s="310" t="e">
        <f t="shared" si="361"/>
        <v>#REF!</v>
      </c>
      <c r="AO549" s="310" t="e">
        <f t="shared" si="361"/>
        <v>#REF!</v>
      </c>
    </row>
    <row r="550" spans="2:41" collapsed="1">
      <c r="B550" s="301"/>
      <c r="C550" s="309" t="s">
        <v>1511</v>
      </c>
      <c r="D550" s="303" t="s">
        <v>88</v>
      </c>
      <c r="E550" s="303"/>
      <c r="F550" s="303"/>
      <c r="G550" s="310">
        <f t="shared" ref="G550:Z550" si="362">IFERROR(ROUND( G548 / G547,2) - 1, 0)</f>
        <v>0</v>
      </c>
      <c r="H550" s="310">
        <f t="shared" si="362"/>
        <v>0</v>
      </c>
      <c r="I550" s="310">
        <f t="shared" si="362"/>
        <v>0</v>
      </c>
      <c r="J550" s="310">
        <f t="shared" si="362"/>
        <v>0</v>
      </c>
      <c r="K550" s="310">
        <f t="shared" si="362"/>
        <v>0</v>
      </c>
      <c r="L550" s="310">
        <f t="shared" si="362"/>
        <v>0</v>
      </c>
      <c r="M550" s="310">
        <f t="shared" si="362"/>
        <v>0</v>
      </c>
      <c r="N550" s="310">
        <f t="shared" si="362"/>
        <v>0</v>
      </c>
      <c r="O550" s="310">
        <f t="shared" si="362"/>
        <v>0</v>
      </c>
      <c r="P550" s="310">
        <f t="shared" si="362"/>
        <v>0</v>
      </c>
      <c r="Q550" s="310">
        <f t="shared" si="362"/>
        <v>0</v>
      </c>
      <c r="R550" s="310">
        <f t="shared" si="362"/>
        <v>0</v>
      </c>
      <c r="S550" s="310">
        <f t="shared" si="362"/>
        <v>0</v>
      </c>
      <c r="T550" s="310">
        <f t="shared" si="362"/>
        <v>0</v>
      </c>
      <c r="U550" s="310">
        <f t="shared" si="362"/>
        <v>0</v>
      </c>
      <c r="V550" s="310">
        <f t="shared" si="362"/>
        <v>0</v>
      </c>
      <c r="W550" s="310">
        <f t="shared" si="362"/>
        <v>0</v>
      </c>
      <c r="X550" s="310">
        <f t="shared" si="362"/>
        <v>0</v>
      </c>
      <c r="Y550" s="310">
        <f t="shared" si="362"/>
        <v>0</v>
      </c>
      <c r="Z550" s="310">
        <f t="shared" si="362"/>
        <v>0</v>
      </c>
      <c r="AA550" s="310"/>
      <c r="AB550" s="309" t="str">
        <f t="shared" si="330"/>
        <v>- Revision</v>
      </c>
      <c r="AC550" s="303" t="str">
        <f t="shared" si="331"/>
        <v>%</v>
      </c>
      <c r="AD550" s="303"/>
      <c r="AE550" s="303"/>
      <c r="AF550" s="310">
        <f t="shared" ref="AF550:AO550" si="363">IFERROR(ROUND( AF548 / AF547,2) - 1, 0)</f>
        <v>0</v>
      </c>
      <c r="AG550" s="310">
        <f t="shared" si="363"/>
        <v>0</v>
      </c>
      <c r="AH550" s="310">
        <f t="shared" si="363"/>
        <v>0</v>
      </c>
      <c r="AI550" s="310">
        <f t="shared" si="363"/>
        <v>0</v>
      </c>
      <c r="AJ550" s="310">
        <f t="shared" si="363"/>
        <v>0</v>
      </c>
      <c r="AK550" s="310">
        <f t="shared" si="363"/>
        <v>0</v>
      </c>
      <c r="AL550" s="310">
        <f t="shared" si="363"/>
        <v>0</v>
      </c>
      <c r="AM550" s="310">
        <f t="shared" si="363"/>
        <v>0</v>
      </c>
      <c r="AN550" s="310">
        <f t="shared" si="363"/>
        <v>0</v>
      </c>
      <c r="AO550" s="310">
        <f t="shared" si="363"/>
        <v>0</v>
      </c>
    </row>
    <row r="551" spans="2:41">
      <c r="B551" s="301" t="s">
        <v>1587</v>
      </c>
      <c r="C551" s="302" t="s">
        <v>1588</v>
      </c>
      <c r="D551" s="303" t="str">
        <f t="array" ref="D551">_xlfn.XLOOKUP($B551,$B$114:$B$212,_xlfn.XLOOKUP(D$219,$D$5:$AO$5,$D$114:$AO$212))</f>
        <v>NZ$m</v>
      </c>
      <c r="E551" s="303"/>
      <c r="F551" s="303"/>
      <c r="G551" s="304">
        <f t="array" ref="G551">_xlfn.XLOOKUP($B551,$B$114:$B$212,_xlfn.XLOOKUP(G$219,$D$5:$AO$5,$D$114:$AO$212))</f>
        <v>77.900000000000006</v>
      </c>
      <c r="H551" s="304">
        <f t="array" ref="H551">_xlfn.XLOOKUP($B551,$B$114:$B$212,_xlfn.XLOOKUP(H$219,$D$5:$AO$5,$D$114:$AO$212))</f>
        <v>77.900000000000006</v>
      </c>
      <c r="I551" s="304">
        <f t="array" ref="I551">_xlfn.XLOOKUP($B551,$B$114:$B$212,_xlfn.XLOOKUP(I$219,$D$5:$AO$5,$D$114:$AO$212))</f>
        <v>-33.700000000000003</v>
      </c>
      <c r="J551" s="304">
        <f t="array" ref="J551">_xlfn.XLOOKUP($B551,$B$114:$B$212,_xlfn.XLOOKUP(J$219,$D$5:$AO$5,$D$114:$AO$212))</f>
        <v>0.10000000000000139</v>
      </c>
      <c r="K551" s="304">
        <f t="array" ref="K551">_xlfn.XLOOKUP($B551,$B$114:$B$212,_xlfn.XLOOKUP(K$219,$D$5:$AO$5,$D$114:$AO$212))</f>
        <v>22.8</v>
      </c>
      <c r="L551" s="304">
        <f t="array" ref="L551">_xlfn.XLOOKUP($B551,$B$114:$B$212,_xlfn.XLOOKUP(L$219,$D$5:$AO$5,$D$114:$AO$212))</f>
        <v>-14.824999999999999</v>
      </c>
      <c r="M551" s="304">
        <f t="array" ref="M551">_xlfn.XLOOKUP($B551,$B$114:$B$212,_xlfn.XLOOKUP(M$219,$D$5:$AO$5,$D$114:$AO$212))</f>
        <v>22.5</v>
      </c>
      <c r="N551" s="304">
        <f t="array" ref="N551">_xlfn.XLOOKUP($B551,$B$114:$B$212,_xlfn.XLOOKUP(N$219,$D$5:$AO$5,$D$114:$AO$212))</f>
        <v>-165.84800000000001</v>
      </c>
      <c r="O551" s="304">
        <f t="array" ref="O551">_xlfn.XLOOKUP($B551,$B$114:$B$212,_xlfn.XLOOKUP(O$219,$D$5:$AO$5,$D$114:$AO$212))</f>
        <v>6.1</v>
      </c>
      <c r="P551" s="304">
        <f t="array" ref="P551">_xlfn.XLOOKUP($B551,$B$114:$B$212,_xlfn.XLOOKUP(P$219,$D$5:$AO$5,$D$114:$AO$212))</f>
        <v>28.50156155413087</v>
      </c>
      <c r="Q551" s="304">
        <f t="array" ref="Q551">_xlfn.XLOOKUP($B551,$B$114:$B$212,_xlfn.XLOOKUP(Q$219,$D$5:$AO$5,$D$114:$AO$212))</f>
        <v>0.20264054742920909</v>
      </c>
      <c r="R551" s="304">
        <f t="array" ref="R551">_xlfn.XLOOKUP($B551,$B$114:$B$212,_xlfn.XLOOKUP(R$219,$D$5:$AO$5,$D$114:$AO$212))</f>
        <v>32.116734342831947</v>
      </c>
      <c r="S551" s="304">
        <f t="array" ref="S551">_xlfn.XLOOKUP($B551,$B$114:$B$212,_xlfn.XLOOKUP(S$219,$D$5:$AO$5,$D$114:$AO$212))</f>
        <v>39.85940235369074</v>
      </c>
      <c r="T551" s="304">
        <f t="array" ref="T551">_xlfn.XLOOKUP($B551,$B$114:$B$212,_xlfn.XLOOKUP(T$219,$D$5:$AO$5,$D$114:$AO$212))</f>
        <v>47.201244246448233</v>
      </c>
      <c r="U551" s="304">
        <f t="array" ref="U551">_xlfn.XLOOKUP($B551,$B$114:$B$212,_xlfn.XLOOKUP(U$219,$D$5:$AO$5,$D$114:$AO$212))</f>
        <v>48.883266568083037</v>
      </c>
      <c r="V551" s="304">
        <f t="array" ref="V551">_xlfn.XLOOKUP($B551,$B$114:$B$212,_xlfn.XLOOKUP(V$219,$D$5:$AO$5,$D$114:$AO$212))</f>
        <v>54.605281999355057</v>
      </c>
      <c r="W551" s="304">
        <f t="array" ref="W551">_xlfn.XLOOKUP($B551,$B$114:$B$212,_xlfn.XLOOKUP(W$219,$D$5:$AO$5,$D$114:$AO$212))</f>
        <v>57.102611584953173</v>
      </c>
      <c r="X551" s="304">
        <f t="array" ref="X551">_xlfn.XLOOKUP($B551,$B$114:$B$212,_xlfn.XLOOKUP(X$219,$D$5:$AO$5,$D$114:$AO$212))</f>
        <v>61.737491080650912</v>
      </c>
      <c r="Y551" s="304">
        <f t="array" ref="Y551">_xlfn.XLOOKUP($B551,$B$114:$B$212,_xlfn.XLOOKUP(Y$219,$D$5:$AO$5,$D$114:$AO$212))</f>
        <v>59.900604823202457</v>
      </c>
      <c r="Z551" s="304">
        <f t="array" ref="Z551">_xlfn.XLOOKUP($B551,$B$114:$B$212,_xlfn.XLOOKUP(Z$219,$D$5:$AO$5,$D$114:$AO$212))</f>
        <v>64.826590307498492</v>
      </c>
      <c r="AA551" s="305"/>
      <c r="AB551" s="302" t="str">
        <f t="shared" si="330"/>
        <v>Reported NPAT - old</v>
      </c>
      <c r="AC551" s="303" t="str">
        <f t="shared" si="331"/>
        <v>NZ$m</v>
      </c>
      <c r="AD551" s="303"/>
      <c r="AE551" s="303"/>
      <c r="AF551" s="304">
        <f t="array" ref="AF551">_xlfn.XLOOKUP($B551,$B$114:$B$212,_xlfn.XLOOKUP(AF$219,$D$5:$AO$5,$D$114:$AO$212))</f>
        <v>155.80000000000001</v>
      </c>
      <c r="AG551" s="304">
        <f t="array" ref="AG551">_xlfn.XLOOKUP($B551,$B$114:$B$212,_xlfn.XLOOKUP(AG$219,$D$5:$AO$5,$D$114:$AO$212))</f>
        <v>-33.6</v>
      </c>
      <c r="AH551" s="304">
        <f t="array" ref="AH551">_xlfn.XLOOKUP($B551,$B$114:$B$212,_xlfn.XLOOKUP(AH$219,$D$5:$AO$5,$D$114:$AO$212))</f>
        <v>7.9749999999999996</v>
      </c>
      <c r="AI551" s="304">
        <f t="array" ref="AI551">_xlfn.XLOOKUP($B551,$B$114:$B$212,_xlfn.XLOOKUP(AI$219,$D$5:$AO$5,$D$114:$AO$212))</f>
        <v>-143.34800000000001</v>
      </c>
      <c r="AJ551" s="304">
        <f t="array" ref="AJ551">_xlfn.XLOOKUP($B551,$B$114:$B$212,_xlfn.XLOOKUP(AJ$219,$D$5:$AO$5,$D$114:$AO$212))</f>
        <v>34.601561554130868</v>
      </c>
      <c r="AK551" s="304">
        <f t="array" ref="AK551">_xlfn.XLOOKUP($B551,$B$114:$B$212,_xlfn.XLOOKUP(AK$219,$D$5:$AO$5,$D$114:$AO$212))</f>
        <v>32.319374890261173</v>
      </c>
      <c r="AL551" s="304">
        <f t="array" ref="AL551">_xlfn.XLOOKUP($B551,$B$114:$B$212,_xlfn.XLOOKUP(AL$219,$D$5:$AO$5,$D$114:$AO$212))</f>
        <v>87.060646600138966</v>
      </c>
      <c r="AM551" s="304">
        <f t="array" ref="AM551">_xlfn.XLOOKUP($B551,$B$114:$B$212,_xlfn.XLOOKUP(AM$219,$D$5:$AO$5,$D$114:$AO$212))</f>
        <v>103.4885485674381</v>
      </c>
      <c r="AN551" s="304">
        <f t="array" ref="AN551">_xlfn.XLOOKUP($B551,$B$114:$B$212,_xlfn.XLOOKUP(AN$219,$D$5:$AO$5,$D$114:$AO$212))</f>
        <v>118.84010266560411</v>
      </c>
      <c r="AO551" s="304">
        <f t="array" ref="AO551">_xlfn.XLOOKUP($B551,$B$114:$B$212,_xlfn.XLOOKUP(AO$219,$D$5:$AO$5,$D$114:$AO$212))</f>
        <v>124.72719513070091</v>
      </c>
    </row>
    <row r="552" spans="2:41">
      <c r="B552" s="301" t="s">
        <v>1587</v>
      </c>
      <c r="C552" s="306" t="s">
        <v>1589</v>
      </c>
      <c r="D552" s="307" t="str">
        <f t="array" ref="D552">_xlfn.XLOOKUP($B552,$B$11:$B$109,_xlfn.XLOOKUP(D$219,$D$5:$AO$5,$D$11:$AO$109))</f>
        <v>NZ$m</v>
      </c>
      <c r="E552" s="307"/>
      <c r="F552" s="307"/>
      <c r="G552" s="308">
        <f t="array" ref="G552">_xlfn.XLOOKUP($B552,$B$11:$B$109,_xlfn.XLOOKUP(G$219,$D$5:$AO$5,$D$11:$AO$109))</f>
        <v>77.900000000000006</v>
      </c>
      <c r="H552" s="308">
        <f t="array" ref="H552">_xlfn.XLOOKUP($B552,$B$11:$B$109,_xlfn.XLOOKUP(H$219,$D$5:$AO$5,$D$11:$AO$109))</f>
        <v>77.900000000000006</v>
      </c>
      <c r="I552" s="308">
        <f t="array" ref="I552">_xlfn.XLOOKUP($B552,$B$11:$B$109,_xlfn.XLOOKUP(I$219,$D$5:$AO$5,$D$11:$AO$109))</f>
        <v>-33.700000000000003</v>
      </c>
      <c r="J552" s="308">
        <f t="array" ref="J552">_xlfn.XLOOKUP($B552,$B$11:$B$109,_xlfn.XLOOKUP(J$219,$D$5:$AO$5,$D$11:$AO$109))</f>
        <v>0.10000000000000142</v>
      </c>
      <c r="K552" s="308">
        <f t="array" ref="K552">_xlfn.XLOOKUP($B552,$B$11:$B$109,_xlfn.XLOOKUP(K$219,$D$5:$AO$5,$D$11:$AO$109))</f>
        <v>22.8</v>
      </c>
      <c r="L552" s="308">
        <f t="array" ref="L552">_xlfn.XLOOKUP($B552,$B$11:$B$109,_xlfn.XLOOKUP(L$219,$D$5:$AO$5,$D$11:$AO$109))</f>
        <v>-14.825000000000001</v>
      </c>
      <c r="M552" s="308">
        <f t="array" ref="M552">_xlfn.XLOOKUP($B552,$B$11:$B$109,_xlfn.XLOOKUP(M$219,$D$5:$AO$5,$D$11:$AO$109))</f>
        <v>22.5</v>
      </c>
      <c r="N552" s="308">
        <f t="array" ref="N552">_xlfn.XLOOKUP($B552,$B$11:$B$109,_xlfn.XLOOKUP(N$219,$D$5:$AO$5,$D$11:$AO$109))</f>
        <v>-165.8</v>
      </c>
      <c r="O552" s="308">
        <f t="array" ref="O552">_xlfn.XLOOKUP($B552,$B$11:$B$109,_xlfn.XLOOKUP(O$219,$D$5:$AO$5,$D$11:$AO$109))</f>
        <v>6.1</v>
      </c>
      <c r="P552" s="308">
        <f t="array" ref="P552">_xlfn.XLOOKUP($B552,$B$11:$B$109,_xlfn.XLOOKUP(P$219,$D$5:$AO$5,$D$11:$AO$109))</f>
        <v>23.1</v>
      </c>
      <c r="Q552" s="308">
        <f t="array" ref="Q552">_xlfn.XLOOKUP($B552,$B$11:$B$109,_xlfn.XLOOKUP(Q$219,$D$5:$AO$5,$D$11:$AO$109))</f>
        <v>12.1</v>
      </c>
      <c r="R552" s="308">
        <f t="array" ref="R552">_xlfn.XLOOKUP($B552,$B$11:$B$109,_xlfn.XLOOKUP(R$219,$D$5:$AO$5,$D$11:$AO$109))</f>
        <v>6.1</v>
      </c>
      <c r="S552" s="308">
        <f t="array" ref="S552">_xlfn.XLOOKUP($B552,$B$11:$B$109,_xlfn.XLOOKUP(S$219,$D$5:$AO$5,$D$11:$AO$109))</f>
        <v>-27.579991419992471</v>
      </c>
      <c r="T552" s="308">
        <f t="array" ref="T552">_xlfn.XLOOKUP($B552,$B$11:$B$109,_xlfn.XLOOKUP(T$219,$D$5:$AO$5,$D$11:$AO$109))</f>
        <v>11.030314271929804</v>
      </c>
      <c r="U552" s="308">
        <f t="array" ref="U552">_xlfn.XLOOKUP($B552,$B$11:$B$109,_xlfn.XLOOKUP(U$219,$D$5:$AO$5,$D$11:$AO$109))</f>
        <v>8.0077433616119578</v>
      </c>
      <c r="V552" s="308">
        <f t="array" ref="V552">_xlfn.XLOOKUP($B552,$B$11:$B$109,_xlfn.XLOOKUP(V$219,$D$5:$AO$5,$D$11:$AO$109))</f>
        <v>29.756667714427941</v>
      </c>
      <c r="W552" s="308">
        <f t="array" ref="W552">_xlfn.XLOOKUP($B552,$B$11:$B$109,_xlfn.XLOOKUP(W$219,$D$5:$AO$5,$D$11:$AO$109))</f>
        <v>29.616760165445974</v>
      </c>
      <c r="X552" s="308">
        <f t="array" ref="X552">_xlfn.XLOOKUP($B552,$B$11:$B$109,_xlfn.XLOOKUP(X$219,$D$5:$AO$5,$D$11:$AO$109))</f>
        <v>37.960595380417246</v>
      </c>
      <c r="Y552" s="308">
        <f t="array" ref="Y552">_xlfn.XLOOKUP($B552,$B$11:$B$109,_xlfn.XLOOKUP(Y$219,$D$5:$AO$5,$D$11:$AO$109))</f>
        <v>41.284732032036537</v>
      </c>
      <c r="Z552" s="308">
        <f t="array" ref="Z552">_xlfn.XLOOKUP($B552,$B$11:$B$109,_xlfn.XLOOKUP(Z$219,$D$5:$AO$5,$D$11:$AO$109))</f>
        <v>42.746235374936703</v>
      </c>
      <c r="AA552" s="308"/>
      <c r="AB552" s="306" t="str">
        <f t="shared" si="330"/>
        <v>Reported NPAT - New</v>
      </c>
      <c r="AC552" s="307" t="str">
        <f t="shared" si="331"/>
        <v>NZ$m</v>
      </c>
      <c r="AD552" s="307"/>
      <c r="AE552" s="307"/>
      <c r="AF552" s="308">
        <f t="array" ref="AF552">_xlfn.XLOOKUP($B552,$B$11:$B$109,_xlfn.XLOOKUP(AF$219,$D$5:$AO$5,$D$11:$AO$109))</f>
        <v>155.80000000000001</v>
      </c>
      <c r="AG552" s="308">
        <f t="array" ref="AG552">_xlfn.XLOOKUP($B552,$B$11:$B$109,_xlfn.XLOOKUP(AG$219,$D$5:$AO$5,$D$11:$AO$109))</f>
        <v>-33.6</v>
      </c>
      <c r="AH552" s="308">
        <f t="array" ref="AH552">_xlfn.XLOOKUP($B552,$B$11:$B$109,_xlfn.XLOOKUP(AH$219,$D$5:$AO$5,$D$11:$AO$109))</f>
        <v>7.9749999999999996</v>
      </c>
      <c r="AI552" s="308">
        <f t="array" ref="AI552">_xlfn.XLOOKUP($B552,$B$11:$B$109,_xlfn.XLOOKUP(AI$219,$D$5:$AO$5,$D$11:$AO$109))</f>
        <v>-143.30000000000001</v>
      </c>
      <c r="AJ552" s="308">
        <f t="array" ref="AJ552">_xlfn.XLOOKUP($B552,$B$11:$B$109,_xlfn.XLOOKUP(AJ$219,$D$5:$AO$5,$D$11:$AO$109))</f>
        <v>29.200000000000003</v>
      </c>
      <c r="AK552" s="308">
        <f t="array" ref="AK552">_xlfn.XLOOKUP($B552,$B$11:$B$109,_xlfn.XLOOKUP(AK$219,$D$5:$AO$5,$D$11:$AO$109))</f>
        <v>18.2</v>
      </c>
      <c r="AL552" s="308">
        <f t="array" ref="AL552">_xlfn.XLOOKUP($B552,$B$11:$B$109,_xlfn.XLOOKUP(AL$219,$D$5:$AO$5,$D$11:$AO$109))</f>
        <v>-16.549677148062667</v>
      </c>
      <c r="AM552" s="308">
        <f t="array" ref="AM552">_xlfn.XLOOKUP($B552,$B$11:$B$109,_xlfn.XLOOKUP(AM$219,$D$5:$AO$5,$D$11:$AO$109))</f>
        <v>37.764411076039899</v>
      </c>
      <c r="AN552" s="308">
        <f t="array" ref="AN552">_xlfn.XLOOKUP($B552,$B$11:$B$109,_xlfn.XLOOKUP(AN$219,$D$5:$AO$5,$D$11:$AO$109))</f>
        <v>67.577355545863213</v>
      </c>
      <c r="AO552" s="308">
        <f t="array" ref="AO552">_xlfn.XLOOKUP($B552,$B$11:$B$109,_xlfn.XLOOKUP(AO$219,$D$5:$AO$5,$D$11:$AO$109))</f>
        <v>84.030967406973247</v>
      </c>
    </row>
    <row r="553" spans="2:41" hidden="1" outlineLevel="1">
      <c r="B553" s="301"/>
      <c r="C553" s="309" t="s">
        <v>1510</v>
      </c>
      <c r="D553" s="303" t="s">
        <v>88</v>
      </c>
      <c r="E553" s="303"/>
      <c r="F553" s="303"/>
      <c r="G553" s="310" t="s">
        <v>967</v>
      </c>
      <c r="H553" s="310" t="s">
        <v>967</v>
      </c>
      <c r="I553" s="310">
        <f t="shared" ref="I553:Z553" si="364">I552/G552-1</f>
        <v>-1.4326059050064184</v>
      </c>
      <c r="J553" s="310">
        <f t="shared" si="364"/>
        <v>-0.99871630295250324</v>
      </c>
      <c r="K553" s="310">
        <f t="shared" si="364"/>
        <v>-1.6765578635014835</v>
      </c>
      <c r="L553" s="310">
        <f t="shared" si="364"/>
        <v>-149.2499999999979</v>
      </c>
      <c r="M553" s="310">
        <f t="shared" si="364"/>
        <v>-1.3157894736842146E-2</v>
      </c>
      <c r="N553" s="310">
        <f t="shared" si="364"/>
        <v>10.183811129848229</v>
      </c>
      <c r="O553" s="310">
        <f t="shared" si="364"/>
        <v>-0.72888888888888892</v>
      </c>
      <c r="P553" s="310">
        <f t="shared" si="364"/>
        <v>-1.1393244873341375</v>
      </c>
      <c r="Q553" s="310">
        <f t="shared" si="364"/>
        <v>0.98360655737704916</v>
      </c>
      <c r="R553" s="310">
        <f t="shared" si="364"/>
        <v>-0.73593073593073588</v>
      </c>
      <c r="S553" s="310">
        <f t="shared" si="364"/>
        <v>-3.2793381338836753</v>
      </c>
      <c r="T553" s="310">
        <f t="shared" si="364"/>
        <v>0.80824824129996786</v>
      </c>
      <c r="U553" s="310">
        <f t="shared" si="364"/>
        <v>-1.290346115039297</v>
      </c>
      <c r="V553" s="310">
        <f t="shared" si="364"/>
        <v>1.6977171258078649</v>
      </c>
      <c r="W553" s="310">
        <f t="shared" si="364"/>
        <v>2.6985151531484801</v>
      </c>
      <c r="X553" s="310">
        <f t="shared" si="364"/>
        <v>0.27570048315630169</v>
      </c>
      <c r="Y553" s="310">
        <f t="shared" si="364"/>
        <v>0.39396516706792406</v>
      </c>
      <c r="Z553" s="310">
        <f t="shared" si="364"/>
        <v>0.12606862317518419</v>
      </c>
      <c r="AA553" s="311"/>
      <c r="AB553" s="309" t="str">
        <f t="shared" si="330"/>
        <v>- Growth</v>
      </c>
      <c r="AC553" s="303" t="str">
        <f t="shared" si="331"/>
        <v>%</v>
      </c>
      <c r="AD553" s="303"/>
      <c r="AE553" s="303"/>
      <c r="AF553" s="310" t="s">
        <v>967</v>
      </c>
      <c r="AG553" s="310">
        <f t="shared" ref="AG553:AO553" si="365">AG552/AF552-1</f>
        <v>-1.2156611039794609</v>
      </c>
      <c r="AH553" s="310">
        <f t="shared" si="365"/>
        <v>-1.2373511904761905</v>
      </c>
      <c r="AI553" s="310">
        <f t="shared" si="365"/>
        <v>-18.968652037617556</v>
      </c>
      <c r="AJ553" s="310">
        <f t="shared" si="365"/>
        <v>-1.2037683182135379</v>
      </c>
      <c r="AK553" s="310">
        <f t="shared" si="365"/>
        <v>-0.37671232876712335</v>
      </c>
      <c r="AL553" s="310">
        <f t="shared" si="365"/>
        <v>-1.9093229202232234</v>
      </c>
      <c r="AM553" s="310">
        <f t="shared" si="365"/>
        <v>-3.2818820414548489</v>
      </c>
      <c r="AN553" s="310">
        <f t="shared" si="365"/>
        <v>0.78944550226915911</v>
      </c>
      <c r="AO553" s="310">
        <f t="shared" si="365"/>
        <v>0.24347818478844352</v>
      </c>
    </row>
    <row r="554" spans="2:41" collapsed="1">
      <c r="B554" s="301"/>
      <c r="C554" s="309" t="s">
        <v>1511</v>
      </c>
      <c r="D554" s="303" t="s">
        <v>88</v>
      </c>
      <c r="E554" s="303"/>
      <c r="F554" s="303"/>
      <c r="G554" s="310">
        <f t="shared" ref="G554:Z554" si="366">IFERROR(ROUND( G552 / G551,2) - 1, 0)</f>
        <v>0</v>
      </c>
      <c r="H554" s="310">
        <f t="shared" si="366"/>
        <v>0</v>
      </c>
      <c r="I554" s="310">
        <f t="shared" si="366"/>
        <v>0</v>
      </c>
      <c r="J554" s="310">
        <f t="shared" si="366"/>
        <v>0</v>
      </c>
      <c r="K554" s="310">
        <f t="shared" si="366"/>
        <v>0</v>
      </c>
      <c r="L554" s="310">
        <f t="shared" si="366"/>
        <v>0</v>
      </c>
      <c r="M554" s="310">
        <f t="shared" si="366"/>
        <v>0</v>
      </c>
      <c r="N554" s="310">
        <f t="shared" si="366"/>
        <v>0</v>
      </c>
      <c r="O554" s="310">
        <f t="shared" si="366"/>
        <v>0</v>
      </c>
      <c r="P554" s="310">
        <f t="shared" si="366"/>
        <v>-0.18999999999999995</v>
      </c>
      <c r="Q554" s="310">
        <f t="shared" si="366"/>
        <v>58.71</v>
      </c>
      <c r="R554" s="310">
        <f t="shared" si="366"/>
        <v>-0.81</v>
      </c>
      <c r="S554" s="310">
        <f t="shared" si="366"/>
        <v>-1.69</v>
      </c>
      <c r="T554" s="310">
        <f t="shared" si="366"/>
        <v>-0.77</v>
      </c>
      <c r="U554" s="310">
        <f t="shared" si="366"/>
        <v>-0.84</v>
      </c>
      <c r="V554" s="310">
        <f t="shared" si="366"/>
        <v>-0.45999999999999996</v>
      </c>
      <c r="W554" s="310">
        <f t="shared" si="366"/>
        <v>-0.48</v>
      </c>
      <c r="X554" s="310">
        <f t="shared" si="366"/>
        <v>-0.39</v>
      </c>
      <c r="Y554" s="310">
        <f t="shared" si="366"/>
        <v>-0.31000000000000005</v>
      </c>
      <c r="Z554" s="310">
        <f t="shared" si="366"/>
        <v>-0.33999999999999997</v>
      </c>
      <c r="AA554" s="310"/>
      <c r="AB554" s="309" t="str">
        <f t="shared" si="330"/>
        <v>- Revision</v>
      </c>
      <c r="AC554" s="303" t="str">
        <f t="shared" si="331"/>
        <v>%</v>
      </c>
      <c r="AD554" s="303"/>
      <c r="AE554" s="303"/>
      <c r="AF554" s="310">
        <f t="shared" ref="AF554:AO554" si="367">IFERROR(ROUND( AF552 / AF551,2) - 1, 0)</f>
        <v>0</v>
      </c>
      <c r="AG554" s="310">
        <f t="shared" si="367"/>
        <v>0</v>
      </c>
      <c r="AH554" s="310">
        <f t="shared" si="367"/>
        <v>0</v>
      </c>
      <c r="AI554" s="310">
        <f t="shared" si="367"/>
        <v>0</v>
      </c>
      <c r="AJ554" s="310">
        <f t="shared" si="367"/>
        <v>-0.16000000000000003</v>
      </c>
      <c r="AK554" s="310">
        <f t="shared" si="367"/>
        <v>-0.43999999999999995</v>
      </c>
      <c r="AL554" s="310">
        <f t="shared" si="367"/>
        <v>-1.19</v>
      </c>
      <c r="AM554" s="310">
        <f t="shared" si="367"/>
        <v>-0.64</v>
      </c>
      <c r="AN554" s="310">
        <f t="shared" si="367"/>
        <v>-0.43000000000000005</v>
      </c>
      <c r="AO554" s="310">
        <f t="shared" si="367"/>
        <v>-0.32999999999999996</v>
      </c>
    </row>
    <row r="555" spans="2:41">
      <c r="B555" s="301" t="s">
        <v>1502</v>
      </c>
      <c r="C555" s="302" t="s">
        <v>1590</v>
      </c>
      <c r="D555" s="303" t="str">
        <f t="array" ref="D555">_xlfn.XLOOKUP($B555,$B$114:$B$212,_xlfn.XLOOKUP(D$219,$D$5:$AO$5,$D$114:$AO$212))</f>
        <v>cps</v>
      </c>
      <c r="E555" s="303"/>
      <c r="F555" s="303"/>
      <c r="G555" s="319">
        <f t="array" ref="G555">_xlfn.XLOOKUP($B555,$B$114:$B$212,_xlfn.XLOOKUP(G$219,$D$5:$AO$5,$D$114:$AO$212))</f>
        <v>10.3</v>
      </c>
      <c r="H555" s="319">
        <f t="array" ref="H555">_xlfn.XLOOKUP($B555,$B$114:$B$212,_xlfn.XLOOKUP(H$219,$D$5:$AO$5,$D$114:$AO$212))</f>
        <v>10.3</v>
      </c>
      <c r="I555" s="319">
        <f t="array" ref="I555">_xlfn.XLOOKUP($B555,$B$114:$B$212,_xlfn.XLOOKUP(I$219,$D$5:$AO$5,$D$114:$AO$212))</f>
        <v>-4.5</v>
      </c>
      <c r="J555" s="319">
        <f t="array" ref="J555">_xlfn.XLOOKUP($B555,$B$114:$B$212,_xlfn.XLOOKUP(J$219,$D$5:$AO$5,$D$114:$AO$212))</f>
        <v>9.9999999999999645E-2</v>
      </c>
      <c r="K555" s="319">
        <f t="array" ref="K555">_xlfn.XLOOKUP($B555,$B$114:$B$212,_xlfn.XLOOKUP(K$219,$D$5:$AO$5,$D$114:$AO$212))</f>
        <v>3</v>
      </c>
      <c r="L555" s="319">
        <f t="array" ref="L555">_xlfn.XLOOKUP($B555,$B$114:$B$212,_xlfn.XLOOKUP(L$219,$D$5:$AO$5,$D$114:$AO$212))</f>
        <v>-1.9</v>
      </c>
      <c r="M555" s="319">
        <f t="array" ref="M555">_xlfn.XLOOKUP($B555,$B$114:$B$212,_xlfn.XLOOKUP(M$219,$D$5:$AO$5,$D$114:$AO$212))</f>
        <v>3</v>
      </c>
      <c r="N555" s="319">
        <f t="array" ref="N555">_xlfn.XLOOKUP($B555,$B$114:$B$212,_xlfn.XLOOKUP(N$219,$D$5:$AO$5,$D$114:$AO$212))</f>
        <v>-1.9</v>
      </c>
      <c r="O555" s="319">
        <f t="array" ref="O555">_xlfn.XLOOKUP($B555,$B$114:$B$212,_xlfn.XLOOKUP(O$219,$D$5:$AO$5,$D$114:$AO$212))</f>
        <v>3</v>
      </c>
      <c r="P555" s="319">
        <f t="array" ref="P555">_xlfn.XLOOKUP($B555,$B$114:$B$212,_xlfn.XLOOKUP(P$219,$D$5:$AO$5,$D$114:$AO$212))</f>
        <v>3.7491931411023609</v>
      </c>
      <c r="Q555" s="319">
        <f t="array" ref="Q555">_xlfn.XLOOKUP($B555,$B$114:$B$212,_xlfn.XLOOKUP(Q$219,$D$5:$AO$5,$D$114:$AO$212))</f>
        <v>2.6656032480462659E-2</v>
      </c>
      <c r="R555" s="319">
        <f t="array" ref="R555">_xlfn.XLOOKUP($B555,$B$114:$B$212,_xlfn.XLOOKUP(R$219,$D$5:$AO$5,$D$114:$AO$212))</f>
        <v>4.2247453664622228</v>
      </c>
      <c r="S555" s="319">
        <f t="array" ref="S555">_xlfn.XLOOKUP($B555,$B$114:$B$212,_xlfn.XLOOKUP(S$219,$D$5:$AO$5,$D$114:$AO$212))</f>
        <v>5.2432424668759063</v>
      </c>
      <c r="T555" s="319">
        <f t="array" ref="T555">_xlfn.XLOOKUP($B555,$B$114:$B$212,_xlfn.XLOOKUP(T$219,$D$5:$AO$5,$D$114:$AO$212))</f>
        <v>6.2090135252477898</v>
      </c>
      <c r="U555" s="319">
        <f t="array" ref="U555">_xlfn.XLOOKUP($B555,$B$114:$B$212,_xlfn.XLOOKUP(U$219,$D$5:$AO$5,$D$114:$AO$212))</f>
        <v>6.4302725092328377</v>
      </c>
      <c r="V555" s="319">
        <f t="array" ref="V555">_xlfn.XLOOKUP($B555,$B$114:$B$212,_xlfn.XLOOKUP(V$219,$D$5:$AO$5,$D$114:$AO$212))</f>
        <v>7.1829660403385978</v>
      </c>
      <c r="W555" s="319">
        <f t="array" ref="W555">_xlfn.XLOOKUP($B555,$B$114:$B$212,_xlfn.XLOOKUP(W$219,$D$5:$AO$5,$D$114:$AO$212))</f>
        <v>7.511473337583138</v>
      </c>
      <c r="X555" s="319">
        <f t="array" ref="X555">_xlfn.XLOOKUP($B555,$B$114:$B$212,_xlfn.XLOOKUP(X$219,$D$5:$AO$5,$D$114:$AO$212))</f>
        <v>8.1211612798421271</v>
      </c>
      <c r="Y555" s="319">
        <f t="array" ref="Y555">_xlfn.XLOOKUP($B555,$B$114:$B$212,_xlfn.XLOOKUP(Y$219,$D$5:$AO$5,$D$114:$AO$212))</f>
        <v>7.8795309626985803</v>
      </c>
      <c r="Z555" s="319">
        <f t="array" ref="Z555">_xlfn.XLOOKUP($B555,$B$114:$B$212,_xlfn.XLOOKUP(Z$219,$D$5:$AO$5,$D$114:$AO$212))</f>
        <v>8.5275119849249137</v>
      </c>
      <c r="AA555" s="305"/>
      <c r="AB555" s="302" t="str">
        <f t="shared" si="330"/>
        <v>Reported EPS - diluted - old</v>
      </c>
      <c r="AC555" s="303" t="str">
        <f t="shared" si="331"/>
        <v>cps</v>
      </c>
      <c r="AD555" s="303"/>
      <c r="AE555" s="303"/>
      <c r="AF555" s="319">
        <f t="array" ref="AF555">_xlfn.XLOOKUP($B555,$B$114:$B$212,_xlfn.XLOOKUP(AF$219,$D$5:$AO$5,$D$114:$AO$212))</f>
        <v>20.6</v>
      </c>
      <c r="AG555" s="319">
        <f t="array" ref="AG555">_xlfn.XLOOKUP($B555,$B$114:$B$212,_xlfn.XLOOKUP(AG$219,$D$5:$AO$5,$D$114:$AO$212))</f>
        <v>-4.4000000000000004</v>
      </c>
      <c r="AH555" s="319">
        <f t="array" ref="AH555">_xlfn.XLOOKUP($B555,$B$114:$B$212,_xlfn.XLOOKUP(AH$219,$D$5:$AO$5,$D$114:$AO$212))</f>
        <v>1.1000000000000001</v>
      </c>
      <c r="AI555" s="319">
        <f t="array" ref="AI555">_xlfn.XLOOKUP($B555,$B$114:$B$212,_xlfn.XLOOKUP(AI$219,$D$5:$AO$5,$D$114:$AO$212))</f>
        <v>1.1000000000000001</v>
      </c>
      <c r="AJ555" s="319">
        <f t="array" ref="AJ555">_xlfn.XLOOKUP($B555,$B$114:$B$212,_xlfn.XLOOKUP(AJ$219,$D$5:$AO$5,$D$114:$AO$212))</f>
        <v>6.7491931411023609</v>
      </c>
      <c r="AK555" s="319">
        <f t="array" ref="AK555">_xlfn.XLOOKUP($B555,$B$114:$B$212,_xlfn.XLOOKUP(AK$219,$D$5:$AO$5,$D$114:$AO$212))</f>
        <v>4.2514013989426864</v>
      </c>
      <c r="AL555" s="319">
        <f t="array" ref="AL555">_xlfn.XLOOKUP($B555,$B$114:$B$212,_xlfn.XLOOKUP(AL$219,$D$5:$AO$5,$D$114:$AO$212))</f>
        <v>11.4522559921237</v>
      </c>
      <c r="AM555" s="319">
        <f t="array" ref="AM555">_xlfn.XLOOKUP($B555,$B$114:$B$212,_xlfn.XLOOKUP(AM$219,$D$5:$AO$5,$D$114:$AO$212))</f>
        <v>13.613238549571429</v>
      </c>
      <c r="AN555" s="319">
        <f t="array" ref="AN555">_xlfn.XLOOKUP($B555,$B$114:$B$212,_xlfn.XLOOKUP(AN$219,$D$5:$AO$5,$D$114:$AO$212))</f>
        <v>15.632634617425261</v>
      </c>
      <c r="AO555" s="319">
        <f t="array" ref="AO555">_xlfn.XLOOKUP($B555,$B$114:$B$212,_xlfn.XLOOKUP(AO$219,$D$5:$AO$5,$D$114:$AO$212))</f>
        <v>16.407042947623491</v>
      </c>
    </row>
    <row r="556" spans="2:41">
      <c r="B556" s="301" t="s">
        <v>1502</v>
      </c>
      <c r="C556" s="306" t="s">
        <v>1591</v>
      </c>
      <c r="D556" s="307" t="str">
        <f t="array" ref="D556">_xlfn.XLOOKUP($B556,$B$11:$B$109,_xlfn.XLOOKUP(D$219,$D$5:$AO$5,$D$11:$AO$109))</f>
        <v>cps</v>
      </c>
      <c r="E556" s="307"/>
      <c r="F556" s="307"/>
      <c r="G556" s="320">
        <f t="array" ref="G556">_xlfn.XLOOKUP($B556,$B$11:$B$109,_xlfn.XLOOKUP(G$219,$D$5:$AO$5,$D$11:$AO$109))</f>
        <v>10.3</v>
      </c>
      <c r="H556" s="320">
        <f t="array" ref="H556">_xlfn.XLOOKUP($B556,$B$11:$B$109,_xlfn.XLOOKUP(H$219,$D$5:$AO$5,$D$11:$AO$109))</f>
        <v>10.3</v>
      </c>
      <c r="I556" s="320">
        <f t="array" ref="I556">_xlfn.XLOOKUP($B556,$B$11:$B$109,_xlfn.XLOOKUP(I$219,$D$5:$AO$5,$D$11:$AO$109))</f>
        <v>-4.5</v>
      </c>
      <c r="J556" s="320">
        <f t="array" ref="J556">_xlfn.XLOOKUP($B556,$B$11:$B$109,_xlfn.XLOOKUP(J$219,$D$5:$AO$5,$D$11:$AO$109))</f>
        <v>9.9999999999999645E-2</v>
      </c>
      <c r="K556" s="320">
        <f t="array" ref="K556">_xlfn.XLOOKUP($B556,$B$11:$B$109,_xlfn.XLOOKUP(K$219,$D$5:$AO$5,$D$11:$AO$109))</f>
        <v>3</v>
      </c>
      <c r="L556" s="320">
        <f t="array" ref="L556">_xlfn.XLOOKUP($B556,$B$11:$B$109,_xlfn.XLOOKUP(L$219,$D$5:$AO$5,$D$11:$AO$109))</f>
        <v>-1.9</v>
      </c>
      <c r="M556" s="320">
        <f t="array" ref="M556">_xlfn.XLOOKUP($B556,$B$11:$B$109,_xlfn.XLOOKUP(M$219,$D$5:$AO$5,$D$11:$AO$109))</f>
        <v>3</v>
      </c>
      <c r="N556" s="320">
        <f t="array" ref="N556">_xlfn.XLOOKUP($B556,$B$11:$B$109,_xlfn.XLOOKUP(N$219,$D$5:$AO$5,$D$11:$AO$109))</f>
        <v>-1.9</v>
      </c>
      <c r="O556" s="320">
        <f t="array" ref="O556">_xlfn.XLOOKUP($B556,$B$11:$B$109,_xlfn.XLOOKUP(O$219,$D$5:$AO$5,$D$11:$AO$109))</f>
        <v>3</v>
      </c>
      <c r="P556" s="320">
        <f t="array" ref="P556">_xlfn.XLOOKUP($B556,$B$11:$B$109,_xlfn.XLOOKUP(P$219,$D$5:$AO$5,$D$11:$AO$109))</f>
        <v>0.89999999999999991</v>
      </c>
      <c r="Q556" s="320">
        <f t="array" ref="Q556">_xlfn.XLOOKUP($B556,$B$11:$B$109,_xlfn.XLOOKUP(Q$219,$D$5:$AO$5,$D$11:$AO$109))</f>
        <v>1.2</v>
      </c>
      <c r="R556" s="320">
        <f t="array" ref="R556">_xlfn.XLOOKUP($B556,$B$11:$B$109,_xlfn.XLOOKUP(R$219,$D$5:$AO$5,$D$11:$AO$109))</f>
        <v>0.60000000000000009</v>
      </c>
      <c r="S556" s="320">
        <f t="array" ref="S556">_xlfn.XLOOKUP($B556,$B$11:$B$109,_xlfn.XLOOKUP(S$219,$D$5:$AO$5,$D$11:$AO$109))</f>
        <v>-2.5003277483750517</v>
      </c>
      <c r="T556" s="320">
        <f t="array" ref="T556">_xlfn.XLOOKUP($B556,$B$11:$B$109,_xlfn.XLOOKUP(T$219,$D$5:$AO$5,$D$11:$AO$109))</f>
        <v>0.99997858691904462</v>
      </c>
      <c r="U556" s="320">
        <f t="array" ref="U556">_xlfn.XLOOKUP($B556,$B$11:$B$109,_xlfn.XLOOKUP(U$219,$D$5:$AO$5,$D$11:$AO$109))</f>
        <v>0.72596044806564919</v>
      </c>
      <c r="V556" s="320">
        <f t="array" ref="V556">_xlfn.XLOOKUP($B556,$B$11:$B$109,_xlfn.XLOOKUP(V$219,$D$5:$AO$5,$D$11:$AO$109))</f>
        <v>2.697659359372655</v>
      </c>
      <c r="W556" s="320">
        <f t="array" ref="W556">_xlfn.XLOOKUP($B556,$B$11:$B$109,_xlfn.XLOOKUP(W$219,$D$5:$AO$5,$D$11:$AO$109))</f>
        <v>2.684975717757264</v>
      </c>
      <c r="X556" s="320">
        <f t="array" ref="X556">_xlfn.XLOOKUP($B556,$B$11:$B$109,_xlfn.XLOOKUP(X$219,$D$5:$AO$5,$D$11:$AO$109))</f>
        <v>3.4414053481428155</v>
      </c>
      <c r="Y556" s="320">
        <f t="array" ref="Y556">_xlfn.XLOOKUP($B556,$B$11:$B$109,_xlfn.XLOOKUP(Y$219,$D$5:$AO$5,$D$11:$AO$109))</f>
        <v>3.7427626249768231</v>
      </c>
      <c r="Z556" s="320">
        <f t="array" ref="Z556">_xlfn.XLOOKUP($B556,$B$11:$B$109,_xlfn.XLOOKUP(Z$219,$D$5:$AO$5,$D$11:$AO$109))</f>
        <v>3.8752585821708951</v>
      </c>
      <c r="AA556" s="308"/>
      <c r="AB556" s="306" t="str">
        <f t="shared" si="330"/>
        <v>Reported EPS - diluted - New</v>
      </c>
      <c r="AC556" s="307" t="str">
        <f t="shared" si="331"/>
        <v>cps</v>
      </c>
      <c r="AD556" s="307"/>
      <c r="AE556" s="307"/>
      <c r="AF556" s="320">
        <f t="array" ref="AF556">_xlfn.XLOOKUP($B556,$B$11:$B$109,_xlfn.XLOOKUP(AF$219,$D$5:$AO$5,$D$11:$AO$109))</f>
        <v>20.6</v>
      </c>
      <c r="AG556" s="320">
        <f t="array" ref="AG556">_xlfn.XLOOKUP($B556,$B$11:$B$109,_xlfn.XLOOKUP(AG$219,$D$5:$AO$5,$D$11:$AO$109))</f>
        <v>-4.4000000000000004</v>
      </c>
      <c r="AH556" s="320">
        <f t="array" ref="AH556">_xlfn.XLOOKUP($B556,$B$11:$B$109,_xlfn.XLOOKUP(AH$219,$D$5:$AO$5,$D$11:$AO$109))</f>
        <v>1.1000000000000001</v>
      </c>
      <c r="AI556" s="320">
        <f t="array" ref="AI556">_xlfn.XLOOKUP($B556,$B$11:$B$109,_xlfn.XLOOKUP(AI$219,$D$5:$AO$5,$D$11:$AO$109))</f>
        <v>1.1000000000000001</v>
      </c>
      <c r="AJ556" s="320">
        <f t="array" ref="AJ556">_xlfn.XLOOKUP($B556,$B$11:$B$109,_xlfn.XLOOKUP(AJ$219,$D$5:$AO$5,$D$11:$AO$109))</f>
        <v>3.9</v>
      </c>
      <c r="AK556" s="320">
        <f t="array" ref="AK556">_xlfn.XLOOKUP($B556,$B$11:$B$109,_xlfn.XLOOKUP(AK$219,$D$5:$AO$5,$D$11:$AO$109))</f>
        <v>1.8</v>
      </c>
      <c r="AL556" s="320">
        <f t="array" ref="AL556">_xlfn.XLOOKUP($B556,$B$11:$B$109,_xlfn.XLOOKUP(AL$219,$D$5:$AO$5,$D$11:$AO$109))</f>
        <v>-1.5003491614560072</v>
      </c>
      <c r="AM556" s="320">
        <f t="array" ref="AM556">_xlfn.XLOOKUP($B556,$B$11:$B$109,_xlfn.XLOOKUP(AM$219,$D$5:$AO$5,$D$11:$AO$109))</f>
        <v>3.4236198074383042</v>
      </c>
      <c r="AN556" s="320">
        <f t="array" ref="AN556">_xlfn.XLOOKUP($B556,$B$11:$B$109,_xlfn.XLOOKUP(AN$219,$D$5:$AO$5,$D$11:$AO$109))</f>
        <v>6.1263810659000795</v>
      </c>
      <c r="AO556" s="320">
        <f t="array" ref="AO556">_xlfn.XLOOKUP($B556,$B$11:$B$109,_xlfn.XLOOKUP(AO$219,$D$5:$AO$5,$D$11:$AO$109))</f>
        <v>7.6180212071477182</v>
      </c>
    </row>
    <row r="557" spans="2:41" hidden="1" outlineLevel="1">
      <c r="B557" s="301"/>
      <c r="C557" s="309" t="s">
        <v>1510</v>
      </c>
      <c r="D557" s="303" t="s">
        <v>88</v>
      </c>
      <c r="E557" s="303"/>
      <c r="F557" s="303"/>
      <c r="G557" s="310" t="s">
        <v>967</v>
      </c>
      <c r="H557" s="310" t="s">
        <v>967</v>
      </c>
      <c r="I557" s="310">
        <f t="shared" ref="I557:Z557" si="368">I556/G556-1</f>
        <v>-1.4368932038834952</v>
      </c>
      <c r="J557" s="310">
        <f t="shared" si="368"/>
        <v>-0.99029126213592233</v>
      </c>
      <c r="K557" s="310">
        <f t="shared" si="368"/>
        <v>-1.6666666666666665</v>
      </c>
      <c r="L557" s="310">
        <f t="shared" si="368"/>
        <v>-20.000000000000068</v>
      </c>
      <c r="M557" s="310">
        <f t="shared" si="368"/>
        <v>0</v>
      </c>
      <c r="N557" s="310">
        <f t="shared" si="368"/>
        <v>0</v>
      </c>
      <c r="O557" s="310">
        <f t="shared" si="368"/>
        <v>0</v>
      </c>
      <c r="P557" s="310">
        <f t="shared" si="368"/>
        <v>-1.4736842105263157</v>
      </c>
      <c r="Q557" s="310">
        <f t="shared" si="368"/>
        <v>-0.60000000000000009</v>
      </c>
      <c r="R557" s="310">
        <f t="shared" si="368"/>
        <v>-0.33333333333333315</v>
      </c>
      <c r="S557" s="310">
        <f t="shared" si="368"/>
        <v>-3.0836064569792097</v>
      </c>
      <c r="T557" s="310">
        <f t="shared" si="368"/>
        <v>0.66663097819840744</v>
      </c>
      <c r="U557" s="310">
        <f t="shared" si="368"/>
        <v>-1.290346115039297</v>
      </c>
      <c r="V557" s="310">
        <f t="shared" si="368"/>
        <v>1.6977171258078645</v>
      </c>
      <c r="W557" s="310">
        <f t="shared" si="368"/>
        <v>2.6985151531484806</v>
      </c>
      <c r="X557" s="310">
        <f t="shared" si="368"/>
        <v>0.27570048315630169</v>
      </c>
      <c r="Y557" s="310">
        <f t="shared" si="368"/>
        <v>0.39396516706792384</v>
      </c>
      <c r="Z557" s="310">
        <f t="shared" si="368"/>
        <v>0.12606862317518397</v>
      </c>
      <c r="AA557" s="311"/>
      <c r="AB557" s="309" t="str">
        <f t="shared" si="330"/>
        <v>- Growth</v>
      </c>
      <c r="AC557" s="303" t="str">
        <f t="shared" si="331"/>
        <v>%</v>
      </c>
      <c r="AD557" s="303"/>
      <c r="AE557" s="303"/>
      <c r="AF557" s="310" t="s">
        <v>967</v>
      </c>
      <c r="AG557" s="310">
        <f t="shared" ref="AG557:AO557" si="369">AG556/AF556-1</f>
        <v>-1.2135922330097086</v>
      </c>
      <c r="AH557" s="310">
        <f t="shared" si="369"/>
        <v>-1.25</v>
      </c>
      <c r="AI557" s="310">
        <f t="shared" si="369"/>
        <v>0</v>
      </c>
      <c r="AJ557" s="310">
        <f t="shared" si="369"/>
        <v>2.545454545454545</v>
      </c>
      <c r="AK557" s="310">
        <f t="shared" si="369"/>
        <v>-0.53846153846153844</v>
      </c>
      <c r="AL557" s="310">
        <f t="shared" si="369"/>
        <v>-1.833527311920004</v>
      </c>
      <c r="AM557" s="310">
        <f t="shared" si="369"/>
        <v>-3.2818820414548489</v>
      </c>
      <c r="AN557" s="310">
        <f t="shared" si="369"/>
        <v>0.78944550226915955</v>
      </c>
      <c r="AO557" s="310">
        <f t="shared" si="369"/>
        <v>0.24347818478844307</v>
      </c>
    </row>
    <row r="558" spans="2:41" collapsed="1">
      <c r="B558" s="301"/>
      <c r="C558" s="309" t="s">
        <v>1511</v>
      </c>
      <c r="D558" s="303" t="s">
        <v>88</v>
      </c>
      <c r="E558" s="303"/>
      <c r="F558" s="303"/>
      <c r="G558" s="310">
        <f t="shared" ref="G558:Z558" si="370">IFERROR(ROUND( G556 / G555,2) - 1, 0)</f>
        <v>0</v>
      </c>
      <c r="H558" s="310">
        <f t="shared" si="370"/>
        <v>0</v>
      </c>
      <c r="I558" s="310">
        <f t="shared" si="370"/>
        <v>0</v>
      </c>
      <c r="J558" s="310">
        <f t="shared" si="370"/>
        <v>0</v>
      </c>
      <c r="K558" s="310">
        <f t="shared" si="370"/>
        <v>0</v>
      </c>
      <c r="L558" s="310">
        <f t="shared" si="370"/>
        <v>0</v>
      </c>
      <c r="M558" s="310">
        <f t="shared" si="370"/>
        <v>0</v>
      </c>
      <c r="N558" s="310">
        <f t="shared" si="370"/>
        <v>0</v>
      </c>
      <c r="O558" s="310">
        <f t="shared" si="370"/>
        <v>0</v>
      </c>
      <c r="P558" s="310">
        <f t="shared" si="370"/>
        <v>-0.76</v>
      </c>
      <c r="Q558" s="310">
        <f t="shared" si="370"/>
        <v>44.02</v>
      </c>
      <c r="R558" s="310">
        <f t="shared" si="370"/>
        <v>-0.86</v>
      </c>
      <c r="S558" s="310">
        <f t="shared" si="370"/>
        <v>-1.48</v>
      </c>
      <c r="T558" s="310">
        <f t="shared" si="370"/>
        <v>-0.84</v>
      </c>
      <c r="U558" s="310">
        <f t="shared" si="370"/>
        <v>-0.89</v>
      </c>
      <c r="V558" s="310">
        <f t="shared" si="370"/>
        <v>-0.62</v>
      </c>
      <c r="W558" s="310">
        <f t="shared" si="370"/>
        <v>-0.64</v>
      </c>
      <c r="X558" s="310">
        <f t="shared" si="370"/>
        <v>-0.58000000000000007</v>
      </c>
      <c r="Y558" s="310">
        <f t="shared" si="370"/>
        <v>-0.53</v>
      </c>
      <c r="Z558" s="310">
        <f t="shared" si="370"/>
        <v>-0.55000000000000004</v>
      </c>
      <c r="AA558" s="310"/>
      <c r="AB558" s="309" t="str">
        <f t="shared" si="330"/>
        <v>- Revision</v>
      </c>
      <c r="AC558" s="303" t="str">
        <f t="shared" si="331"/>
        <v>%</v>
      </c>
      <c r="AD558" s="303"/>
      <c r="AE558" s="303"/>
      <c r="AF558" s="310">
        <f t="shared" ref="AF558:AO558" si="371">IFERROR(ROUND( AF556 / AF555,2) - 1, 0)</f>
        <v>0</v>
      </c>
      <c r="AG558" s="310">
        <f t="shared" si="371"/>
        <v>0</v>
      </c>
      <c r="AH558" s="310">
        <f t="shared" si="371"/>
        <v>0</v>
      </c>
      <c r="AI558" s="310">
        <f t="shared" si="371"/>
        <v>0</v>
      </c>
      <c r="AJ558" s="310">
        <f t="shared" si="371"/>
        <v>-0.42000000000000004</v>
      </c>
      <c r="AK558" s="310">
        <f t="shared" si="371"/>
        <v>-0.58000000000000007</v>
      </c>
      <c r="AL558" s="310">
        <f t="shared" si="371"/>
        <v>-1.1299999999999999</v>
      </c>
      <c r="AM558" s="310">
        <f t="shared" si="371"/>
        <v>-0.75</v>
      </c>
      <c r="AN558" s="310">
        <f t="shared" si="371"/>
        <v>-0.61</v>
      </c>
      <c r="AO558" s="310">
        <f t="shared" si="371"/>
        <v>-0.54</v>
      </c>
    </row>
    <row r="559" spans="2:41">
      <c r="B559" s="301" t="s">
        <v>1503</v>
      </c>
      <c r="C559" s="302" t="s">
        <v>1580</v>
      </c>
      <c r="D559" s="303" t="str">
        <f t="array" ref="D559">_xlfn.XLOOKUP($B559,$B$114:$B$212,_xlfn.XLOOKUP(D$219,$D$5:$AO$5,$D$114:$AO$212))</f>
        <v>cps</v>
      </c>
      <c r="E559" s="303"/>
      <c r="F559" s="303"/>
      <c r="G559" s="319">
        <f t="array" ref="G559">_xlfn.XLOOKUP($B559,$B$114:$B$212,_xlfn.XLOOKUP(G$219,$D$5:$AO$5,$D$114:$AO$212))</f>
        <v>0</v>
      </c>
      <c r="H559" s="319">
        <f t="array" ref="H559">_xlfn.XLOOKUP($B559,$B$114:$B$212,_xlfn.XLOOKUP(H$219,$D$5:$AO$5,$D$114:$AO$212))</f>
        <v>7</v>
      </c>
      <c r="I559" s="319">
        <f t="array" ref="I559">_xlfn.XLOOKUP($B559,$B$114:$B$212,_xlfn.XLOOKUP(I$219,$D$5:$AO$5,$D$114:$AO$212))</f>
        <v>0</v>
      </c>
      <c r="J559" s="319">
        <f t="array" ref="J559">_xlfn.XLOOKUP($B559,$B$114:$B$212,_xlfn.XLOOKUP(J$219,$D$5:$AO$5,$D$114:$AO$212))</f>
        <v>0</v>
      </c>
      <c r="K559" s="319">
        <f t="array" ref="K559">_xlfn.XLOOKUP($B559,$B$114:$B$212,_xlfn.XLOOKUP(K$219,$D$5:$AO$5,$D$114:$AO$212))</f>
        <v>6</v>
      </c>
      <c r="L559" s="319">
        <f t="array" ref="L559">_xlfn.XLOOKUP($B559,$B$114:$B$212,_xlfn.XLOOKUP(L$219,$D$5:$AO$5,$D$114:$AO$212))</f>
        <v>6</v>
      </c>
      <c r="M559" s="319">
        <f t="array" ref="M559">_xlfn.XLOOKUP($B559,$B$114:$B$212,_xlfn.XLOOKUP(M$219,$D$5:$AO$5,$D$114:$AO$212))</f>
        <v>5.25</v>
      </c>
      <c r="N559" s="319">
        <f t="array" ref="N559">_xlfn.XLOOKUP($B559,$B$114:$B$212,_xlfn.XLOOKUP(N$219,$D$5:$AO$5,$D$114:$AO$212))</f>
        <v>0</v>
      </c>
      <c r="O559" s="319">
        <f t="array" ref="O559">_xlfn.XLOOKUP($B559,$B$114:$B$212,_xlfn.XLOOKUP(O$219,$D$5:$AO$5,$D$114:$AO$212))</f>
        <v>0</v>
      </c>
      <c r="P559" s="319">
        <f t="array" ref="P559">_xlfn.XLOOKUP($B559,$B$114:$B$212,_xlfn.XLOOKUP(P$219,$D$5:$AO$5,$D$114:$AO$212))</f>
        <v>0</v>
      </c>
      <c r="Q559" s="319">
        <f t="array" ref="Q559">_xlfn.XLOOKUP($B559,$B$114:$B$212,_xlfn.XLOOKUP(Q$219,$D$5:$AO$5,$D$114:$AO$212))</f>
        <v>2.9993545128818888</v>
      </c>
      <c r="R559" s="319">
        <f t="array" ref="R559">_xlfn.XLOOKUP($B559,$B$114:$B$212,_xlfn.XLOOKUP(R$219,$D$5:$AO$5,$D$114:$AO$212))</f>
        <v>2.1324825984370129E-2</v>
      </c>
      <c r="S559" s="319">
        <f t="array" ref="S559">_xlfn.XLOOKUP($B559,$B$114:$B$212,_xlfn.XLOOKUP(S$219,$D$5:$AO$5,$D$114:$AO$212))</f>
        <v>3.379796293169778</v>
      </c>
      <c r="T559" s="319">
        <f t="array" ref="T559">_xlfn.XLOOKUP($B559,$B$114:$B$212,_xlfn.XLOOKUP(T$219,$D$5:$AO$5,$D$114:$AO$212))</f>
        <v>4.1945939735007256</v>
      </c>
      <c r="U559" s="319">
        <f t="array" ref="U559">_xlfn.XLOOKUP($B559,$B$114:$B$212,_xlfn.XLOOKUP(U$219,$D$5:$AO$5,$D$114:$AO$212))</f>
        <v>4.9672108201982317</v>
      </c>
      <c r="V559" s="319">
        <f t="array" ref="V559">_xlfn.XLOOKUP($B559,$B$114:$B$212,_xlfn.XLOOKUP(V$219,$D$5:$AO$5,$D$114:$AO$212))</f>
        <v>5.1442180073862707</v>
      </c>
      <c r="W559" s="319">
        <f t="array" ref="W559">_xlfn.XLOOKUP($B559,$B$114:$B$212,_xlfn.XLOOKUP(W$219,$D$5:$AO$5,$D$114:$AO$212))</f>
        <v>5.7463728322708789</v>
      </c>
      <c r="X559" s="319">
        <f t="array" ref="X559">_xlfn.XLOOKUP($B559,$B$114:$B$212,_xlfn.XLOOKUP(X$219,$D$5:$AO$5,$D$114:$AO$212))</f>
        <v>6.0091786700665111</v>
      </c>
      <c r="Y559" s="319">
        <f t="array" ref="Y559">_xlfn.XLOOKUP($B559,$B$114:$B$212,_xlfn.XLOOKUP(Y$219,$D$5:$AO$5,$D$114:$AO$212))</f>
        <v>6.4969290238737019</v>
      </c>
      <c r="Z559" s="319">
        <f t="array" ref="Z559">_xlfn.XLOOKUP($B559,$B$114:$B$212,_xlfn.XLOOKUP(Z$219,$D$5:$AO$5,$D$114:$AO$212))</f>
        <v>6.3036247701588648</v>
      </c>
      <c r="AA559" s="305"/>
      <c r="AB559" s="302" t="str">
        <f t="shared" si="330"/>
        <v>DPS - old</v>
      </c>
      <c r="AC559" s="303" t="str">
        <f t="shared" si="331"/>
        <v>cps</v>
      </c>
      <c r="AD559" s="303"/>
      <c r="AE559" s="303"/>
      <c r="AF559" s="319">
        <f t="array" ref="AF559">_xlfn.XLOOKUP($B559,$B$114:$B$212,_xlfn.XLOOKUP(AF$219,$D$5:$AO$5,$D$114:$AO$212))</f>
        <v>7</v>
      </c>
      <c r="AG559" s="319">
        <f t="array" ref="AG559">_xlfn.XLOOKUP($B559,$B$114:$B$212,_xlfn.XLOOKUP(AG$219,$D$5:$AO$5,$D$114:$AO$212))</f>
        <v>0</v>
      </c>
      <c r="AH559" s="319">
        <f t="array" ref="AH559">_xlfn.XLOOKUP($B559,$B$114:$B$212,_xlfn.XLOOKUP(AH$219,$D$5:$AO$5,$D$114:$AO$212))</f>
        <v>12</v>
      </c>
      <c r="AI559" s="319">
        <f t="array" ref="AI559">_xlfn.XLOOKUP($B559,$B$114:$B$212,_xlfn.XLOOKUP(AI$219,$D$5:$AO$5,$D$114:$AO$212))</f>
        <v>5.25</v>
      </c>
      <c r="AJ559" s="319">
        <f t="array" ref="AJ559">_xlfn.XLOOKUP($B559,$B$114:$B$212,_xlfn.XLOOKUP(AJ$219,$D$5:$AO$5,$D$114:$AO$212))</f>
        <v>0</v>
      </c>
      <c r="AK559" s="319">
        <f t="array" ref="AK559">_xlfn.XLOOKUP($B559,$B$114:$B$212,_xlfn.XLOOKUP(AK$219,$D$5:$AO$5,$D$114:$AO$212))</f>
        <v>3.0206793388662589</v>
      </c>
      <c r="AL559" s="319">
        <f t="array" ref="AL559">_xlfn.XLOOKUP($B559,$B$114:$B$212,_xlfn.XLOOKUP(AL$219,$D$5:$AO$5,$D$114:$AO$212))</f>
        <v>7.5743902666705036</v>
      </c>
      <c r="AM559" s="319">
        <f t="array" ref="AM559">_xlfn.XLOOKUP($B559,$B$114:$B$212,_xlfn.XLOOKUP(AM$219,$D$5:$AO$5,$D$114:$AO$212))</f>
        <v>10.111428827584501</v>
      </c>
      <c r="AN559" s="319">
        <f t="array" ref="AN559">_xlfn.XLOOKUP($B559,$B$114:$B$212,_xlfn.XLOOKUP(AN$219,$D$5:$AO$5,$D$114:$AO$212))</f>
        <v>11.75555150233739</v>
      </c>
      <c r="AO559" s="319">
        <f t="array" ref="AO559">_xlfn.XLOOKUP($B559,$B$114:$B$212,_xlfn.XLOOKUP(AO$219,$D$5:$AO$5,$D$114:$AO$212))</f>
        <v>12.80055379403257</v>
      </c>
    </row>
    <row r="560" spans="2:41">
      <c r="B560" s="301" t="s">
        <v>1503</v>
      </c>
      <c r="C560" s="306" t="s">
        <v>1581</v>
      </c>
      <c r="D560" s="307" t="str">
        <f t="array" ref="D560">_xlfn.XLOOKUP($B560,$B$11:$B$109,_xlfn.XLOOKUP(D$219,$D$5:$AO$5,$D$11:$AO$109))</f>
        <v>cps</v>
      </c>
      <c r="E560" s="307"/>
      <c r="F560" s="307"/>
      <c r="G560" s="320">
        <f t="array" ref="G560">_xlfn.XLOOKUP($B560,$B$11:$B$109,_xlfn.XLOOKUP(G$219,$D$5:$AO$5,$D$11:$AO$109))</f>
        <v>0</v>
      </c>
      <c r="H560" s="320">
        <f t="array" ref="H560">_xlfn.XLOOKUP($B560,$B$11:$B$109,_xlfn.XLOOKUP(H$219,$D$5:$AO$5,$D$11:$AO$109))</f>
        <v>7</v>
      </c>
      <c r="I560" s="320">
        <f t="array" ref="I560">_xlfn.XLOOKUP($B560,$B$11:$B$109,_xlfn.XLOOKUP(I$219,$D$5:$AO$5,$D$11:$AO$109))</f>
        <v>0</v>
      </c>
      <c r="J560" s="320">
        <f t="array" ref="J560">_xlfn.XLOOKUP($B560,$B$11:$B$109,_xlfn.XLOOKUP(J$219,$D$5:$AO$5,$D$11:$AO$109))</f>
        <v>0</v>
      </c>
      <c r="K560" s="320">
        <f t="array" ref="K560">_xlfn.XLOOKUP($B560,$B$11:$B$109,_xlfn.XLOOKUP(K$219,$D$5:$AO$5,$D$11:$AO$109))</f>
        <v>6</v>
      </c>
      <c r="L560" s="320">
        <f t="array" ref="L560">_xlfn.XLOOKUP($B560,$B$11:$B$109,_xlfn.XLOOKUP(L$219,$D$5:$AO$5,$D$11:$AO$109))</f>
        <v>6</v>
      </c>
      <c r="M560" s="320">
        <f t="array" ref="M560">_xlfn.XLOOKUP($B560,$B$11:$B$109,_xlfn.XLOOKUP(M$219,$D$5:$AO$5,$D$11:$AO$109))</f>
        <v>5.25</v>
      </c>
      <c r="N560" s="320">
        <f t="array" ref="N560">_xlfn.XLOOKUP($B560,$B$11:$B$109,_xlfn.XLOOKUP(N$219,$D$5:$AO$5,$D$11:$AO$109))</f>
        <v>0</v>
      </c>
      <c r="O560" s="320">
        <f t="array" ref="O560">_xlfn.XLOOKUP($B560,$B$11:$B$109,_xlfn.XLOOKUP(O$219,$D$5:$AO$5,$D$11:$AO$109))</f>
        <v>0</v>
      </c>
      <c r="P560" s="320">
        <f t="array" ref="P560">_xlfn.XLOOKUP($B560,$B$11:$B$109,_xlfn.XLOOKUP(P$219,$D$5:$AO$5,$D$11:$AO$109))</f>
        <v>0</v>
      </c>
      <c r="Q560" s="320">
        <f t="array" ref="Q560">_xlfn.XLOOKUP($B560,$B$11:$B$109,_xlfn.XLOOKUP(Q$219,$D$5:$AO$5,$D$11:$AO$109))</f>
        <v>0</v>
      </c>
      <c r="R560" s="320">
        <f t="array" ref="R560">_xlfn.XLOOKUP($B560,$B$11:$B$109,_xlfn.XLOOKUP(R$219,$D$5:$AO$5,$D$11:$AO$109))</f>
        <v>0</v>
      </c>
      <c r="S560" s="320">
        <f t="array" ref="S560">_xlfn.XLOOKUP($B560,$B$11:$B$109,_xlfn.XLOOKUP(S$219,$D$5:$AO$5,$D$11:$AO$109))</f>
        <v>0</v>
      </c>
      <c r="T560" s="320">
        <f t="array" ref="T560">_xlfn.XLOOKUP($B560,$B$11:$B$109,_xlfn.XLOOKUP(T$219,$D$5:$AO$5,$D$11:$AO$109))</f>
        <v>0</v>
      </c>
      <c r="U560" s="320">
        <f t="array" ref="U560">_xlfn.XLOOKUP($B560,$B$11:$B$109,_xlfn.XLOOKUP(U$219,$D$5:$AO$5,$D$11:$AO$109))</f>
        <v>0</v>
      </c>
      <c r="V560" s="320">
        <f t="array" ref="V560">_xlfn.XLOOKUP($B560,$B$11:$B$109,_xlfn.XLOOKUP(V$219,$D$5:$AO$5,$D$11:$AO$109))</f>
        <v>0</v>
      </c>
      <c r="W560" s="320">
        <f t="array" ref="W560">_xlfn.XLOOKUP($B560,$B$11:$B$109,_xlfn.XLOOKUP(W$219,$D$5:$AO$5,$D$11:$AO$109))</f>
        <v>0</v>
      </c>
      <c r="X560" s="320">
        <f t="array" ref="X560">_xlfn.XLOOKUP($B560,$B$11:$B$109,_xlfn.XLOOKUP(X$219,$D$5:$AO$5,$D$11:$AO$109))</f>
        <v>0</v>
      </c>
      <c r="Y560" s="320">
        <f t="array" ref="Y560">_xlfn.XLOOKUP($B560,$B$11:$B$109,_xlfn.XLOOKUP(Y$219,$D$5:$AO$5,$D$11:$AO$109))</f>
        <v>0</v>
      </c>
      <c r="Z560" s="320">
        <f t="array" ref="Z560">_xlfn.XLOOKUP($B560,$B$11:$B$109,_xlfn.XLOOKUP(Z$219,$D$5:$AO$5,$D$11:$AO$109))</f>
        <v>0</v>
      </c>
      <c r="AA560" s="308"/>
      <c r="AB560" s="306" t="str">
        <f t="shared" si="330"/>
        <v>DPS - New</v>
      </c>
      <c r="AC560" s="307" t="str">
        <f t="shared" si="331"/>
        <v>cps</v>
      </c>
      <c r="AD560" s="307"/>
      <c r="AE560" s="307"/>
      <c r="AF560" s="320">
        <f t="array" ref="AF560">_xlfn.XLOOKUP($B560,$B$11:$B$109,_xlfn.XLOOKUP(AF$219,$D$5:$AO$5,$D$11:$AO$109))</f>
        <v>7</v>
      </c>
      <c r="AG560" s="320">
        <f t="array" ref="AG560">_xlfn.XLOOKUP($B560,$B$11:$B$109,_xlfn.XLOOKUP(AG$219,$D$5:$AO$5,$D$11:$AO$109))</f>
        <v>0</v>
      </c>
      <c r="AH560" s="320">
        <f t="array" ref="AH560">_xlfn.XLOOKUP($B560,$B$11:$B$109,_xlfn.XLOOKUP(AH$219,$D$5:$AO$5,$D$11:$AO$109))</f>
        <v>12</v>
      </c>
      <c r="AI560" s="320">
        <f t="array" ref="AI560">_xlfn.XLOOKUP($B560,$B$11:$B$109,_xlfn.XLOOKUP(AI$219,$D$5:$AO$5,$D$11:$AO$109))</f>
        <v>5.25</v>
      </c>
      <c r="AJ560" s="320">
        <f t="array" ref="AJ560">_xlfn.XLOOKUP($B560,$B$11:$B$109,_xlfn.XLOOKUP(AJ$219,$D$5:$AO$5,$D$11:$AO$109))</f>
        <v>0</v>
      </c>
      <c r="AK560" s="320">
        <f t="array" ref="AK560">_xlfn.XLOOKUP($B560,$B$11:$B$109,_xlfn.XLOOKUP(AK$219,$D$5:$AO$5,$D$11:$AO$109))</f>
        <v>0</v>
      </c>
      <c r="AL560" s="320">
        <f t="array" ref="AL560">_xlfn.XLOOKUP($B560,$B$11:$B$109,_xlfn.XLOOKUP(AL$219,$D$5:$AO$5,$D$11:$AO$109))</f>
        <v>0</v>
      </c>
      <c r="AM560" s="320">
        <f t="array" ref="AM560">_xlfn.XLOOKUP($B560,$B$11:$B$109,_xlfn.XLOOKUP(AM$219,$D$5:$AO$5,$D$11:$AO$109))</f>
        <v>0</v>
      </c>
      <c r="AN560" s="320">
        <f t="array" ref="AN560">_xlfn.XLOOKUP($B560,$B$11:$B$109,_xlfn.XLOOKUP(AN$219,$D$5:$AO$5,$D$11:$AO$109))</f>
        <v>0</v>
      </c>
      <c r="AO560" s="320">
        <f t="array" ref="AO560">_xlfn.XLOOKUP($B560,$B$11:$B$109,_xlfn.XLOOKUP(AO$219,$D$5:$AO$5,$D$11:$AO$109))</f>
        <v>0</v>
      </c>
    </row>
    <row r="561" spans="1:41" hidden="1" outlineLevel="1">
      <c r="B561" s="301"/>
      <c r="C561" s="309" t="s">
        <v>1510</v>
      </c>
      <c r="D561" s="303" t="s">
        <v>88</v>
      </c>
      <c r="E561" s="303"/>
      <c r="F561" s="303"/>
      <c r="G561" s="310" t="s">
        <v>967</v>
      </c>
      <c r="H561" s="310" t="s">
        <v>967</v>
      </c>
      <c r="I561" s="310" t="e">
        <f t="shared" ref="I561:Z561" si="372">I560/G560-1</f>
        <v>#DIV/0!</v>
      </c>
      <c r="J561" s="310">
        <f t="shared" si="372"/>
        <v>-1</v>
      </c>
      <c r="K561" s="310" t="e">
        <f t="shared" si="372"/>
        <v>#DIV/0!</v>
      </c>
      <c r="L561" s="310" t="e">
        <f t="shared" si="372"/>
        <v>#DIV/0!</v>
      </c>
      <c r="M561" s="310">
        <f t="shared" si="372"/>
        <v>-0.125</v>
      </c>
      <c r="N561" s="310">
        <f t="shared" si="372"/>
        <v>-1</v>
      </c>
      <c r="O561" s="310">
        <f t="shared" si="372"/>
        <v>-1</v>
      </c>
      <c r="P561" s="310" t="e">
        <f t="shared" si="372"/>
        <v>#DIV/0!</v>
      </c>
      <c r="Q561" s="310" t="e">
        <f t="shared" si="372"/>
        <v>#DIV/0!</v>
      </c>
      <c r="R561" s="310" t="e">
        <f t="shared" si="372"/>
        <v>#DIV/0!</v>
      </c>
      <c r="S561" s="310" t="e">
        <f t="shared" si="372"/>
        <v>#DIV/0!</v>
      </c>
      <c r="T561" s="310" t="e">
        <f t="shared" si="372"/>
        <v>#DIV/0!</v>
      </c>
      <c r="U561" s="310" t="e">
        <f t="shared" si="372"/>
        <v>#DIV/0!</v>
      </c>
      <c r="V561" s="310" t="e">
        <f t="shared" si="372"/>
        <v>#DIV/0!</v>
      </c>
      <c r="W561" s="310" t="e">
        <f t="shared" si="372"/>
        <v>#DIV/0!</v>
      </c>
      <c r="X561" s="310" t="e">
        <f t="shared" si="372"/>
        <v>#DIV/0!</v>
      </c>
      <c r="Y561" s="310" t="e">
        <f t="shared" si="372"/>
        <v>#DIV/0!</v>
      </c>
      <c r="Z561" s="310" t="e">
        <f t="shared" si="372"/>
        <v>#DIV/0!</v>
      </c>
      <c r="AA561" s="311"/>
      <c r="AB561" s="309" t="str">
        <f t="shared" si="330"/>
        <v>- Growth</v>
      </c>
      <c r="AC561" s="303" t="str">
        <f t="shared" si="331"/>
        <v>%</v>
      </c>
      <c r="AD561" s="303"/>
      <c r="AE561" s="303"/>
      <c r="AF561" s="310" t="s">
        <v>967</v>
      </c>
      <c r="AG561" s="310">
        <f t="shared" ref="AG561:AO561" si="373">AG560/AF560-1</f>
        <v>-1</v>
      </c>
      <c r="AH561" s="310" t="e">
        <f t="shared" si="373"/>
        <v>#DIV/0!</v>
      </c>
      <c r="AI561" s="310">
        <f t="shared" si="373"/>
        <v>-0.5625</v>
      </c>
      <c r="AJ561" s="310">
        <f t="shared" si="373"/>
        <v>-1</v>
      </c>
      <c r="AK561" s="310" t="e">
        <f t="shared" si="373"/>
        <v>#DIV/0!</v>
      </c>
      <c r="AL561" s="310" t="e">
        <f t="shared" si="373"/>
        <v>#DIV/0!</v>
      </c>
      <c r="AM561" s="310" t="e">
        <f t="shared" si="373"/>
        <v>#DIV/0!</v>
      </c>
      <c r="AN561" s="310" t="e">
        <f t="shared" si="373"/>
        <v>#DIV/0!</v>
      </c>
      <c r="AO561" s="310" t="e">
        <f t="shared" si="373"/>
        <v>#DIV/0!</v>
      </c>
    </row>
    <row r="562" spans="1:41" collapsed="1">
      <c r="B562" s="301"/>
      <c r="C562" s="309" t="s">
        <v>1511</v>
      </c>
      <c r="D562" s="303" t="s">
        <v>88</v>
      </c>
      <c r="E562" s="303"/>
      <c r="F562" s="303"/>
      <c r="G562" s="310">
        <f t="shared" ref="G562:Z562" si="374">IFERROR(ROUND( G560 / G559,2) - 1, 0)</f>
        <v>0</v>
      </c>
      <c r="H562" s="310">
        <f t="shared" si="374"/>
        <v>0</v>
      </c>
      <c r="I562" s="310">
        <f t="shared" si="374"/>
        <v>0</v>
      </c>
      <c r="J562" s="310">
        <f t="shared" si="374"/>
        <v>0</v>
      </c>
      <c r="K562" s="310">
        <f t="shared" si="374"/>
        <v>0</v>
      </c>
      <c r="L562" s="310">
        <f t="shared" si="374"/>
        <v>0</v>
      </c>
      <c r="M562" s="310">
        <f t="shared" si="374"/>
        <v>0</v>
      </c>
      <c r="N562" s="310">
        <f t="shared" si="374"/>
        <v>0</v>
      </c>
      <c r="O562" s="310">
        <f t="shared" si="374"/>
        <v>0</v>
      </c>
      <c r="P562" s="310">
        <f t="shared" si="374"/>
        <v>0</v>
      </c>
      <c r="Q562" s="310">
        <f t="shared" si="374"/>
        <v>-1</v>
      </c>
      <c r="R562" s="310">
        <f t="shared" si="374"/>
        <v>-1</v>
      </c>
      <c r="S562" s="310">
        <f t="shared" si="374"/>
        <v>-1</v>
      </c>
      <c r="T562" s="310">
        <f t="shared" si="374"/>
        <v>-1</v>
      </c>
      <c r="U562" s="310">
        <f t="shared" si="374"/>
        <v>-1</v>
      </c>
      <c r="V562" s="310">
        <f t="shared" si="374"/>
        <v>-1</v>
      </c>
      <c r="W562" s="310">
        <f t="shared" si="374"/>
        <v>-1</v>
      </c>
      <c r="X562" s="310">
        <f t="shared" si="374"/>
        <v>-1</v>
      </c>
      <c r="Y562" s="310">
        <f t="shared" si="374"/>
        <v>-1</v>
      </c>
      <c r="Z562" s="310">
        <f t="shared" si="374"/>
        <v>-1</v>
      </c>
      <c r="AA562" s="310"/>
      <c r="AB562" s="309" t="str">
        <f t="shared" si="330"/>
        <v>- Revision</v>
      </c>
      <c r="AC562" s="303" t="str">
        <f t="shared" si="331"/>
        <v>%</v>
      </c>
      <c r="AD562" s="303"/>
      <c r="AE562" s="303"/>
      <c r="AF562" s="310">
        <f t="shared" ref="AF562:AO562" si="375">IFERROR(ROUND( AF560 / AF559,2) - 1, 0)</f>
        <v>0</v>
      </c>
      <c r="AG562" s="310">
        <f t="shared" si="375"/>
        <v>0</v>
      </c>
      <c r="AH562" s="310">
        <f t="shared" si="375"/>
        <v>0</v>
      </c>
      <c r="AI562" s="310">
        <f t="shared" si="375"/>
        <v>0</v>
      </c>
      <c r="AJ562" s="310">
        <f t="shared" si="375"/>
        <v>0</v>
      </c>
      <c r="AK562" s="310">
        <f t="shared" si="375"/>
        <v>-1</v>
      </c>
      <c r="AL562" s="310">
        <f t="shared" si="375"/>
        <v>-1</v>
      </c>
      <c r="AM562" s="310">
        <f t="shared" si="375"/>
        <v>-1</v>
      </c>
      <c r="AN562" s="310">
        <f t="shared" si="375"/>
        <v>-1</v>
      </c>
      <c r="AO562" s="310">
        <f t="shared" si="375"/>
        <v>-1</v>
      </c>
    </row>
    <row r="563" spans="1:41">
      <c r="B563" s="301"/>
      <c r="C563" s="309"/>
      <c r="D563" s="303"/>
      <c r="E563" s="303"/>
      <c r="F563" s="303"/>
      <c r="G563" s="310"/>
      <c r="H563" s="310"/>
      <c r="I563" s="310"/>
      <c r="J563" s="310"/>
      <c r="K563" s="310"/>
      <c r="L563" s="310"/>
      <c r="M563" s="310"/>
      <c r="N563" s="310"/>
      <c r="O563" s="310"/>
      <c r="P563" s="310"/>
      <c r="Q563" s="310"/>
      <c r="R563" s="310"/>
      <c r="S563" s="310"/>
      <c r="T563" s="310"/>
      <c r="U563" s="310"/>
      <c r="V563" s="310"/>
      <c r="W563" s="310"/>
      <c r="X563" s="310"/>
      <c r="Y563" s="310"/>
      <c r="Z563" s="310"/>
      <c r="AA563" s="310"/>
      <c r="AB563" s="309"/>
      <c r="AC563" s="303"/>
      <c r="AD563" s="303"/>
      <c r="AE563" s="303"/>
      <c r="AF563" s="310"/>
      <c r="AG563" s="310"/>
      <c r="AH563" s="310"/>
      <c r="AI563" s="310"/>
      <c r="AJ563" s="310"/>
      <c r="AK563" s="310"/>
      <c r="AL563" s="310"/>
      <c r="AM563" s="310"/>
      <c r="AN563" s="310"/>
      <c r="AO563" s="310"/>
    </row>
    <row r="564" spans="1:41">
      <c r="A564" t="s">
        <v>7</v>
      </c>
      <c r="C564" s="285" t="s">
        <v>1205</v>
      </c>
    </row>
    <row r="565" spans="1:41">
      <c r="C565" s="285"/>
    </row>
    <row r="566" spans="1:41">
      <c r="C566" s="291"/>
      <c r="D566" s="291" t="s">
        <v>1329</v>
      </c>
      <c r="E566" s="291"/>
      <c r="F566" s="291" t="str">
        <f t="shared" ref="F566:Z566" si="376">F$5</f>
        <v>VAL</v>
      </c>
      <c r="G566" s="292" t="str">
        <f t="shared" si="376"/>
        <v>1H21A</v>
      </c>
      <c r="H566" s="293" t="str">
        <f t="shared" si="376"/>
        <v>2H21A</v>
      </c>
      <c r="I566" s="292" t="str">
        <f t="shared" si="376"/>
        <v>1H22A</v>
      </c>
      <c r="J566" s="293" t="str">
        <f t="shared" si="376"/>
        <v>2H22A</v>
      </c>
      <c r="K566" s="292" t="str">
        <f t="shared" si="376"/>
        <v>1H23A</v>
      </c>
      <c r="L566" s="293" t="str">
        <f t="shared" si="376"/>
        <v>2H23A</v>
      </c>
      <c r="M566" s="292" t="str">
        <f t="shared" si="376"/>
        <v>1H24E</v>
      </c>
      <c r="N566" s="293" t="str">
        <f t="shared" si="376"/>
        <v>2H24E</v>
      </c>
      <c r="O566" s="292" t="str">
        <f t="shared" si="376"/>
        <v>1H25E</v>
      </c>
      <c r="P566" s="293" t="str">
        <f t="shared" si="376"/>
        <v>2H25E</v>
      </c>
      <c r="Q566" s="292" t="str">
        <f t="shared" si="376"/>
        <v>1H26E</v>
      </c>
      <c r="R566" s="293" t="str">
        <f t="shared" si="376"/>
        <v>2H26E</v>
      </c>
      <c r="S566" s="292" t="str">
        <f t="shared" si="376"/>
        <v>1H27E</v>
      </c>
      <c r="T566" s="293" t="str">
        <f t="shared" si="376"/>
        <v>2H27E</v>
      </c>
      <c r="U566" s="292" t="str">
        <f t="shared" si="376"/>
        <v>1H28E</v>
      </c>
      <c r="V566" s="293" t="str">
        <f t="shared" si="376"/>
        <v>2H28E</v>
      </c>
      <c r="W566" s="292" t="str">
        <f t="shared" si="376"/>
        <v>1H29E</v>
      </c>
      <c r="X566" s="293" t="str">
        <f t="shared" si="376"/>
        <v>2H29E</v>
      </c>
      <c r="Y566" s="292" t="str">
        <f t="shared" si="376"/>
        <v>1H30E</v>
      </c>
      <c r="Z566" s="293" t="str">
        <f t="shared" si="376"/>
        <v>2H30E</v>
      </c>
      <c r="AA566" s="294"/>
      <c r="AB566" s="291"/>
      <c r="AC566" s="291" t="s">
        <v>1329</v>
      </c>
      <c r="AD566" s="291"/>
      <c r="AE566" s="291" t="str">
        <f t="shared" ref="AE566:AO566" si="377">AE$5</f>
        <v>VAL</v>
      </c>
      <c r="AF566" s="295" t="str">
        <f t="shared" si="377"/>
        <v>FY21A</v>
      </c>
      <c r="AG566" s="295" t="str">
        <f t="shared" si="377"/>
        <v>FY22A</v>
      </c>
      <c r="AH566" s="295" t="str">
        <f t="shared" si="377"/>
        <v>FY23A</v>
      </c>
      <c r="AI566" s="295" t="str">
        <f t="shared" si="377"/>
        <v>FY24A</v>
      </c>
      <c r="AJ566" s="295" t="str">
        <f t="shared" si="377"/>
        <v>FY25A</v>
      </c>
      <c r="AK566" s="295" t="str">
        <f t="shared" si="377"/>
        <v>FY26A</v>
      </c>
      <c r="AL566" s="295" t="str">
        <f t="shared" si="377"/>
        <v>FY27A</v>
      </c>
      <c r="AM566" s="295" t="str">
        <f t="shared" si="377"/>
        <v>FY28A</v>
      </c>
      <c r="AN566" s="295" t="str">
        <f t="shared" si="377"/>
        <v>FY29A</v>
      </c>
      <c r="AO566" s="295" t="str">
        <f t="shared" si="377"/>
        <v>FY30A</v>
      </c>
    </row>
    <row r="567" spans="1:41">
      <c r="C567" s="296"/>
      <c r="D567" s="296"/>
      <c r="E567" s="296"/>
      <c r="F567" s="296"/>
      <c r="G567" s="297">
        <f t="shared" ref="G567:Z567" si="378">G$6</f>
        <v>44196</v>
      </c>
      <c r="H567" s="298">
        <f t="shared" si="378"/>
        <v>44377</v>
      </c>
      <c r="I567" s="297">
        <f t="shared" si="378"/>
        <v>44561</v>
      </c>
      <c r="J567" s="298">
        <f t="shared" si="378"/>
        <v>44742</v>
      </c>
      <c r="K567" s="297">
        <f t="shared" si="378"/>
        <v>44926</v>
      </c>
      <c r="L567" s="298">
        <f t="shared" si="378"/>
        <v>45107</v>
      </c>
      <c r="M567" s="297">
        <f t="shared" si="378"/>
        <v>45291</v>
      </c>
      <c r="N567" s="298">
        <f t="shared" si="378"/>
        <v>45473</v>
      </c>
      <c r="O567" s="297">
        <f t="shared" si="378"/>
        <v>45657</v>
      </c>
      <c r="P567" s="298">
        <f t="shared" si="378"/>
        <v>45838</v>
      </c>
      <c r="Q567" s="297">
        <f t="shared" si="378"/>
        <v>46022</v>
      </c>
      <c r="R567" s="298">
        <f t="shared" si="378"/>
        <v>46203</v>
      </c>
      <c r="S567" s="297">
        <f t="shared" si="378"/>
        <v>46387</v>
      </c>
      <c r="T567" s="298">
        <f t="shared" si="378"/>
        <v>46568</v>
      </c>
      <c r="U567" s="297">
        <f t="shared" si="378"/>
        <v>46752</v>
      </c>
      <c r="V567" s="298">
        <f t="shared" si="378"/>
        <v>46934</v>
      </c>
      <c r="W567" s="297">
        <f t="shared" si="378"/>
        <v>47118</v>
      </c>
      <c r="X567" s="298">
        <f t="shared" si="378"/>
        <v>47299</v>
      </c>
      <c r="Y567" s="297">
        <f t="shared" si="378"/>
        <v>47483</v>
      </c>
      <c r="Z567" s="296">
        <f t="shared" si="378"/>
        <v>47664</v>
      </c>
      <c r="AA567" s="299"/>
      <c r="AB567" s="296"/>
      <c r="AC567" s="296"/>
      <c r="AD567" s="296"/>
      <c r="AE567" s="296"/>
      <c r="AF567" s="300">
        <f t="shared" ref="AF567:AO567" si="379">AF$6</f>
        <v>44377</v>
      </c>
      <c r="AG567" s="300">
        <f t="shared" si="379"/>
        <v>44742</v>
      </c>
      <c r="AH567" s="300">
        <f t="shared" si="379"/>
        <v>45107</v>
      </c>
      <c r="AI567" s="300">
        <f t="shared" si="379"/>
        <v>45473</v>
      </c>
      <c r="AJ567" s="300">
        <f t="shared" si="379"/>
        <v>45838</v>
      </c>
      <c r="AK567" s="300">
        <f t="shared" si="379"/>
        <v>46203</v>
      </c>
      <c r="AL567" s="300">
        <f t="shared" si="379"/>
        <v>46568</v>
      </c>
      <c r="AM567" s="300">
        <f t="shared" si="379"/>
        <v>46934</v>
      </c>
      <c r="AN567" s="300">
        <f t="shared" si="379"/>
        <v>47299</v>
      </c>
      <c r="AO567" s="300">
        <f t="shared" si="379"/>
        <v>47664</v>
      </c>
    </row>
    <row r="568" spans="1:41">
      <c r="B568" s="301" t="s">
        <v>1582</v>
      </c>
      <c r="C568" s="302" t="s">
        <v>1524</v>
      </c>
      <c r="D568" s="303" t="str">
        <f t="array" ref="D568">_xlfn.XLOOKUP($B568,$B$114:$B$212,_xlfn.XLOOKUP(D$219,$D$5:$AO$5,$D$114:$AO$212))</f>
        <v>NZ$m</v>
      </c>
      <c r="E568" s="303"/>
      <c r="F568" s="303"/>
      <c r="G568" s="304">
        <f t="array" ref="G568">_xlfn.XLOOKUP($B568,$B$114:$B$212,_xlfn.XLOOKUP(G$219,$D$5:$AO$5,$D$114:$AO$212))</f>
        <v>449.9</v>
      </c>
      <c r="H568" s="304">
        <f t="array" ref="H568">_xlfn.XLOOKUP($B568,$B$114:$B$212,_xlfn.XLOOKUP(H$219,$D$5:$AO$5,$D$114:$AO$212))</f>
        <v>502.1</v>
      </c>
      <c r="I568" s="304">
        <f t="array" ref="I568">_xlfn.XLOOKUP($B568,$B$114:$B$212,_xlfn.XLOOKUP(I$219,$D$5:$AO$5,$D$114:$AO$212))</f>
        <v>289.8</v>
      </c>
      <c r="J568" s="304">
        <f t="array" ref="J568">_xlfn.XLOOKUP($B568,$B$114:$B$212,_xlfn.XLOOKUP(J$219,$D$5:$AO$5,$D$114:$AO$212))</f>
        <v>349.2</v>
      </c>
      <c r="K568" s="304">
        <f t="array" ref="K568">_xlfn.XLOOKUP($B568,$B$114:$B$212,_xlfn.XLOOKUP(K$219,$D$5:$AO$5,$D$114:$AO$212))</f>
        <v>462.6</v>
      </c>
      <c r="L568" s="304">
        <f t="array" ref="L568">_xlfn.XLOOKUP($B568,$B$114:$B$212,_xlfn.XLOOKUP(L$219,$D$5:$AO$5,$D$114:$AO$212))</f>
        <v>463.6</v>
      </c>
      <c r="M568" s="304">
        <f t="array" ref="M568">_xlfn.XLOOKUP($B568,$B$114:$B$212,_xlfn.XLOOKUP(M$219,$D$5:$AO$5,$D$114:$AO$212))</f>
        <v>445.2</v>
      </c>
      <c r="N568" s="304">
        <f t="array" ref="N568">_xlfn.XLOOKUP($B568,$B$114:$B$212,_xlfn.XLOOKUP(N$219,$D$5:$AO$5,$D$114:$AO$212))</f>
        <v>483.3</v>
      </c>
      <c r="O568" s="304">
        <f t="array" ref="O568">_xlfn.XLOOKUP($B568,$B$114:$B$212,_xlfn.XLOOKUP(O$219,$D$5:$AO$5,$D$114:$AO$212))</f>
        <v>422</v>
      </c>
      <c r="P568" s="304">
        <f t="array" ref="P568">_xlfn.XLOOKUP($B568,$B$114:$B$212,_xlfn.XLOOKUP(P$219,$D$5:$AO$5,$D$114:$AO$212))</f>
        <v>422.26460000000009</v>
      </c>
      <c r="Q568" s="304">
        <f t="array" ref="Q568">_xlfn.XLOOKUP($B568,$B$114:$B$212,_xlfn.XLOOKUP(Q$219,$D$5:$AO$5,$D$114:$AO$212))</f>
        <v>438.2</v>
      </c>
      <c r="R568" s="304">
        <f t="array" ref="R568">_xlfn.XLOOKUP($B568,$B$114:$B$212,_xlfn.XLOOKUP(R$219,$D$5:$AO$5,$D$114:$AO$212))</f>
        <v>451.61813100000012</v>
      </c>
      <c r="S568" s="304">
        <f t="array" ref="S568">_xlfn.XLOOKUP($B568,$B$114:$B$212,_xlfn.XLOOKUP(S$219,$D$5:$AO$5,$D$114:$AO$212))</f>
        <v>475.22412000000003</v>
      </c>
      <c r="T568" s="304">
        <f t="array" ref="T568">_xlfn.XLOOKUP($B568,$B$114:$B$212,_xlfn.XLOOKUP(T$219,$D$5:$AO$5,$D$114:$AO$212))</f>
        <v>480.01043318000012</v>
      </c>
      <c r="U568" s="304">
        <f t="array" ref="U568">_xlfn.XLOOKUP($B568,$B$114:$B$212,_xlfn.XLOOKUP(U$219,$D$5:$AO$5,$D$114:$AO$212))</f>
        <v>499.53416179999999</v>
      </c>
      <c r="V568" s="304">
        <f t="array" ref="V568">_xlfn.XLOOKUP($B568,$B$114:$B$212,_xlfn.XLOOKUP(V$219,$D$5:$AO$5,$D$114:$AO$212))</f>
        <v>502.10894859979999</v>
      </c>
      <c r="W568" s="304">
        <f t="array" ref="W568">_xlfn.XLOOKUP($B568,$B$114:$B$212,_xlfn.XLOOKUP(W$219,$D$5:$AO$5,$D$114:$AO$212))</f>
        <v>519.77878620600006</v>
      </c>
      <c r="X568" s="304">
        <f t="array" ref="X568">_xlfn.XLOOKUP($B568,$B$114:$B$212,_xlfn.XLOOKUP(X$219,$D$5:$AO$5,$D$114:$AO$212))</f>
        <v>520.84770179251211</v>
      </c>
      <c r="Y568" s="304">
        <f t="array" ref="Y568">_xlfn.XLOOKUP($B568,$B$114:$B$212,_xlfn.XLOOKUP(Y$219,$D$5:$AO$5,$D$114:$AO$212))</f>
        <v>537.48109997339998</v>
      </c>
      <c r="Z568" s="304">
        <f t="array" ref="Z568">_xlfn.XLOOKUP($B568,$B$114:$B$212,_xlfn.XLOOKUP(Z$219,$D$5:$AO$5,$D$114:$AO$212))</f>
        <v>538.85478826419262</v>
      </c>
      <c r="AA568" s="305"/>
      <c r="AB568" s="302" t="str">
        <f t="shared" ref="AB568:AB587" si="380">C568</f>
        <v>Reported Revenue - old</v>
      </c>
      <c r="AC568" s="303" t="str">
        <f t="shared" ref="AC568:AC587" si="381">D568</f>
        <v>NZ$m</v>
      </c>
      <c r="AD568" s="303"/>
      <c r="AE568" s="303"/>
      <c r="AF568" s="304">
        <f t="array" ref="AF568">_xlfn.XLOOKUP($B568,$B$114:$B$212,_xlfn.XLOOKUP(AF$219,$D$5:$AO$5,$D$114:$AO$212))</f>
        <v>952</v>
      </c>
      <c r="AG568" s="304">
        <f t="array" ref="AG568">_xlfn.XLOOKUP($B568,$B$114:$B$212,_xlfn.XLOOKUP(AG$219,$D$5:$AO$5,$D$114:$AO$212))</f>
        <v>639</v>
      </c>
      <c r="AH568" s="304">
        <f t="array" ref="AH568">_xlfn.XLOOKUP($B568,$B$114:$B$212,_xlfn.XLOOKUP(AH$219,$D$5:$AO$5,$D$114:$AO$212))</f>
        <v>926.2</v>
      </c>
      <c r="AI568" s="304">
        <f t="array" ref="AI568">_xlfn.XLOOKUP($B568,$B$114:$B$212,_xlfn.XLOOKUP(AI$219,$D$5:$AO$5,$D$114:$AO$212))</f>
        <v>928.5</v>
      </c>
      <c r="AJ568" s="304">
        <f t="array" ref="AJ568">_xlfn.XLOOKUP($B568,$B$114:$B$212,_xlfn.XLOOKUP(AJ$219,$D$5:$AO$5,$D$114:$AO$212))</f>
        <v>844.26460000000009</v>
      </c>
      <c r="AK568" s="304">
        <f t="array" ref="AK568">_xlfn.XLOOKUP($B568,$B$114:$B$212,_xlfn.XLOOKUP(AK$219,$D$5:$AO$5,$D$114:$AO$212))</f>
        <v>889.81813099999999</v>
      </c>
      <c r="AL568" s="304">
        <f t="array" ref="AL568">_xlfn.XLOOKUP($B568,$B$114:$B$212,_xlfn.XLOOKUP(AL$219,$D$5:$AO$5,$D$114:$AO$212))</f>
        <v>955.23455318000003</v>
      </c>
      <c r="AM568" s="304">
        <f t="array" ref="AM568">_xlfn.XLOOKUP($B568,$B$114:$B$212,_xlfn.XLOOKUP(AM$219,$D$5:$AO$5,$D$114:$AO$212))</f>
        <v>1001.6431103998</v>
      </c>
      <c r="AN568" s="304">
        <f t="array" ref="AN568">_xlfn.XLOOKUP($B568,$B$114:$B$212,_xlfn.XLOOKUP(AN$219,$D$5:$AO$5,$D$114:$AO$212))</f>
        <v>1040.6264879985119</v>
      </c>
      <c r="AO568" s="304">
        <f t="array" ref="AO568">_xlfn.XLOOKUP($B568,$B$114:$B$212,_xlfn.XLOOKUP(AO$219,$D$5:$AO$5,$D$114:$AO$212))</f>
        <v>1076.3358882375931</v>
      </c>
    </row>
    <row r="569" spans="1:41">
      <c r="B569" s="301" t="s">
        <v>1582</v>
      </c>
      <c r="C569" s="306" t="s">
        <v>1525</v>
      </c>
      <c r="D569" s="307" t="str">
        <f t="array" ref="D569">_xlfn.XLOOKUP($B569,$B$11:$B$109,_xlfn.XLOOKUP(D$219,$D$5:$AO$5,$D$11:$AO$109))</f>
        <v>NZ$m</v>
      </c>
      <c r="E569" s="307"/>
      <c r="F569" s="307"/>
      <c r="G569" s="308">
        <f t="array" ref="G569">_xlfn.XLOOKUP($B569,$B$11:$B$109,_xlfn.XLOOKUP(G$219,$D$5:$AO$5,$D$11:$AO$109))</f>
        <v>449.9</v>
      </c>
      <c r="H569" s="308">
        <f t="array" ref="H569">_xlfn.XLOOKUP($B569,$B$11:$B$109,_xlfn.XLOOKUP(H$219,$D$5:$AO$5,$D$11:$AO$109))</f>
        <v>502.1</v>
      </c>
      <c r="I569" s="308">
        <f t="array" ref="I569">_xlfn.XLOOKUP($B569,$B$11:$B$109,_xlfn.XLOOKUP(I$219,$D$5:$AO$5,$D$11:$AO$109))</f>
        <v>289.8</v>
      </c>
      <c r="J569" s="308">
        <f t="array" ref="J569">_xlfn.XLOOKUP($B569,$B$11:$B$109,_xlfn.XLOOKUP(J$219,$D$5:$AO$5,$D$11:$AO$109))</f>
        <v>349.2</v>
      </c>
      <c r="K569" s="308">
        <f t="array" ref="K569">_xlfn.XLOOKUP($B569,$B$11:$B$109,_xlfn.XLOOKUP(K$219,$D$5:$AO$5,$D$11:$AO$109))</f>
        <v>462.6</v>
      </c>
      <c r="L569" s="308">
        <f t="array" ref="L569">_xlfn.XLOOKUP($B569,$B$11:$B$109,_xlfn.XLOOKUP(L$219,$D$5:$AO$5,$D$11:$AO$109))</f>
        <v>463.6</v>
      </c>
      <c r="M569" s="308">
        <f t="array" ref="M569">_xlfn.XLOOKUP($B569,$B$11:$B$109,_xlfn.XLOOKUP(M$219,$D$5:$AO$5,$D$11:$AO$109))</f>
        <v>445.2</v>
      </c>
      <c r="N569" s="308">
        <f t="array" ref="N569">_xlfn.XLOOKUP($B569,$B$11:$B$109,_xlfn.XLOOKUP(N$219,$D$5:$AO$5,$D$11:$AO$109))</f>
        <v>483.3</v>
      </c>
      <c r="O569" s="308">
        <f t="array" ref="O569">_xlfn.XLOOKUP($B569,$B$11:$B$109,_xlfn.XLOOKUP(O$219,$D$5:$AO$5,$D$11:$AO$109))</f>
        <v>422</v>
      </c>
      <c r="P569" s="308">
        <f t="array" ref="P569">_xlfn.XLOOKUP($B569,$B$11:$B$109,_xlfn.XLOOKUP(P$219,$D$5:$AO$5,$D$11:$AO$109))</f>
        <v>403.20000000000005</v>
      </c>
      <c r="Q569" s="308">
        <f t="array" ref="Q569">_xlfn.XLOOKUP($B569,$B$11:$B$109,_xlfn.XLOOKUP(Q$219,$D$5:$AO$5,$D$11:$AO$109))</f>
        <v>411.7</v>
      </c>
      <c r="R569" s="308">
        <f t="array" ref="R569">_xlfn.XLOOKUP($B569,$B$11:$B$109,_xlfn.XLOOKUP(R$219,$D$5:$AO$5,$D$11:$AO$109))</f>
        <v>467.2</v>
      </c>
      <c r="S569" s="308">
        <f t="array" ref="S569">_xlfn.XLOOKUP($B569,$B$11:$B$109,_xlfn.XLOOKUP(S$219,$D$5:$AO$5,$D$11:$AO$109))</f>
        <v>419.565</v>
      </c>
      <c r="T569" s="308">
        <f t="array" ref="T569">_xlfn.XLOOKUP($B569,$B$11:$B$109,_xlfn.XLOOKUP(T$219,$D$5:$AO$5,$D$11:$AO$109))</f>
        <v>421.36900000000003</v>
      </c>
      <c r="U569" s="308">
        <f t="array" ref="U569">_xlfn.XLOOKUP($B569,$B$11:$B$109,_xlfn.XLOOKUP(U$219,$D$5:$AO$5,$D$11:$AO$109))</f>
        <v>428.74853999999999</v>
      </c>
      <c r="V569" s="308">
        <f t="array" ref="V569">_xlfn.XLOOKUP($B569,$B$11:$B$109,_xlfn.XLOOKUP(V$219,$D$5:$AO$5,$D$11:$AO$109))</f>
        <v>430.86368999999991</v>
      </c>
      <c r="W569" s="308">
        <f t="array" ref="W569">_xlfn.XLOOKUP($B569,$B$11:$B$109,_xlfn.XLOOKUP(W$219,$D$5:$AO$5,$D$11:$AO$109))</f>
        <v>451.29426060000003</v>
      </c>
      <c r="X569" s="308">
        <f t="array" ref="X569">_xlfn.XLOOKUP($B569,$B$11:$B$109,_xlfn.XLOOKUP(X$219,$D$5:$AO$5,$D$11:$AO$109))</f>
        <v>448.01762690000004</v>
      </c>
      <c r="Y569" s="308">
        <f t="array" ref="Y569">_xlfn.XLOOKUP($B569,$B$11:$B$109,_xlfn.XLOOKUP(Y$219,$D$5:$AO$5,$D$11:$AO$109))</f>
        <v>469.62116627799992</v>
      </c>
      <c r="Z569" s="308">
        <f t="array" ref="Z569">_xlfn.XLOOKUP($B569,$B$11:$B$109,_xlfn.XLOOKUP(Z$219,$D$5:$AO$5,$D$11:$AO$109))</f>
        <v>466.20287816899997</v>
      </c>
      <c r="AA569" s="308"/>
      <c r="AB569" s="306" t="str">
        <f t="shared" si="380"/>
        <v>Reported Revenue - New</v>
      </c>
      <c r="AC569" s="307" t="str">
        <f t="shared" si="381"/>
        <v>NZ$m</v>
      </c>
      <c r="AD569" s="307"/>
      <c r="AE569" s="307"/>
      <c r="AF569" s="308">
        <f t="array" ref="AF569">_xlfn.XLOOKUP($B569,$B$11:$B$109,_xlfn.XLOOKUP(AF$219,$D$5:$AO$5,$D$11:$AO$109))</f>
        <v>952</v>
      </c>
      <c r="AG569" s="308">
        <f t="array" ref="AG569">_xlfn.XLOOKUP($B569,$B$11:$B$109,_xlfn.XLOOKUP(AG$219,$D$5:$AO$5,$D$11:$AO$109))</f>
        <v>639</v>
      </c>
      <c r="AH569" s="308">
        <f t="array" ref="AH569">_xlfn.XLOOKUP($B569,$B$11:$B$109,_xlfn.XLOOKUP(AH$219,$D$5:$AO$5,$D$11:$AO$109))</f>
        <v>926.2</v>
      </c>
      <c r="AI569" s="308">
        <f t="array" ref="AI569">_xlfn.XLOOKUP($B569,$B$11:$B$109,_xlfn.XLOOKUP(AI$219,$D$5:$AO$5,$D$11:$AO$109))</f>
        <v>928.5</v>
      </c>
      <c r="AJ569" s="308">
        <f t="array" ref="AJ569">_xlfn.XLOOKUP($B569,$B$11:$B$109,_xlfn.XLOOKUP(AJ$219,$D$5:$AO$5,$D$11:$AO$109))</f>
        <v>825.2</v>
      </c>
      <c r="AK569" s="308">
        <f t="array" ref="AK569">_xlfn.XLOOKUP($B569,$B$11:$B$109,_xlfn.XLOOKUP(AK$219,$D$5:$AO$5,$D$11:$AO$109))</f>
        <v>878.9</v>
      </c>
      <c r="AL569" s="308">
        <f t="array" ref="AL569">_xlfn.XLOOKUP($B569,$B$11:$B$109,_xlfn.XLOOKUP(AL$219,$D$5:$AO$5,$D$11:$AO$109))</f>
        <v>840.93399999999997</v>
      </c>
      <c r="AM569" s="308">
        <f t="array" ref="AM569">_xlfn.XLOOKUP($B569,$B$11:$B$109,_xlfn.XLOOKUP(AM$219,$D$5:$AO$5,$D$11:$AO$109))</f>
        <v>859.61222999999995</v>
      </c>
      <c r="AN569" s="308">
        <f t="array" ref="AN569">_xlfn.XLOOKUP($B569,$B$11:$B$109,_xlfn.XLOOKUP(AN$219,$D$5:$AO$5,$D$11:$AO$109))</f>
        <v>899.31188750000001</v>
      </c>
      <c r="AO569" s="308">
        <f t="array" ref="AO569">_xlfn.XLOOKUP($B569,$B$11:$B$109,_xlfn.XLOOKUP(AO$219,$D$5:$AO$5,$D$11:$AO$109))</f>
        <v>935.82404444699989</v>
      </c>
    </row>
    <row r="570" spans="1:41" hidden="1" outlineLevel="1">
      <c r="C570" s="309" t="s">
        <v>1510</v>
      </c>
      <c r="D570" s="303" t="s">
        <v>88</v>
      </c>
      <c r="E570" s="303"/>
      <c r="F570" s="303"/>
      <c r="G570" s="310" t="s">
        <v>967</v>
      </c>
      <c r="H570" s="310" t="s">
        <v>967</v>
      </c>
      <c r="I570" s="310">
        <f t="shared" ref="I570:Z570" si="382">I569/G569-1</f>
        <v>-0.35585685707935089</v>
      </c>
      <c r="J570" s="310">
        <f t="shared" si="382"/>
        <v>-0.30452101175064739</v>
      </c>
      <c r="K570" s="310">
        <f t="shared" si="382"/>
        <v>0.59627329192546585</v>
      </c>
      <c r="L570" s="310">
        <f t="shared" si="382"/>
        <v>0.32760595647193602</v>
      </c>
      <c r="M570" s="310">
        <f t="shared" si="382"/>
        <v>-3.7613488975356768E-2</v>
      </c>
      <c r="N570" s="310">
        <f t="shared" si="382"/>
        <v>4.2493528904227862E-2</v>
      </c>
      <c r="O570" s="310">
        <f t="shared" si="382"/>
        <v>-5.211141060197666E-2</v>
      </c>
      <c r="P570" s="310">
        <f t="shared" si="382"/>
        <v>-0.16573556797020472</v>
      </c>
      <c r="Q570" s="310">
        <f t="shared" si="382"/>
        <v>-2.4407582938388628E-2</v>
      </c>
      <c r="R570" s="310">
        <f t="shared" si="382"/>
        <v>0.15873015873015861</v>
      </c>
      <c r="S570" s="310">
        <f t="shared" si="382"/>
        <v>1.9103716298275453E-2</v>
      </c>
      <c r="T570" s="310">
        <f t="shared" si="382"/>
        <v>-9.8097174657534203E-2</v>
      </c>
      <c r="U570" s="310">
        <f t="shared" si="382"/>
        <v>2.1888241392871155E-2</v>
      </c>
      <c r="V570" s="310">
        <f t="shared" si="382"/>
        <v>2.2532958048645968E-2</v>
      </c>
      <c r="W570" s="310">
        <f t="shared" si="382"/>
        <v>5.2584950143503839E-2</v>
      </c>
      <c r="X570" s="310">
        <f t="shared" si="382"/>
        <v>3.9812909043229316E-2</v>
      </c>
      <c r="Y570" s="310">
        <f t="shared" si="382"/>
        <v>4.0609658216424149E-2</v>
      </c>
      <c r="Z570" s="310">
        <f t="shared" si="382"/>
        <v>4.0590481662140077E-2</v>
      </c>
      <c r="AA570" s="311"/>
      <c r="AB570" s="309" t="str">
        <f t="shared" si="380"/>
        <v>- Growth</v>
      </c>
      <c r="AC570" s="303" t="str">
        <f t="shared" si="381"/>
        <v>%</v>
      </c>
      <c r="AD570" s="303"/>
      <c r="AE570" s="303"/>
      <c r="AF570" s="310" t="s">
        <v>967</v>
      </c>
      <c r="AG570" s="310">
        <f t="shared" ref="AG570:AO570" si="383">AG569/AF569-1</f>
        <v>-0.32878151260504207</v>
      </c>
      <c r="AH570" s="310">
        <f t="shared" si="383"/>
        <v>0.44945226917057912</v>
      </c>
      <c r="AI570" s="310">
        <f t="shared" si="383"/>
        <v>2.4832649535737605E-3</v>
      </c>
      <c r="AJ570" s="310">
        <f t="shared" si="383"/>
        <v>-0.1112547119009154</v>
      </c>
      <c r="AK570" s="310">
        <f t="shared" si="383"/>
        <v>6.5075133301017773E-2</v>
      </c>
      <c r="AL570" s="310">
        <f t="shared" si="383"/>
        <v>-4.3197178291045635E-2</v>
      </c>
      <c r="AM570" s="310">
        <f t="shared" si="383"/>
        <v>2.2211291254723875E-2</v>
      </c>
      <c r="AN570" s="310">
        <f t="shared" si="383"/>
        <v>4.6183216239257252E-2</v>
      </c>
      <c r="AO570" s="310">
        <f t="shared" si="383"/>
        <v>4.0600104874072285E-2</v>
      </c>
    </row>
    <row r="571" spans="1:41" collapsed="1">
      <c r="C571" s="309" t="s">
        <v>1511</v>
      </c>
      <c r="D571" s="303" t="s">
        <v>88</v>
      </c>
      <c r="E571" s="303"/>
      <c r="F571" s="303"/>
      <c r="G571" s="310">
        <f t="shared" ref="G571:Z571" si="384">IFERROR(ROUND( G569 / G568,2) - 1, 0)</f>
        <v>0</v>
      </c>
      <c r="H571" s="310">
        <f t="shared" si="384"/>
        <v>0</v>
      </c>
      <c r="I571" s="310">
        <f t="shared" si="384"/>
        <v>0</v>
      </c>
      <c r="J571" s="310">
        <f t="shared" si="384"/>
        <v>0</v>
      </c>
      <c r="K571" s="310">
        <f t="shared" si="384"/>
        <v>0</v>
      </c>
      <c r="L571" s="310">
        <f t="shared" si="384"/>
        <v>0</v>
      </c>
      <c r="M571" s="310">
        <f t="shared" si="384"/>
        <v>0</v>
      </c>
      <c r="N571" s="310">
        <f t="shared" si="384"/>
        <v>0</v>
      </c>
      <c r="O571" s="310">
        <f t="shared" si="384"/>
        <v>0</v>
      </c>
      <c r="P571" s="310">
        <f t="shared" si="384"/>
        <v>-5.0000000000000044E-2</v>
      </c>
      <c r="Q571" s="310">
        <f t="shared" si="384"/>
        <v>-6.0000000000000053E-2</v>
      </c>
      <c r="R571" s="310">
        <f t="shared" si="384"/>
        <v>3.0000000000000027E-2</v>
      </c>
      <c r="S571" s="310">
        <f t="shared" si="384"/>
        <v>-0.12</v>
      </c>
      <c r="T571" s="310">
        <f t="shared" si="384"/>
        <v>-0.12</v>
      </c>
      <c r="U571" s="310">
        <f t="shared" si="384"/>
        <v>-0.14000000000000001</v>
      </c>
      <c r="V571" s="310">
        <f t="shared" si="384"/>
        <v>-0.14000000000000001</v>
      </c>
      <c r="W571" s="310">
        <f t="shared" si="384"/>
        <v>-0.13</v>
      </c>
      <c r="X571" s="310">
        <f t="shared" si="384"/>
        <v>-0.14000000000000001</v>
      </c>
      <c r="Y571" s="310">
        <f t="shared" si="384"/>
        <v>-0.13</v>
      </c>
      <c r="Z571" s="310">
        <f t="shared" si="384"/>
        <v>-0.13</v>
      </c>
      <c r="AA571" s="310"/>
      <c r="AB571" s="309" t="str">
        <f t="shared" si="380"/>
        <v>- Revision</v>
      </c>
      <c r="AC571" s="303" t="str">
        <f t="shared" si="381"/>
        <v>%</v>
      </c>
      <c r="AD571" s="303"/>
      <c r="AE571" s="303"/>
      <c r="AF571" s="310">
        <f t="shared" ref="AF571:AO571" si="385">IFERROR(ROUND( AF569 / AF568,2) - 1, 0)</f>
        <v>0</v>
      </c>
      <c r="AG571" s="310">
        <f t="shared" si="385"/>
        <v>0</v>
      </c>
      <c r="AH571" s="310">
        <f t="shared" si="385"/>
        <v>0</v>
      </c>
      <c r="AI571" s="310">
        <f t="shared" si="385"/>
        <v>0</v>
      </c>
      <c r="AJ571" s="310">
        <f t="shared" si="385"/>
        <v>-2.0000000000000018E-2</v>
      </c>
      <c r="AK571" s="310">
        <f t="shared" si="385"/>
        <v>-1.0000000000000009E-2</v>
      </c>
      <c r="AL571" s="310">
        <f t="shared" si="385"/>
        <v>-0.12</v>
      </c>
      <c r="AM571" s="310">
        <f t="shared" si="385"/>
        <v>-0.14000000000000001</v>
      </c>
      <c r="AN571" s="310">
        <f t="shared" si="385"/>
        <v>-0.14000000000000001</v>
      </c>
      <c r="AO571" s="310">
        <f t="shared" si="385"/>
        <v>-0.13</v>
      </c>
    </row>
    <row r="572" spans="1:41">
      <c r="B572" s="301" t="s">
        <v>1583</v>
      </c>
      <c r="C572" s="302" t="s">
        <v>1528</v>
      </c>
      <c r="D572" s="303" t="s">
        <v>90</v>
      </c>
      <c r="E572" s="303"/>
      <c r="F572" s="303"/>
      <c r="G572" s="304">
        <f t="array" ref="G572">_xlfn.XLOOKUP($B572,$B$114:$B$212,_xlfn.XLOOKUP(G$219,$F$5:$AO$5,$F$114:$AO$212))</f>
        <v>150.5</v>
      </c>
      <c r="H572" s="304">
        <f t="array" ref="H572">_xlfn.XLOOKUP($B572,$B$114:$B$212,_xlfn.XLOOKUP(H$219,$F$5:$AO$5,$F$114:$AO$212))</f>
        <v>163.4</v>
      </c>
      <c r="I572" s="304">
        <f t="array" ref="I572">_xlfn.XLOOKUP($B572,$B$114:$B$212,_xlfn.XLOOKUP(I$219,$F$5:$AO$5,$F$114:$AO$212))</f>
        <v>20.399999999999999</v>
      </c>
      <c r="J572" s="304">
        <f t="array" ref="J572">_xlfn.XLOOKUP($B572,$B$114:$B$212,_xlfn.XLOOKUP(J$219,$F$5:$AO$5,$F$114:$AO$212))</f>
        <v>76.5</v>
      </c>
      <c r="K572" s="304">
        <f t="array" ref="K572">_xlfn.XLOOKUP($B572,$B$114:$B$212,_xlfn.XLOOKUP(K$219,$F$5:$AO$5,$F$114:$AO$212))</f>
        <v>106.3</v>
      </c>
      <c r="L572" s="304">
        <f t="array" ref="L572">_xlfn.XLOOKUP($B572,$B$114:$B$212,_xlfn.XLOOKUP(L$219,$F$5:$AO$5,$F$114:$AO$212))</f>
        <v>59.600000000000009</v>
      </c>
      <c r="M572" s="304">
        <f t="array" ref="M572">_xlfn.XLOOKUP($B572,$B$114:$B$212,_xlfn.XLOOKUP(M$219,$F$5:$AO$5,$F$114:$AO$212))</f>
        <v>101</v>
      </c>
      <c r="N572" s="304">
        <f t="array" ref="N572">_xlfn.XLOOKUP($B572,$B$114:$B$212,_xlfn.XLOOKUP(N$219,$F$5:$AO$5,$F$114:$AO$212))</f>
        <v>37.199999999999989</v>
      </c>
      <c r="O572" s="304">
        <f t="array" ref="O572">_xlfn.XLOOKUP($B572,$B$114:$B$212,_xlfn.XLOOKUP(O$219,$F$5:$AO$5,$F$114:$AO$212))</f>
        <v>113.1</v>
      </c>
      <c r="P572" s="304">
        <f t="array" ref="P572">_xlfn.XLOOKUP($B572,$B$114:$B$212,_xlfn.XLOOKUP(P$219,$F$5:$AO$5,$F$114:$AO$212))</f>
        <v>118.01353708000011</v>
      </c>
      <c r="Q572" s="304">
        <f t="array" ref="Q572">_xlfn.XLOOKUP($B572,$B$114:$B$212,_xlfn.XLOOKUP(Q$219,$F$5:$AO$5,$F$114:$AO$212))</f>
        <v>79.083924399999916</v>
      </c>
      <c r="R572" s="304">
        <f t="array" ref="R572">_xlfn.XLOOKUP($B572,$B$114:$B$212,_xlfn.XLOOKUP(R$219,$F$5:$AO$5,$F$114:$AO$212))</f>
        <v>124.6790075794401</v>
      </c>
      <c r="S572" s="304">
        <f t="array" ref="S572">_xlfn.XLOOKUP($B572,$B$114:$B$212,_xlfn.XLOOKUP(S$219,$F$5:$AO$5,$F$114:$AO$212))</f>
        <v>131.87768504799999</v>
      </c>
      <c r="T572" s="304">
        <f t="array" ref="T572">_xlfn.XLOOKUP($B572,$B$114:$B$212,_xlfn.XLOOKUP(T$219,$F$5:$AO$5,$F$114:$AO$212))</f>
        <v>141.4633954353225</v>
      </c>
      <c r="U572" s="304">
        <f t="array" ref="U572">_xlfn.XLOOKUP($B572,$B$114:$B$212,_xlfn.XLOOKUP(U$219,$F$5:$AO$5,$F$114:$AO$212))</f>
        <v>143.98109363731999</v>
      </c>
      <c r="V572" s="304">
        <f t="array" ref="V572">_xlfn.XLOOKUP($B572,$B$114:$B$212,_xlfn.XLOOKUP(V$219,$F$5:$AO$5,$F$114:$AO$212))</f>
        <v>151.52952599309339</v>
      </c>
      <c r="W572" s="304">
        <f t="array" ref="W572">_xlfn.XLOOKUP($B572,$B$114:$B$212,_xlfn.XLOOKUP(W$219,$F$5:$AO$5,$F$114:$AO$212))</f>
        <v>149.9666721214904</v>
      </c>
      <c r="X572" s="304">
        <f t="array" ref="X572">_xlfn.XLOOKUP($B572,$B$114:$B$212,_xlfn.XLOOKUP(X$219,$F$5:$AO$5,$F$114:$AO$212))</f>
        <v>155.89579458369261</v>
      </c>
      <c r="Y572" s="304">
        <f t="array" ref="Y572">_xlfn.XLOOKUP($B572,$B$114:$B$212,_xlfn.XLOOKUP(Y$219,$F$5:$AO$5,$F$114:$AO$212))</f>
        <v>153.3981497804611</v>
      </c>
      <c r="Z572" s="304">
        <f t="array" ref="Z572">_xlfn.XLOOKUP($B572,$B$114:$B$212,_xlfn.XLOOKUP(Z$219,$F$5:$AO$5,$F$114:$AO$212))</f>
        <v>159.87166550536901</v>
      </c>
      <c r="AA572" s="305"/>
      <c r="AB572" s="302" t="str">
        <f t="shared" si="380"/>
        <v>Reported EBITDA - old</v>
      </c>
      <c r="AC572" s="303" t="str">
        <f t="shared" si="381"/>
        <v>A$m</v>
      </c>
      <c r="AD572" s="303"/>
      <c r="AE572" s="303"/>
      <c r="AF572" s="304">
        <f t="array" ref="AF572">_xlfn.XLOOKUP($B572,$B$114:$B$212,_xlfn.XLOOKUP(AF$219,$F$5:$AO$5,$F$114:$AO$212))</f>
        <v>313.89999999999998</v>
      </c>
      <c r="AG572" s="304">
        <f t="array" ref="AG572">_xlfn.XLOOKUP($B572,$B$114:$B$212,_xlfn.XLOOKUP(AG$219,$F$5:$AO$5,$F$114:$AO$212))</f>
        <v>96.9</v>
      </c>
      <c r="AH572" s="304">
        <f t="array" ref="AH572">_xlfn.XLOOKUP($B572,$B$114:$B$212,_xlfn.XLOOKUP(AH$219,$F$5:$AO$5,$F$114:$AO$212))</f>
        <v>165.9</v>
      </c>
      <c r="AI572" s="304">
        <f t="array" ref="AI572">_xlfn.XLOOKUP($B572,$B$114:$B$212,_xlfn.XLOOKUP(AI$219,$F$5:$AO$5,$F$114:$AO$212))</f>
        <v>138.19999999999999</v>
      </c>
      <c r="AJ572" s="304">
        <f t="array" ref="AJ572">_xlfn.XLOOKUP($B572,$B$114:$B$212,_xlfn.XLOOKUP(AJ$219,$F$5:$AO$5,$F$114:$AO$212))</f>
        <v>231.1135370800001</v>
      </c>
      <c r="AK572" s="304">
        <f t="array" ref="AK572">_xlfn.XLOOKUP($B572,$B$114:$B$212,_xlfn.XLOOKUP(AK$219,$F$5:$AO$5,$F$114:$AO$212))</f>
        <v>203.76293197944</v>
      </c>
      <c r="AL572" s="304">
        <f t="array" ref="AL572">_xlfn.XLOOKUP($B572,$B$114:$B$212,_xlfn.XLOOKUP(AL$219,$F$5:$AO$5,$F$114:$AO$212))</f>
        <v>273.34108048332251</v>
      </c>
      <c r="AM572" s="304">
        <f t="array" ref="AM572">_xlfn.XLOOKUP($B572,$B$114:$B$212,_xlfn.XLOOKUP(AM$219,$F$5:$AO$5,$F$114:$AO$212))</f>
        <v>295.51061963041349</v>
      </c>
      <c r="AN572" s="304">
        <f t="array" ref="AN572">_xlfn.XLOOKUP($B572,$B$114:$B$212,_xlfn.XLOOKUP(AN$219,$F$5:$AO$5,$F$114:$AO$212))</f>
        <v>305.86246670518301</v>
      </c>
      <c r="AO572" s="304">
        <f t="array" ref="AO572">_xlfn.XLOOKUP($B572,$B$114:$B$212,_xlfn.XLOOKUP(AO$219,$F$5:$AO$5,$F$114:$AO$212))</f>
        <v>313.26981528583008</v>
      </c>
    </row>
    <row r="573" spans="1:41">
      <c r="B573" s="301" t="s">
        <v>1583</v>
      </c>
      <c r="C573" s="306" t="s">
        <v>1529</v>
      </c>
      <c r="D573" s="307" t="s">
        <v>90</v>
      </c>
      <c r="E573" s="307"/>
      <c r="F573" s="307"/>
      <c r="G573" s="308" t="e">
        <f t="array" ref="G573">_xlfn.XLOOKUP($B573,$B$11:$B$109,_xlfn.XLOOKUP(G$219,$F$5:$AO$5,$F$11:$AO$109))</f>
        <v>#REF!</v>
      </c>
      <c r="H573" s="308" t="e">
        <f t="array" ref="H573">_xlfn.XLOOKUP($B573,$B$11:$B$109,_xlfn.XLOOKUP(H$219,$F$5:$AO$5,$F$11:$AO$109))</f>
        <v>#REF!</v>
      </c>
      <c r="I573" s="308" t="e">
        <f t="array" ref="I573">_xlfn.XLOOKUP($B573,$B$11:$B$109,_xlfn.XLOOKUP(I$219,$F$5:$AO$5,$F$11:$AO$109))</f>
        <v>#REF!</v>
      </c>
      <c r="J573" s="308" t="e">
        <f t="array" ref="J573">_xlfn.XLOOKUP($B573,$B$11:$B$109,_xlfn.XLOOKUP(J$219,$F$5:$AO$5,$F$11:$AO$109))</f>
        <v>#REF!</v>
      </c>
      <c r="K573" s="308" t="e">
        <f t="array" ref="K573">_xlfn.XLOOKUP($B573,$B$11:$B$109,_xlfn.XLOOKUP(K$219,$F$5:$AO$5,$F$11:$AO$109))</f>
        <v>#REF!</v>
      </c>
      <c r="L573" s="308" t="e">
        <f t="array" ref="L573">_xlfn.XLOOKUP($B573,$B$11:$B$109,_xlfn.XLOOKUP(L$219,$F$5:$AO$5,$F$11:$AO$109))</f>
        <v>#REF!</v>
      </c>
      <c r="M573" s="308" t="e">
        <f t="array" ref="M573">_xlfn.XLOOKUP($B573,$B$11:$B$109,_xlfn.XLOOKUP(M$219,$F$5:$AO$5,$F$11:$AO$109))</f>
        <v>#REF!</v>
      </c>
      <c r="N573" s="308" t="e">
        <f t="array" ref="N573">_xlfn.XLOOKUP($B573,$B$11:$B$109,_xlfn.XLOOKUP(N$219,$F$5:$AO$5,$F$11:$AO$109))</f>
        <v>#REF!</v>
      </c>
      <c r="O573" s="308" t="e">
        <f t="array" ref="O573">_xlfn.XLOOKUP($B573,$B$11:$B$109,_xlfn.XLOOKUP(O$219,$F$5:$AO$5,$F$11:$AO$109))</f>
        <v>#REF!</v>
      </c>
      <c r="P573" s="308" t="e">
        <f t="array" ref="P573">_xlfn.XLOOKUP($B573,$B$11:$B$109,_xlfn.XLOOKUP(P$219,$F$5:$AO$5,$F$11:$AO$109))</f>
        <v>#REF!</v>
      </c>
      <c r="Q573" s="308" t="e">
        <f t="array" ref="Q573">_xlfn.XLOOKUP($B573,$B$11:$B$109,_xlfn.XLOOKUP(Q$219,$F$5:$AO$5,$F$11:$AO$109))</f>
        <v>#REF!</v>
      </c>
      <c r="R573" s="308" t="e">
        <f t="array" ref="R573">_xlfn.XLOOKUP($B573,$B$11:$B$109,_xlfn.XLOOKUP(R$219,$F$5:$AO$5,$F$11:$AO$109))</f>
        <v>#REF!</v>
      </c>
      <c r="S573" s="308" t="e">
        <f t="array" ref="S573">_xlfn.XLOOKUP($B573,$B$11:$B$109,_xlfn.XLOOKUP(S$219,$F$5:$AO$5,$F$11:$AO$109))</f>
        <v>#REF!</v>
      </c>
      <c r="T573" s="308" t="e">
        <f t="array" ref="T573">_xlfn.XLOOKUP($B573,$B$11:$B$109,_xlfn.XLOOKUP(T$219,$F$5:$AO$5,$F$11:$AO$109))</f>
        <v>#REF!</v>
      </c>
      <c r="U573" s="308" t="e">
        <f t="array" ref="U573">_xlfn.XLOOKUP($B573,$B$11:$B$109,_xlfn.XLOOKUP(U$219,$F$5:$AO$5,$F$11:$AO$109))</f>
        <v>#REF!</v>
      </c>
      <c r="V573" s="308" t="e">
        <f t="array" ref="V573">_xlfn.XLOOKUP($B573,$B$11:$B$109,_xlfn.XLOOKUP(V$219,$F$5:$AO$5,$F$11:$AO$109))</f>
        <v>#REF!</v>
      </c>
      <c r="W573" s="308" t="e">
        <f t="array" ref="W573">_xlfn.XLOOKUP($B573,$B$11:$B$109,_xlfn.XLOOKUP(W$219,$F$5:$AO$5,$F$11:$AO$109))</f>
        <v>#REF!</v>
      </c>
      <c r="X573" s="308" t="e">
        <f t="array" ref="X573">_xlfn.XLOOKUP($B573,$B$11:$B$109,_xlfn.XLOOKUP(X$219,$F$5:$AO$5,$F$11:$AO$109))</f>
        <v>#REF!</v>
      </c>
      <c r="Y573" s="308" t="e">
        <f t="array" ref="Y573">_xlfn.XLOOKUP($B573,$B$11:$B$109,_xlfn.XLOOKUP(Y$219,$F$5:$AO$5,$F$11:$AO$109))</f>
        <v>#REF!</v>
      </c>
      <c r="Z573" s="308" t="e">
        <f t="array" ref="Z573">_xlfn.XLOOKUP($B573,$B$11:$B$109,_xlfn.XLOOKUP(Z$219,$F$5:$AO$5,$F$11:$AO$109))</f>
        <v>#REF!</v>
      </c>
      <c r="AA573" s="308"/>
      <c r="AB573" s="306" t="str">
        <f t="shared" si="380"/>
        <v>Reported EBITDA - New</v>
      </c>
      <c r="AC573" s="307" t="str">
        <f t="shared" si="381"/>
        <v>A$m</v>
      </c>
      <c r="AD573" s="307"/>
      <c r="AE573" s="307"/>
      <c r="AF573" s="308" t="e">
        <f t="array" ref="AF573">_xlfn.XLOOKUP($B573,$B$11:$B$109,_xlfn.XLOOKUP(AF$219,$F$5:$AO$5,$F$11:$AO$109))</f>
        <v>#REF!</v>
      </c>
      <c r="AG573" s="308" t="e">
        <f t="array" ref="AG573">_xlfn.XLOOKUP($B573,$B$11:$B$109,_xlfn.XLOOKUP(AG$219,$F$5:$AO$5,$F$11:$AO$109))</f>
        <v>#REF!</v>
      </c>
      <c r="AH573" s="308" t="e">
        <f t="array" ref="AH573">_xlfn.XLOOKUP($B573,$B$11:$B$109,_xlfn.XLOOKUP(AH$219,$F$5:$AO$5,$F$11:$AO$109))</f>
        <v>#REF!</v>
      </c>
      <c r="AI573" s="308" t="e">
        <f t="array" ref="AI573">_xlfn.XLOOKUP($B573,$B$11:$B$109,_xlfn.XLOOKUP(AI$219,$F$5:$AO$5,$F$11:$AO$109))</f>
        <v>#REF!</v>
      </c>
      <c r="AJ573" s="308" t="e">
        <f t="array" ref="AJ573">_xlfn.XLOOKUP($B573,$B$11:$B$109,_xlfn.XLOOKUP(AJ$219,$F$5:$AO$5,$F$11:$AO$109))</f>
        <v>#REF!</v>
      </c>
      <c r="AK573" s="308" t="e">
        <f t="array" ref="AK573">_xlfn.XLOOKUP($B573,$B$11:$B$109,_xlfn.XLOOKUP(AK$219,$F$5:$AO$5,$F$11:$AO$109))</f>
        <v>#REF!</v>
      </c>
      <c r="AL573" s="308" t="e">
        <f t="array" ref="AL573">_xlfn.XLOOKUP($B573,$B$11:$B$109,_xlfn.XLOOKUP(AL$219,$F$5:$AO$5,$F$11:$AO$109))</f>
        <v>#REF!</v>
      </c>
      <c r="AM573" s="308" t="e">
        <f t="array" ref="AM573">_xlfn.XLOOKUP($B573,$B$11:$B$109,_xlfn.XLOOKUP(AM$219,$F$5:$AO$5,$F$11:$AO$109))</f>
        <v>#REF!</v>
      </c>
      <c r="AN573" s="308" t="e">
        <f t="array" ref="AN573">_xlfn.XLOOKUP($B573,$B$11:$B$109,_xlfn.XLOOKUP(AN$219,$F$5:$AO$5,$F$11:$AO$109))</f>
        <v>#REF!</v>
      </c>
      <c r="AO573" s="308" t="e">
        <f t="array" ref="AO573">_xlfn.XLOOKUP($B573,$B$11:$B$109,_xlfn.XLOOKUP(AO$219,$F$5:$AO$5,$F$11:$AO$109))</f>
        <v>#REF!</v>
      </c>
    </row>
    <row r="574" spans="1:41" hidden="1" outlineLevel="1">
      <c r="C574" s="309" t="s">
        <v>1510</v>
      </c>
      <c r="D574" s="303" t="s">
        <v>88</v>
      </c>
      <c r="E574" s="303"/>
      <c r="F574" s="303"/>
      <c r="G574" s="310" t="s">
        <v>967</v>
      </c>
      <c r="H574" s="310" t="s">
        <v>967</v>
      </c>
      <c r="I574" s="310" t="e">
        <f t="shared" ref="I574:Z574" si="386">I573/G573-1</f>
        <v>#REF!</v>
      </c>
      <c r="J574" s="310" t="e">
        <f t="shared" si="386"/>
        <v>#REF!</v>
      </c>
      <c r="K574" s="310" t="e">
        <f t="shared" si="386"/>
        <v>#REF!</v>
      </c>
      <c r="L574" s="310" t="e">
        <f t="shared" si="386"/>
        <v>#REF!</v>
      </c>
      <c r="M574" s="310" t="e">
        <f t="shared" si="386"/>
        <v>#REF!</v>
      </c>
      <c r="N574" s="310" t="e">
        <f t="shared" si="386"/>
        <v>#REF!</v>
      </c>
      <c r="O574" s="310" t="e">
        <f t="shared" si="386"/>
        <v>#REF!</v>
      </c>
      <c r="P574" s="310" t="e">
        <f t="shared" si="386"/>
        <v>#REF!</v>
      </c>
      <c r="Q574" s="310" t="e">
        <f t="shared" si="386"/>
        <v>#REF!</v>
      </c>
      <c r="R574" s="310" t="e">
        <f t="shared" si="386"/>
        <v>#REF!</v>
      </c>
      <c r="S574" s="310" t="e">
        <f t="shared" si="386"/>
        <v>#REF!</v>
      </c>
      <c r="T574" s="310" t="e">
        <f t="shared" si="386"/>
        <v>#REF!</v>
      </c>
      <c r="U574" s="310" t="e">
        <f t="shared" si="386"/>
        <v>#REF!</v>
      </c>
      <c r="V574" s="310" t="e">
        <f t="shared" si="386"/>
        <v>#REF!</v>
      </c>
      <c r="W574" s="310" t="e">
        <f t="shared" si="386"/>
        <v>#REF!</v>
      </c>
      <c r="X574" s="310" t="e">
        <f t="shared" si="386"/>
        <v>#REF!</v>
      </c>
      <c r="Y574" s="310" t="e">
        <f t="shared" si="386"/>
        <v>#REF!</v>
      </c>
      <c r="Z574" s="310" t="e">
        <f t="shared" si="386"/>
        <v>#REF!</v>
      </c>
      <c r="AA574" s="311"/>
      <c r="AB574" s="309" t="str">
        <f t="shared" si="380"/>
        <v>- Growth</v>
      </c>
      <c r="AC574" s="303" t="str">
        <f t="shared" si="381"/>
        <v>%</v>
      </c>
      <c r="AD574" s="303"/>
      <c r="AE574" s="303"/>
      <c r="AF574" s="310" t="s">
        <v>967</v>
      </c>
      <c r="AG574" s="310" t="e">
        <f t="shared" ref="AG574:AO574" si="387">AG573/AF573-1</f>
        <v>#REF!</v>
      </c>
      <c r="AH574" s="310" t="e">
        <f t="shared" si="387"/>
        <v>#REF!</v>
      </c>
      <c r="AI574" s="310" t="e">
        <f t="shared" si="387"/>
        <v>#REF!</v>
      </c>
      <c r="AJ574" s="310" t="e">
        <f t="shared" si="387"/>
        <v>#REF!</v>
      </c>
      <c r="AK574" s="310" t="e">
        <f t="shared" si="387"/>
        <v>#REF!</v>
      </c>
      <c r="AL574" s="310" t="e">
        <f t="shared" si="387"/>
        <v>#REF!</v>
      </c>
      <c r="AM574" s="310" t="e">
        <f t="shared" si="387"/>
        <v>#REF!</v>
      </c>
      <c r="AN574" s="310" t="e">
        <f t="shared" si="387"/>
        <v>#REF!</v>
      </c>
      <c r="AO574" s="310" t="e">
        <f t="shared" si="387"/>
        <v>#REF!</v>
      </c>
    </row>
    <row r="575" spans="1:41" collapsed="1">
      <c r="C575" s="309" t="s">
        <v>1511</v>
      </c>
      <c r="D575" s="303" t="s">
        <v>88</v>
      </c>
      <c r="E575" s="303"/>
      <c r="F575" s="303"/>
      <c r="G575" s="310">
        <f t="shared" ref="G575:Z575" si="388">IFERROR(ROUND( G573 / G572,2) - 1, 0)</f>
        <v>0</v>
      </c>
      <c r="H575" s="310">
        <f t="shared" si="388"/>
        <v>0</v>
      </c>
      <c r="I575" s="310">
        <f t="shared" si="388"/>
        <v>0</v>
      </c>
      <c r="J575" s="310">
        <f t="shared" si="388"/>
        <v>0</v>
      </c>
      <c r="K575" s="310">
        <f t="shared" si="388"/>
        <v>0</v>
      </c>
      <c r="L575" s="310">
        <f t="shared" si="388"/>
        <v>0</v>
      </c>
      <c r="M575" s="310">
        <f t="shared" si="388"/>
        <v>0</v>
      </c>
      <c r="N575" s="310">
        <f t="shared" si="388"/>
        <v>0</v>
      </c>
      <c r="O575" s="310">
        <f t="shared" si="388"/>
        <v>0</v>
      </c>
      <c r="P575" s="310">
        <f t="shared" si="388"/>
        <v>0</v>
      </c>
      <c r="Q575" s="310">
        <f t="shared" si="388"/>
        <v>0</v>
      </c>
      <c r="R575" s="310">
        <f t="shared" si="388"/>
        <v>0</v>
      </c>
      <c r="S575" s="310">
        <f t="shared" si="388"/>
        <v>0</v>
      </c>
      <c r="T575" s="310">
        <f t="shared" si="388"/>
        <v>0</v>
      </c>
      <c r="U575" s="310">
        <f t="shared" si="388"/>
        <v>0</v>
      </c>
      <c r="V575" s="310">
        <f t="shared" si="388"/>
        <v>0</v>
      </c>
      <c r="W575" s="310">
        <f t="shared" si="388"/>
        <v>0</v>
      </c>
      <c r="X575" s="310">
        <f t="shared" si="388"/>
        <v>0</v>
      </c>
      <c r="Y575" s="310">
        <f t="shared" si="388"/>
        <v>0</v>
      </c>
      <c r="Z575" s="310">
        <f t="shared" si="388"/>
        <v>0</v>
      </c>
      <c r="AA575" s="310"/>
      <c r="AB575" s="309" t="str">
        <f t="shared" si="380"/>
        <v>- Revision</v>
      </c>
      <c r="AC575" s="303" t="str">
        <f t="shared" si="381"/>
        <v>%</v>
      </c>
      <c r="AD575" s="303"/>
      <c r="AE575" s="303"/>
      <c r="AF575" s="310">
        <f t="shared" ref="AF575:AO575" si="389">IFERROR(ROUND( AF573 / AF572,2) - 1, 0)</f>
        <v>0</v>
      </c>
      <c r="AG575" s="310">
        <f t="shared" si="389"/>
        <v>0</v>
      </c>
      <c r="AH575" s="310">
        <f t="shared" si="389"/>
        <v>0</v>
      </c>
      <c r="AI575" s="310">
        <f t="shared" si="389"/>
        <v>0</v>
      </c>
      <c r="AJ575" s="310">
        <f t="shared" si="389"/>
        <v>0</v>
      </c>
      <c r="AK575" s="310">
        <f t="shared" si="389"/>
        <v>0</v>
      </c>
      <c r="AL575" s="310">
        <f t="shared" si="389"/>
        <v>0</v>
      </c>
      <c r="AM575" s="310">
        <f t="shared" si="389"/>
        <v>0</v>
      </c>
      <c r="AN575" s="310">
        <f t="shared" si="389"/>
        <v>0</v>
      </c>
      <c r="AO575" s="310">
        <f t="shared" si="389"/>
        <v>0</v>
      </c>
    </row>
    <row r="576" spans="1:41">
      <c r="B576" s="301" t="s">
        <v>1584</v>
      </c>
      <c r="C576" s="302" t="s">
        <v>1585</v>
      </c>
      <c r="D576" s="303" t="s">
        <v>90</v>
      </c>
      <c r="E576" s="303"/>
      <c r="F576" s="303"/>
      <c r="G576" s="304">
        <f t="array" ref="G576">_xlfn.XLOOKUP($B576,$B$114:$B$212,_xlfn.XLOOKUP(G$219,$F$5:$AO$5,$F$114:$AO$212))</f>
        <v>109.4</v>
      </c>
      <c r="H576" s="304">
        <f t="array" ref="H576">_xlfn.XLOOKUP($B576,$B$114:$B$212,_xlfn.XLOOKUP(H$219,$F$5:$AO$5,$F$114:$AO$212))</f>
        <v>116.1</v>
      </c>
      <c r="I576" s="304">
        <f t="array" ref="I576">_xlfn.XLOOKUP($B576,$B$114:$B$212,_xlfn.XLOOKUP(I$219,$F$5:$AO$5,$F$114:$AO$212))</f>
        <v>-27.4</v>
      </c>
      <c r="J576" s="304">
        <f t="array" ref="J576">_xlfn.XLOOKUP($B576,$B$114:$B$212,_xlfn.XLOOKUP(J$219,$F$5:$AO$5,$F$114:$AO$212))</f>
        <v>29.6</v>
      </c>
      <c r="K576" s="304">
        <f t="array" ref="K576">_xlfn.XLOOKUP($B576,$B$114:$B$212,_xlfn.XLOOKUP(K$219,$F$5:$AO$5,$F$114:$AO$212))</f>
        <v>60.835999999999977</v>
      </c>
      <c r="L576" s="304">
        <f t="array" ref="L576">_xlfn.XLOOKUP($B576,$B$114:$B$212,_xlfn.XLOOKUP(L$219,$F$5:$AO$5,$F$114:$AO$212))</f>
        <v>14.39200000000001</v>
      </c>
      <c r="M576" s="304">
        <f t="array" ref="M576">_xlfn.XLOOKUP($B576,$B$114:$B$212,_xlfn.XLOOKUP(M$219,$F$5:$AO$5,$F$114:$AO$212))</f>
        <v>56.753</v>
      </c>
      <c r="N576" s="304">
        <f t="array" ref="N576">_xlfn.XLOOKUP($B576,$B$114:$B$212,_xlfn.XLOOKUP(N$219,$F$5:$AO$5,$F$114:$AO$212))</f>
        <v>-10.574000000000011</v>
      </c>
      <c r="O576" s="304">
        <f t="array" ref="O576">_xlfn.XLOOKUP($B576,$B$114:$B$212,_xlfn.XLOOKUP(O$219,$F$5:$AO$5,$F$114:$AO$212))</f>
        <v>67.770999999999987</v>
      </c>
      <c r="P576" s="304">
        <f t="array" ref="P576">_xlfn.XLOOKUP($B576,$B$114:$B$212,_xlfn.XLOOKUP(P$219,$F$5:$AO$5,$F$114:$AO$212))</f>
        <v>71.975330560695767</v>
      </c>
      <c r="Q576" s="304">
        <f t="array" ref="Q576">_xlfn.XLOOKUP($B576,$B$114:$B$212,_xlfn.XLOOKUP(Q$219,$F$5:$AO$5,$F$114:$AO$212))</f>
        <v>32.523407335011541</v>
      </c>
      <c r="R576" s="304">
        <f t="array" ref="R576">_xlfn.XLOOKUP($B576,$B$114:$B$212,_xlfn.XLOOKUP(R$219,$F$5:$AO$5,$F$114:$AO$212))</f>
        <v>77.875587870463605</v>
      </c>
      <c r="S576" s="304">
        <f t="array" ref="S576">_xlfn.XLOOKUP($B576,$B$114:$B$212,_xlfn.XLOOKUP(S$219,$F$5:$AO$5,$F$114:$AO$212))</f>
        <v>85.192643213657931</v>
      </c>
      <c r="T576" s="304">
        <f t="array" ref="T576">_xlfn.XLOOKUP($B576,$B$114:$B$212,_xlfn.XLOOKUP(T$219,$F$5:$AO$5,$F$114:$AO$212))</f>
        <v>94.850769889825486</v>
      </c>
      <c r="U576" s="304">
        <f t="array" ref="U576">_xlfn.XLOOKUP($B576,$B$114:$B$212,_xlfn.XLOOKUP(U$219,$F$5:$AO$5,$F$114:$AO$212))</f>
        <v>97.430612638078145</v>
      </c>
      <c r="V576" s="304">
        <f t="array" ref="V576">_xlfn.XLOOKUP($B576,$B$114:$B$212,_xlfn.XLOOKUP(V$219,$F$5:$AO$5,$F$114:$AO$212))</f>
        <v>105.0039439140083</v>
      </c>
      <c r="W576" s="304">
        <f t="array" ref="W576">_xlfn.XLOOKUP($B576,$B$114:$B$212,_xlfn.XLOOKUP(W$219,$F$5:$AO$5,$F$114:$AO$212))</f>
        <v>103.4607977187525</v>
      </c>
      <c r="X576" s="304">
        <f t="array" ref="X576">_xlfn.XLOOKUP($B576,$B$114:$B$212,_xlfn.XLOOKUP(X$219,$F$5:$AO$5,$F$114:$AO$212))</f>
        <v>109.3766955421447</v>
      </c>
      <c r="Y576" s="304">
        <f t="array" ref="Y576">_xlfn.XLOOKUP($B576,$B$114:$B$212,_xlfn.XLOOKUP(Y$219,$F$5:$AO$5,$F$114:$AO$212))</f>
        <v>106.864214924259</v>
      </c>
      <c r="Z576" s="304">
        <f t="array" ref="Z576">_xlfn.XLOOKUP($B576,$B$114:$B$212,_xlfn.XLOOKUP(Z$219,$F$5:$AO$5,$F$114:$AO$212))</f>
        <v>113.29260082855851</v>
      </c>
      <c r="AA576" s="305"/>
      <c r="AB576" s="302" t="str">
        <f t="shared" si="380"/>
        <v>Reported EBIT - old</v>
      </c>
      <c r="AC576" s="303" t="str">
        <f t="shared" si="381"/>
        <v>A$m</v>
      </c>
      <c r="AD576" s="303"/>
      <c r="AE576" s="303"/>
      <c r="AF576" s="304">
        <f t="array" ref="AF576">_xlfn.XLOOKUP($B576,$B$114:$B$212,_xlfn.XLOOKUP(AF$219,$F$5:$AO$5,$F$114:$AO$212))</f>
        <v>225.5</v>
      </c>
      <c r="AG576" s="304">
        <f t="array" ref="AG576">_xlfn.XLOOKUP($B576,$B$114:$B$212,_xlfn.XLOOKUP(AG$219,$F$5:$AO$5,$F$114:$AO$212))</f>
        <v>2.2000000000000028</v>
      </c>
      <c r="AH576" s="304">
        <f t="array" ref="AH576">_xlfn.XLOOKUP($B576,$B$114:$B$212,_xlfn.XLOOKUP(AH$219,$F$5:$AO$5,$F$114:$AO$212))</f>
        <v>75.227999999999994</v>
      </c>
      <c r="AI576" s="304">
        <f t="array" ref="AI576">_xlfn.XLOOKUP($B576,$B$114:$B$212,_xlfn.XLOOKUP(AI$219,$F$5:$AO$5,$F$114:$AO$212))</f>
        <v>46.178999999999988</v>
      </c>
      <c r="AJ576" s="304">
        <f t="array" ref="AJ576">_xlfn.XLOOKUP($B576,$B$114:$B$212,_xlfn.XLOOKUP(AJ$219,$F$5:$AO$5,$F$114:$AO$212))</f>
        <v>139.74633056069581</v>
      </c>
      <c r="AK576" s="304">
        <f t="array" ref="AK576">_xlfn.XLOOKUP($B576,$B$114:$B$212,_xlfn.XLOOKUP(AK$219,$F$5:$AO$5,$F$114:$AO$212))</f>
        <v>110.3989952054751</v>
      </c>
      <c r="AL576" s="304">
        <f t="array" ref="AL576">_xlfn.XLOOKUP($B576,$B$114:$B$212,_xlfn.XLOOKUP(AL$219,$F$5:$AO$5,$F$114:$AO$212))</f>
        <v>180.0434131034834</v>
      </c>
      <c r="AM576" s="304">
        <f t="array" ref="AM576">_xlfn.XLOOKUP($B576,$B$114:$B$212,_xlfn.XLOOKUP(AM$219,$F$5:$AO$5,$F$114:$AO$212))</f>
        <v>202.43455655208641</v>
      </c>
      <c r="AN576" s="304">
        <f t="array" ref="AN576">_xlfn.XLOOKUP($B576,$B$114:$B$212,_xlfn.XLOOKUP(AN$219,$F$5:$AO$5,$F$114:$AO$212))</f>
        <v>212.83749326089711</v>
      </c>
      <c r="AO576" s="304">
        <f t="array" ref="AO576">_xlfn.XLOOKUP($B576,$B$114:$B$212,_xlfn.XLOOKUP(AO$219,$F$5:$AO$5,$F$114:$AO$212))</f>
        <v>220.15681575281749</v>
      </c>
    </row>
    <row r="577" spans="2:41">
      <c r="B577" s="301" t="s">
        <v>1584</v>
      </c>
      <c r="C577" s="306" t="s">
        <v>1586</v>
      </c>
      <c r="D577" s="307" t="s">
        <v>90</v>
      </c>
      <c r="E577" s="307"/>
      <c r="F577" s="307"/>
      <c r="G577" s="308" t="e">
        <f t="array" ref="G577">_xlfn.XLOOKUP($B577,$B$11:$B$109,_xlfn.XLOOKUP(G$219,$F$5:$AO$5,$F$11:$AO$109))</f>
        <v>#REF!</v>
      </c>
      <c r="H577" s="308" t="e">
        <f t="array" ref="H577">_xlfn.XLOOKUP($B577,$B$11:$B$109,_xlfn.XLOOKUP(H$219,$F$5:$AO$5,$F$11:$AO$109))</f>
        <v>#REF!</v>
      </c>
      <c r="I577" s="308" t="e">
        <f t="array" ref="I577">_xlfn.XLOOKUP($B577,$B$11:$B$109,_xlfn.XLOOKUP(I$219,$F$5:$AO$5,$F$11:$AO$109))</f>
        <v>#REF!</v>
      </c>
      <c r="J577" s="308" t="e">
        <f t="array" ref="J577">_xlfn.XLOOKUP($B577,$B$11:$B$109,_xlfn.XLOOKUP(J$219,$F$5:$AO$5,$F$11:$AO$109))</f>
        <v>#REF!</v>
      </c>
      <c r="K577" s="308" t="e">
        <f t="array" ref="K577">_xlfn.XLOOKUP($B577,$B$11:$B$109,_xlfn.XLOOKUP(K$219,$F$5:$AO$5,$F$11:$AO$109))</f>
        <v>#REF!</v>
      </c>
      <c r="L577" s="308" t="e">
        <f t="array" ref="L577">_xlfn.XLOOKUP($B577,$B$11:$B$109,_xlfn.XLOOKUP(L$219,$F$5:$AO$5,$F$11:$AO$109))</f>
        <v>#REF!</v>
      </c>
      <c r="M577" s="308" t="e">
        <f t="array" ref="M577">_xlfn.XLOOKUP($B577,$B$11:$B$109,_xlfn.XLOOKUP(M$219,$F$5:$AO$5,$F$11:$AO$109))</f>
        <v>#REF!</v>
      </c>
      <c r="N577" s="308" t="e">
        <f t="array" ref="N577">_xlfn.XLOOKUP($B577,$B$11:$B$109,_xlfn.XLOOKUP(N$219,$F$5:$AO$5,$F$11:$AO$109))</f>
        <v>#REF!</v>
      </c>
      <c r="O577" s="308" t="e">
        <f t="array" ref="O577">_xlfn.XLOOKUP($B577,$B$11:$B$109,_xlfn.XLOOKUP(O$219,$F$5:$AO$5,$F$11:$AO$109))</f>
        <v>#REF!</v>
      </c>
      <c r="P577" s="308" t="e">
        <f t="array" ref="P577">_xlfn.XLOOKUP($B577,$B$11:$B$109,_xlfn.XLOOKUP(P$219,$F$5:$AO$5,$F$11:$AO$109))</f>
        <v>#REF!</v>
      </c>
      <c r="Q577" s="308" t="e">
        <f t="array" ref="Q577">_xlfn.XLOOKUP($B577,$B$11:$B$109,_xlfn.XLOOKUP(Q$219,$F$5:$AO$5,$F$11:$AO$109))</f>
        <v>#REF!</v>
      </c>
      <c r="R577" s="308" t="e">
        <f t="array" ref="R577">_xlfn.XLOOKUP($B577,$B$11:$B$109,_xlfn.XLOOKUP(R$219,$F$5:$AO$5,$F$11:$AO$109))</f>
        <v>#REF!</v>
      </c>
      <c r="S577" s="308" t="e">
        <f t="array" ref="S577">_xlfn.XLOOKUP($B577,$B$11:$B$109,_xlfn.XLOOKUP(S$219,$F$5:$AO$5,$F$11:$AO$109))</f>
        <v>#REF!</v>
      </c>
      <c r="T577" s="308" t="e">
        <f t="array" ref="T577">_xlfn.XLOOKUP($B577,$B$11:$B$109,_xlfn.XLOOKUP(T$219,$F$5:$AO$5,$F$11:$AO$109))</f>
        <v>#REF!</v>
      </c>
      <c r="U577" s="308" t="e">
        <f t="array" ref="U577">_xlfn.XLOOKUP($B577,$B$11:$B$109,_xlfn.XLOOKUP(U$219,$F$5:$AO$5,$F$11:$AO$109))</f>
        <v>#REF!</v>
      </c>
      <c r="V577" s="308" t="e">
        <f t="array" ref="V577">_xlfn.XLOOKUP($B577,$B$11:$B$109,_xlfn.XLOOKUP(V$219,$F$5:$AO$5,$F$11:$AO$109))</f>
        <v>#REF!</v>
      </c>
      <c r="W577" s="308" t="e">
        <f t="array" ref="W577">_xlfn.XLOOKUP($B577,$B$11:$B$109,_xlfn.XLOOKUP(W$219,$F$5:$AO$5,$F$11:$AO$109))</f>
        <v>#REF!</v>
      </c>
      <c r="X577" s="308" t="e">
        <f t="array" ref="X577">_xlfn.XLOOKUP($B577,$B$11:$B$109,_xlfn.XLOOKUP(X$219,$F$5:$AO$5,$F$11:$AO$109))</f>
        <v>#REF!</v>
      </c>
      <c r="Y577" s="308" t="e">
        <f t="array" ref="Y577">_xlfn.XLOOKUP($B577,$B$11:$B$109,_xlfn.XLOOKUP(Y$219,$F$5:$AO$5,$F$11:$AO$109))</f>
        <v>#REF!</v>
      </c>
      <c r="Z577" s="308" t="e">
        <f t="array" ref="Z577">_xlfn.XLOOKUP($B577,$B$11:$B$109,_xlfn.XLOOKUP(Z$219,$F$5:$AO$5,$F$11:$AO$109))</f>
        <v>#REF!</v>
      </c>
      <c r="AA577" s="308"/>
      <c r="AB577" s="306" t="str">
        <f t="shared" si="380"/>
        <v>Reported EBIT - New</v>
      </c>
      <c r="AC577" s="307" t="str">
        <f t="shared" si="381"/>
        <v>A$m</v>
      </c>
      <c r="AD577" s="307"/>
      <c r="AE577" s="307"/>
      <c r="AF577" s="308" t="e">
        <f t="array" ref="AF577">_xlfn.XLOOKUP($B577,$B$11:$B$109,_xlfn.XLOOKUP(AF$219,$F$5:$AO$5,$F$11:$AO$109))</f>
        <v>#REF!</v>
      </c>
      <c r="AG577" s="308" t="e">
        <f t="array" ref="AG577">_xlfn.XLOOKUP($B577,$B$11:$B$109,_xlfn.XLOOKUP(AG$219,$F$5:$AO$5,$F$11:$AO$109))</f>
        <v>#REF!</v>
      </c>
      <c r="AH577" s="308" t="e">
        <f t="array" ref="AH577">_xlfn.XLOOKUP($B577,$B$11:$B$109,_xlfn.XLOOKUP(AH$219,$F$5:$AO$5,$F$11:$AO$109))</f>
        <v>#REF!</v>
      </c>
      <c r="AI577" s="308" t="e">
        <f t="array" ref="AI577">_xlfn.XLOOKUP($B577,$B$11:$B$109,_xlfn.XLOOKUP(AI$219,$F$5:$AO$5,$F$11:$AO$109))</f>
        <v>#REF!</v>
      </c>
      <c r="AJ577" s="308" t="e">
        <f t="array" ref="AJ577">_xlfn.XLOOKUP($B577,$B$11:$B$109,_xlfn.XLOOKUP(AJ$219,$F$5:$AO$5,$F$11:$AO$109))</f>
        <v>#REF!</v>
      </c>
      <c r="AK577" s="308" t="e">
        <f t="array" ref="AK577">_xlfn.XLOOKUP($B577,$B$11:$B$109,_xlfn.XLOOKUP(AK$219,$F$5:$AO$5,$F$11:$AO$109))</f>
        <v>#REF!</v>
      </c>
      <c r="AL577" s="308" t="e">
        <f t="array" ref="AL577">_xlfn.XLOOKUP($B577,$B$11:$B$109,_xlfn.XLOOKUP(AL$219,$F$5:$AO$5,$F$11:$AO$109))</f>
        <v>#REF!</v>
      </c>
      <c r="AM577" s="308" t="e">
        <f t="array" ref="AM577">_xlfn.XLOOKUP($B577,$B$11:$B$109,_xlfn.XLOOKUP(AM$219,$F$5:$AO$5,$F$11:$AO$109))</f>
        <v>#REF!</v>
      </c>
      <c r="AN577" s="308" t="e">
        <f t="array" ref="AN577">_xlfn.XLOOKUP($B577,$B$11:$B$109,_xlfn.XLOOKUP(AN$219,$F$5:$AO$5,$F$11:$AO$109))</f>
        <v>#REF!</v>
      </c>
      <c r="AO577" s="308" t="e">
        <f t="array" ref="AO577">_xlfn.XLOOKUP($B577,$B$11:$B$109,_xlfn.XLOOKUP(AO$219,$F$5:$AO$5,$F$11:$AO$109))</f>
        <v>#REF!</v>
      </c>
    </row>
    <row r="578" spans="2:41" hidden="1" outlineLevel="1">
      <c r="C578" s="309" t="s">
        <v>1510</v>
      </c>
      <c r="D578" s="303" t="s">
        <v>88</v>
      </c>
      <c r="E578" s="303"/>
      <c r="F578" s="303"/>
      <c r="G578" s="310" t="s">
        <v>967</v>
      </c>
      <c r="H578" s="310" t="s">
        <v>967</v>
      </c>
      <c r="I578" s="310" t="e">
        <f t="shared" ref="I578:Z578" si="390">I577/G577-1</f>
        <v>#REF!</v>
      </c>
      <c r="J578" s="310" t="e">
        <f t="shared" si="390"/>
        <v>#REF!</v>
      </c>
      <c r="K578" s="310" t="e">
        <f t="shared" si="390"/>
        <v>#REF!</v>
      </c>
      <c r="L578" s="310" t="e">
        <f t="shared" si="390"/>
        <v>#REF!</v>
      </c>
      <c r="M578" s="310" t="e">
        <f t="shared" si="390"/>
        <v>#REF!</v>
      </c>
      <c r="N578" s="310" t="e">
        <f t="shared" si="390"/>
        <v>#REF!</v>
      </c>
      <c r="O578" s="310" t="e">
        <f t="shared" si="390"/>
        <v>#REF!</v>
      </c>
      <c r="P578" s="310" t="e">
        <f t="shared" si="390"/>
        <v>#REF!</v>
      </c>
      <c r="Q578" s="310" t="e">
        <f t="shared" si="390"/>
        <v>#REF!</v>
      </c>
      <c r="R578" s="310" t="e">
        <f t="shared" si="390"/>
        <v>#REF!</v>
      </c>
      <c r="S578" s="310" t="e">
        <f t="shared" si="390"/>
        <v>#REF!</v>
      </c>
      <c r="T578" s="310" t="e">
        <f t="shared" si="390"/>
        <v>#REF!</v>
      </c>
      <c r="U578" s="310" t="e">
        <f t="shared" si="390"/>
        <v>#REF!</v>
      </c>
      <c r="V578" s="310" t="e">
        <f t="shared" si="390"/>
        <v>#REF!</v>
      </c>
      <c r="W578" s="310" t="e">
        <f t="shared" si="390"/>
        <v>#REF!</v>
      </c>
      <c r="X578" s="310" t="e">
        <f t="shared" si="390"/>
        <v>#REF!</v>
      </c>
      <c r="Y578" s="310" t="e">
        <f t="shared" si="390"/>
        <v>#REF!</v>
      </c>
      <c r="Z578" s="310" t="e">
        <f t="shared" si="390"/>
        <v>#REF!</v>
      </c>
      <c r="AA578" s="311"/>
      <c r="AB578" s="309" t="str">
        <f t="shared" si="380"/>
        <v>- Growth</v>
      </c>
      <c r="AC578" s="303" t="str">
        <f t="shared" si="381"/>
        <v>%</v>
      </c>
      <c r="AD578" s="303"/>
      <c r="AE578" s="303"/>
      <c r="AF578" s="310" t="s">
        <v>967</v>
      </c>
      <c r="AG578" s="310" t="e">
        <f t="shared" ref="AG578:AO578" si="391">AG577/AF577-1</f>
        <v>#REF!</v>
      </c>
      <c r="AH578" s="310" t="e">
        <f t="shared" si="391"/>
        <v>#REF!</v>
      </c>
      <c r="AI578" s="310" t="e">
        <f t="shared" si="391"/>
        <v>#REF!</v>
      </c>
      <c r="AJ578" s="310" t="e">
        <f t="shared" si="391"/>
        <v>#REF!</v>
      </c>
      <c r="AK578" s="310" t="e">
        <f t="shared" si="391"/>
        <v>#REF!</v>
      </c>
      <c r="AL578" s="310" t="e">
        <f t="shared" si="391"/>
        <v>#REF!</v>
      </c>
      <c r="AM578" s="310" t="e">
        <f t="shared" si="391"/>
        <v>#REF!</v>
      </c>
      <c r="AN578" s="310" t="e">
        <f t="shared" si="391"/>
        <v>#REF!</v>
      </c>
      <c r="AO578" s="310" t="e">
        <f t="shared" si="391"/>
        <v>#REF!</v>
      </c>
    </row>
    <row r="579" spans="2:41" collapsed="1">
      <c r="C579" s="309" t="s">
        <v>1511</v>
      </c>
      <c r="D579" s="303" t="s">
        <v>88</v>
      </c>
      <c r="E579" s="303"/>
      <c r="F579" s="303"/>
      <c r="G579" s="310">
        <f t="shared" ref="G579:Z579" si="392">IFERROR(ROUND( G577 / G576,2) - 1, 0)</f>
        <v>0</v>
      </c>
      <c r="H579" s="310">
        <f t="shared" si="392"/>
        <v>0</v>
      </c>
      <c r="I579" s="310">
        <f t="shared" si="392"/>
        <v>0</v>
      </c>
      <c r="J579" s="310">
        <f t="shared" si="392"/>
        <v>0</v>
      </c>
      <c r="K579" s="310">
        <f t="shared" si="392"/>
        <v>0</v>
      </c>
      <c r="L579" s="310">
        <f t="shared" si="392"/>
        <v>0</v>
      </c>
      <c r="M579" s="310">
        <f t="shared" si="392"/>
        <v>0</v>
      </c>
      <c r="N579" s="310">
        <f t="shared" si="392"/>
        <v>0</v>
      </c>
      <c r="O579" s="310">
        <f t="shared" si="392"/>
        <v>0</v>
      </c>
      <c r="P579" s="310">
        <f t="shared" si="392"/>
        <v>0</v>
      </c>
      <c r="Q579" s="310">
        <f t="shared" si="392"/>
        <v>0</v>
      </c>
      <c r="R579" s="310">
        <f t="shared" si="392"/>
        <v>0</v>
      </c>
      <c r="S579" s="310">
        <f t="shared" si="392"/>
        <v>0</v>
      </c>
      <c r="T579" s="310">
        <f t="shared" si="392"/>
        <v>0</v>
      </c>
      <c r="U579" s="310">
        <f t="shared" si="392"/>
        <v>0</v>
      </c>
      <c r="V579" s="310">
        <f t="shared" si="392"/>
        <v>0</v>
      </c>
      <c r="W579" s="310">
        <f t="shared" si="392"/>
        <v>0</v>
      </c>
      <c r="X579" s="310">
        <f t="shared" si="392"/>
        <v>0</v>
      </c>
      <c r="Y579" s="310">
        <f t="shared" si="392"/>
        <v>0</v>
      </c>
      <c r="Z579" s="310">
        <f t="shared" si="392"/>
        <v>0</v>
      </c>
      <c r="AA579" s="310"/>
      <c r="AB579" s="309" t="str">
        <f t="shared" si="380"/>
        <v>- Revision</v>
      </c>
      <c r="AC579" s="303" t="str">
        <f t="shared" si="381"/>
        <v>%</v>
      </c>
      <c r="AD579" s="303"/>
      <c r="AE579" s="303"/>
      <c r="AF579" s="310">
        <f t="shared" ref="AF579:AO579" si="393">IFERROR(ROUND( AF577 / AF576,2) - 1, 0)</f>
        <v>0</v>
      </c>
      <c r="AG579" s="310">
        <f t="shared" si="393"/>
        <v>0</v>
      </c>
      <c r="AH579" s="310">
        <f t="shared" si="393"/>
        <v>0</v>
      </c>
      <c r="AI579" s="310">
        <f t="shared" si="393"/>
        <v>0</v>
      </c>
      <c r="AJ579" s="310">
        <f t="shared" si="393"/>
        <v>0</v>
      </c>
      <c r="AK579" s="310">
        <f t="shared" si="393"/>
        <v>0</v>
      </c>
      <c r="AL579" s="310">
        <f t="shared" si="393"/>
        <v>0</v>
      </c>
      <c r="AM579" s="310">
        <f t="shared" si="393"/>
        <v>0</v>
      </c>
      <c r="AN579" s="310">
        <f t="shared" si="393"/>
        <v>0</v>
      </c>
      <c r="AO579" s="310">
        <f t="shared" si="393"/>
        <v>0</v>
      </c>
    </row>
    <row r="580" spans="2:41">
      <c r="B580" s="301" t="s">
        <v>1587</v>
      </c>
      <c r="C580" s="302" t="s">
        <v>1588</v>
      </c>
      <c r="D580" s="303" t="s">
        <v>90</v>
      </c>
      <c r="E580" s="303"/>
      <c r="F580" s="303"/>
      <c r="G580" s="304">
        <f t="array" ref="G580">_xlfn.XLOOKUP($B580,$B$114:$B$212,_xlfn.XLOOKUP(G$219,$F$5:$AO$5,$F$114:$AO$212))</f>
        <v>77.900000000000006</v>
      </c>
      <c r="H580" s="304">
        <f t="array" ref="H580">_xlfn.XLOOKUP($B580,$B$114:$B$212,_xlfn.XLOOKUP(H$219,$F$5:$AO$5,$F$114:$AO$212))</f>
        <v>77.900000000000006</v>
      </c>
      <c r="I580" s="304">
        <f t="array" ref="I580">_xlfn.XLOOKUP($B580,$B$114:$B$212,_xlfn.XLOOKUP(I$219,$F$5:$AO$5,$F$114:$AO$212))</f>
        <v>-33.700000000000003</v>
      </c>
      <c r="J580" s="304">
        <f t="array" ref="J580">_xlfn.XLOOKUP($B580,$B$114:$B$212,_xlfn.XLOOKUP(J$219,$F$5:$AO$5,$F$114:$AO$212))</f>
        <v>0.10000000000000139</v>
      </c>
      <c r="K580" s="304">
        <f t="array" ref="K580">_xlfn.XLOOKUP($B580,$B$114:$B$212,_xlfn.XLOOKUP(K$219,$F$5:$AO$5,$F$114:$AO$212))</f>
        <v>22.8</v>
      </c>
      <c r="L580" s="304">
        <f t="array" ref="L580">_xlfn.XLOOKUP($B580,$B$114:$B$212,_xlfn.XLOOKUP(L$219,$F$5:$AO$5,$F$114:$AO$212))</f>
        <v>-14.824999999999999</v>
      </c>
      <c r="M580" s="304">
        <f t="array" ref="M580">_xlfn.XLOOKUP($B580,$B$114:$B$212,_xlfn.XLOOKUP(M$219,$F$5:$AO$5,$F$114:$AO$212))</f>
        <v>22.5</v>
      </c>
      <c r="N580" s="304">
        <f t="array" ref="N580">_xlfn.XLOOKUP($B580,$B$114:$B$212,_xlfn.XLOOKUP(N$219,$F$5:$AO$5,$F$114:$AO$212))</f>
        <v>-165.84800000000001</v>
      </c>
      <c r="O580" s="304">
        <f t="array" ref="O580">_xlfn.XLOOKUP($B580,$B$114:$B$212,_xlfn.XLOOKUP(O$219,$F$5:$AO$5,$F$114:$AO$212))</f>
        <v>6.1</v>
      </c>
      <c r="P580" s="304">
        <f t="array" ref="P580">_xlfn.XLOOKUP($B580,$B$114:$B$212,_xlfn.XLOOKUP(P$219,$F$5:$AO$5,$F$114:$AO$212))</f>
        <v>28.50156155413087</v>
      </c>
      <c r="Q580" s="304">
        <f t="array" ref="Q580">_xlfn.XLOOKUP($B580,$B$114:$B$212,_xlfn.XLOOKUP(Q$219,$F$5:$AO$5,$F$114:$AO$212))</f>
        <v>0.20264054742920909</v>
      </c>
      <c r="R580" s="304">
        <f t="array" ref="R580">_xlfn.XLOOKUP($B580,$B$114:$B$212,_xlfn.XLOOKUP(R$219,$F$5:$AO$5,$F$114:$AO$212))</f>
        <v>32.116734342831947</v>
      </c>
      <c r="S580" s="304">
        <f t="array" ref="S580">_xlfn.XLOOKUP($B580,$B$114:$B$212,_xlfn.XLOOKUP(S$219,$F$5:$AO$5,$F$114:$AO$212))</f>
        <v>39.85940235369074</v>
      </c>
      <c r="T580" s="304">
        <f t="array" ref="T580">_xlfn.XLOOKUP($B580,$B$114:$B$212,_xlfn.XLOOKUP(T$219,$F$5:$AO$5,$F$114:$AO$212))</f>
        <v>47.201244246448233</v>
      </c>
      <c r="U580" s="304">
        <f t="array" ref="U580">_xlfn.XLOOKUP($B580,$B$114:$B$212,_xlfn.XLOOKUP(U$219,$F$5:$AO$5,$F$114:$AO$212))</f>
        <v>48.883266568083037</v>
      </c>
      <c r="V580" s="304">
        <f t="array" ref="V580">_xlfn.XLOOKUP($B580,$B$114:$B$212,_xlfn.XLOOKUP(V$219,$F$5:$AO$5,$F$114:$AO$212))</f>
        <v>54.605281999355057</v>
      </c>
      <c r="W580" s="304">
        <f t="array" ref="W580">_xlfn.XLOOKUP($B580,$B$114:$B$212,_xlfn.XLOOKUP(W$219,$F$5:$AO$5,$F$114:$AO$212))</f>
        <v>57.102611584953173</v>
      </c>
      <c r="X580" s="304">
        <f t="array" ref="X580">_xlfn.XLOOKUP($B580,$B$114:$B$212,_xlfn.XLOOKUP(X$219,$F$5:$AO$5,$F$114:$AO$212))</f>
        <v>61.737491080650912</v>
      </c>
      <c r="Y580" s="304">
        <f t="array" ref="Y580">_xlfn.XLOOKUP($B580,$B$114:$B$212,_xlfn.XLOOKUP(Y$219,$F$5:$AO$5,$F$114:$AO$212))</f>
        <v>59.900604823202457</v>
      </c>
      <c r="Z580" s="304">
        <f t="array" ref="Z580">_xlfn.XLOOKUP($B580,$B$114:$B$212,_xlfn.XLOOKUP(Z$219,$F$5:$AO$5,$F$114:$AO$212))</f>
        <v>64.826590307498492</v>
      </c>
      <c r="AA580" s="305"/>
      <c r="AB580" s="302" t="str">
        <f t="shared" si="380"/>
        <v>Reported NPAT - old</v>
      </c>
      <c r="AC580" s="303" t="str">
        <f t="shared" si="381"/>
        <v>A$m</v>
      </c>
      <c r="AD580" s="303"/>
      <c r="AE580" s="303"/>
      <c r="AF580" s="304">
        <f t="array" ref="AF580">_xlfn.XLOOKUP($B580,$B$114:$B$212,_xlfn.XLOOKUP(AF$219,$F$5:$AO$5,$F$114:$AO$212))</f>
        <v>155.80000000000001</v>
      </c>
      <c r="AG580" s="304">
        <f t="array" ref="AG580">_xlfn.XLOOKUP($B580,$B$114:$B$212,_xlfn.XLOOKUP(AG$219,$F$5:$AO$5,$F$114:$AO$212))</f>
        <v>-33.6</v>
      </c>
      <c r="AH580" s="304">
        <f t="array" ref="AH580">_xlfn.XLOOKUP($B580,$B$114:$B$212,_xlfn.XLOOKUP(AH$219,$F$5:$AO$5,$F$114:$AO$212))</f>
        <v>7.9749999999999996</v>
      </c>
      <c r="AI580" s="304">
        <f t="array" ref="AI580">_xlfn.XLOOKUP($B580,$B$114:$B$212,_xlfn.XLOOKUP(AI$219,$F$5:$AO$5,$F$114:$AO$212))</f>
        <v>-143.34800000000001</v>
      </c>
      <c r="AJ580" s="304">
        <f t="array" ref="AJ580">_xlfn.XLOOKUP($B580,$B$114:$B$212,_xlfn.XLOOKUP(AJ$219,$F$5:$AO$5,$F$114:$AO$212))</f>
        <v>34.601561554130868</v>
      </c>
      <c r="AK580" s="304">
        <f t="array" ref="AK580">_xlfn.XLOOKUP($B580,$B$114:$B$212,_xlfn.XLOOKUP(AK$219,$F$5:$AO$5,$F$114:$AO$212))</f>
        <v>32.319374890261173</v>
      </c>
      <c r="AL580" s="304">
        <f t="array" ref="AL580">_xlfn.XLOOKUP($B580,$B$114:$B$212,_xlfn.XLOOKUP(AL$219,$F$5:$AO$5,$F$114:$AO$212))</f>
        <v>87.060646600138966</v>
      </c>
      <c r="AM580" s="304">
        <f t="array" ref="AM580">_xlfn.XLOOKUP($B580,$B$114:$B$212,_xlfn.XLOOKUP(AM$219,$F$5:$AO$5,$F$114:$AO$212))</f>
        <v>103.4885485674381</v>
      </c>
      <c r="AN580" s="304">
        <f t="array" ref="AN580">_xlfn.XLOOKUP($B580,$B$114:$B$212,_xlfn.XLOOKUP(AN$219,$F$5:$AO$5,$F$114:$AO$212))</f>
        <v>118.84010266560411</v>
      </c>
      <c r="AO580" s="304">
        <f t="array" ref="AO580">_xlfn.XLOOKUP($B580,$B$114:$B$212,_xlfn.XLOOKUP(AO$219,$F$5:$AO$5,$F$114:$AO$212))</f>
        <v>124.72719513070091</v>
      </c>
    </row>
    <row r="581" spans="2:41">
      <c r="B581" s="301" t="s">
        <v>1587</v>
      </c>
      <c r="C581" s="306" t="s">
        <v>1589</v>
      </c>
      <c r="D581" s="307" t="s">
        <v>90</v>
      </c>
      <c r="E581" s="307"/>
      <c r="F581" s="307"/>
      <c r="G581" s="308">
        <f t="array" ref="G581">_xlfn.XLOOKUP($B581,$B$11:$B$109,_xlfn.XLOOKUP(G$219,$F$5:$AO$5,$F$11:$AO$109))</f>
        <v>77.900000000000006</v>
      </c>
      <c r="H581" s="308">
        <f t="array" ref="H581">_xlfn.XLOOKUP($B581,$B$11:$B$109,_xlfn.XLOOKUP(H$219,$F$5:$AO$5,$F$11:$AO$109))</f>
        <v>77.900000000000006</v>
      </c>
      <c r="I581" s="308">
        <f t="array" ref="I581">_xlfn.XLOOKUP($B581,$B$11:$B$109,_xlfn.XLOOKUP(I$219,$F$5:$AO$5,$F$11:$AO$109))</f>
        <v>-33.700000000000003</v>
      </c>
      <c r="J581" s="308">
        <f t="array" ref="J581">_xlfn.XLOOKUP($B581,$B$11:$B$109,_xlfn.XLOOKUP(J$219,$F$5:$AO$5,$F$11:$AO$109))</f>
        <v>0.10000000000000142</v>
      </c>
      <c r="K581" s="308">
        <f t="array" ref="K581">_xlfn.XLOOKUP($B581,$B$11:$B$109,_xlfn.XLOOKUP(K$219,$F$5:$AO$5,$F$11:$AO$109))</f>
        <v>22.8</v>
      </c>
      <c r="L581" s="308">
        <f t="array" ref="L581">_xlfn.XLOOKUP($B581,$B$11:$B$109,_xlfn.XLOOKUP(L$219,$F$5:$AO$5,$F$11:$AO$109))</f>
        <v>-14.825000000000001</v>
      </c>
      <c r="M581" s="308">
        <f t="array" ref="M581">_xlfn.XLOOKUP($B581,$B$11:$B$109,_xlfn.XLOOKUP(M$219,$F$5:$AO$5,$F$11:$AO$109))</f>
        <v>22.5</v>
      </c>
      <c r="N581" s="308">
        <f t="array" ref="N581">_xlfn.XLOOKUP($B581,$B$11:$B$109,_xlfn.XLOOKUP(N$219,$F$5:$AO$5,$F$11:$AO$109))</f>
        <v>-165.8</v>
      </c>
      <c r="O581" s="308">
        <f t="array" ref="O581">_xlfn.XLOOKUP($B581,$B$11:$B$109,_xlfn.XLOOKUP(O$219,$F$5:$AO$5,$F$11:$AO$109))</f>
        <v>6.1</v>
      </c>
      <c r="P581" s="308">
        <f t="array" ref="P581">_xlfn.XLOOKUP($B581,$B$11:$B$109,_xlfn.XLOOKUP(P$219,$F$5:$AO$5,$F$11:$AO$109))</f>
        <v>23.1</v>
      </c>
      <c r="Q581" s="308">
        <f t="array" ref="Q581">_xlfn.XLOOKUP($B581,$B$11:$B$109,_xlfn.XLOOKUP(Q$219,$F$5:$AO$5,$F$11:$AO$109))</f>
        <v>12.1</v>
      </c>
      <c r="R581" s="308">
        <f t="array" ref="R581">_xlfn.XLOOKUP($B581,$B$11:$B$109,_xlfn.XLOOKUP(R$219,$F$5:$AO$5,$F$11:$AO$109))</f>
        <v>6.1</v>
      </c>
      <c r="S581" s="308">
        <f t="array" ref="S581">_xlfn.XLOOKUP($B581,$B$11:$B$109,_xlfn.XLOOKUP(S$219,$F$5:$AO$5,$F$11:$AO$109))</f>
        <v>-27.579991419992471</v>
      </c>
      <c r="T581" s="308">
        <f t="array" ref="T581">_xlfn.XLOOKUP($B581,$B$11:$B$109,_xlfn.XLOOKUP(T$219,$F$5:$AO$5,$F$11:$AO$109))</f>
        <v>11.030314271929804</v>
      </c>
      <c r="U581" s="308">
        <f t="array" ref="U581">_xlfn.XLOOKUP($B581,$B$11:$B$109,_xlfn.XLOOKUP(U$219,$F$5:$AO$5,$F$11:$AO$109))</f>
        <v>8.0077433616119578</v>
      </c>
      <c r="V581" s="308">
        <f t="array" ref="V581">_xlfn.XLOOKUP($B581,$B$11:$B$109,_xlfn.XLOOKUP(V$219,$F$5:$AO$5,$F$11:$AO$109))</f>
        <v>29.756667714427941</v>
      </c>
      <c r="W581" s="308">
        <f t="array" ref="W581">_xlfn.XLOOKUP($B581,$B$11:$B$109,_xlfn.XLOOKUP(W$219,$F$5:$AO$5,$F$11:$AO$109))</f>
        <v>29.616760165445974</v>
      </c>
      <c r="X581" s="308">
        <f t="array" ref="X581">_xlfn.XLOOKUP($B581,$B$11:$B$109,_xlfn.XLOOKUP(X$219,$F$5:$AO$5,$F$11:$AO$109))</f>
        <v>37.960595380417246</v>
      </c>
      <c r="Y581" s="308">
        <f t="array" ref="Y581">_xlfn.XLOOKUP($B581,$B$11:$B$109,_xlfn.XLOOKUP(Y$219,$F$5:$AO$5,$F$11:$AO$109))</f>
        <v>41.284732032036537</v>
      </c>
      <c r="Z581" s="308">
        <f t="array" ref="Z581">_xlfn.XLOOKUP($B581,$B$11:$B$109,_xlfn.XLOOKUP(Z$219,$F$5:$AO$5,$F$11:$AO$109))</f>
        <v>42.746235374936703</v>
      </c>
      <c r="AA581" s="308"/>
      <c r="AB581" s="306" t="str">
        <f t="shared" si="380"/>
        <v>Reported NPAT - New</v>
      </c>
      <c r="AC581" s="307" t="str">
        <f t="shared" si="381"/>
        <v>A$m</v>
      </c>
      <c r="AD581" s="307"/>
      <c r="AE581" s="307"/>
      <c r="AF581" s="308">
        <f t="array" ref="AF581">_xlfn.XLOOKUP($B581,$B$11:$B$109,_xlfn.XLOOKUP(AF$219,$F$5:$AO$5,$F$11:$AO$109))</f>
        <v>155.80000000000001</v>
      </c>
      <c r="AG581" s="308">
        <f t="array" ref="AG581">_xlfn.XLOOKUP($B581,$B$11:$B$109,_xlfn.XLOOKUP(AG$219,$F$5:$AO$5,$F$11:$AO$109))</f>
        <v>-33.6</v>
      </c>
      <c r="AH581" s="308">
        <f t="array" ref="AH581">_xlfn.XLOOKUP($B581,$B$11:$B$109,_xlfn.XLOOKUP(AH$219,$F$5:$AO$5,$F$11:$AO$109))</f>
        <v>7.9749999999999996</v>
      </c>
      <c r="AI581" s="308">
        <f t="array" ref="AI581">_xlfn.XLOOKUP($B581,$B$11:$B$109,_xlfn.XLOOKUP(AI$219,$F$5:$AO$5,$F$11:$AO$109))</f>
        <v>-143.30000000000001</v>
      </c>
      <c r="AJ581" s="308">
        <f t="array" ref="AJ581">_xlfn.XLOOKUP($B581,$B$11:$B$109,_xlfn.XLOOKUP(AJ$219,$F$5:$AO$5,$F$11:$AO$109))</f>
        <v>29.200000000000003</v>
      </c>
      <c r="AK581" s="308">
        <f t="array" ref="AK581">_xlfn.XLOOKUP($B581,$B$11:$B$109,_xlfn.XLOOKUP(AK$219,$F$5:$AO$5,$F$11:$AO$109))</f>
        <v>18.2</v>
      </c>
      <c r="AL581" s="308">
        <f t="array" ref="AL581">_xlfn.XLOOKUP($B581,$B$11:$B$109,_xlfn.XLOOKUP(AL$219,$F$5:$AO$5,$F$11:$AO$109))</f>
        <v>-16.549677148062667</v>
      </c>
      <c r="AM581" s="308">
        <f t="array" ref="AM581">_xlfn.XLOOKUP($B581,$B$11:$B$109,_xlfn.XLOOKUP(AM$219,$F$5:$AO$5,$F$11:$AO$109))</f>
        <v>37.764411076039899</v>
      </c>
      <c r="AN581" s="308">
        <f t="array" ref="AN581">_xlfn.XLOOKUP($B581,$B$11:$B$109,_xlfn.XLOOKUP(AN$219,$F$5:$AO$5,$F$11:$AO$109))</f>
        <v>67.577355545863213</v>
      </c>
      <c r="AO581" s="308">
        <f t="array" ref="AO581">_xlfn.XLOOKUP($B581,$B$11:$B$109,_xlfn.XLOOKUP(AO$219,$F$5:$AO$5,$F$11:$AO$109))</f>
        <v>84.030967406973247</v>
      </c>
    </row>
    <row r="582" spans="2:41" hidden="1" outlineLevel="1">
      <c r="B582" s="301"/>
      <c r="C582" s="309" t="s">
        <v>1510</v>
      </c>
      <c r="D582" s="303" t="s">
        <v>88</v>
      </c>
      <c r="E582" s="303"/>
      <c r="F582" s="303"/>
      <c r="G582" s="310" t="s">
        <v>967</v>
      </c>
      <c r="H582" s="310" t="s">
        <v>967</v>
      </c>
      <c r="I582" s="310">
        <f t="shared" ref="I582:Z582" si="394">I581/G581-1</f>
        <v>-1.4326059050064184</v>
      </c>
      <c r="J582" s="310">
        <f t="shared" si="394"/>
        <v>-0.99871630295250324</v>
      </c>
      <c r="K582" s="310">
        <f t="shared" si="394"/>
        <v>-1.6765578635014835</v>
      </c>
      <c r="L582" s="310">
        <f t="shared" si="394"/>
        <v>-149.2499999999979</v>
      </c>
      <c r="M582" s="310">
        <f t="shared" si="394"/>
        <v>-1.3157894736842146E-2</v>
      </c>
      <c r="N582" s="310">
        <f t="shared" si="394"/>
        <v>10.183811129848229</v>
      </c>
      <c r="O582" s="310">
        <f t="shared" si="394"/>
        <v>-0.72888888888888892</v>
      </c>
      <c r="P582" s="310">
        <f t="shared" si="394"/>
        <v>-1.1393244873341375</v>
      </c>
      <c r="Q582" s="310">
        <f t="shared" si="394"/>
        <v>0.98360655737704916</v>
      </c>
      <c r="R582" s="310">
        <f t="shared" si="394"/>
        <v>-0.73593073593073588</v>
      </c>
      <c r="S582" s="310">
        <f t="shared" si="394"/>
        <v>-3.2793381338836753</v>
      </c>
      <c r="T582" s="310">
        <f t="shared" si="394"/>
        <v>0.80824824129996786</v>
      </c>
      <c r="U582" s="310">
        <f t="shared" si="394"/>
        <v>-1.290346115039297</v>
      </c>
      <c r="V582" s="310">
        <f t="shared" si="394"/>
        <v>1.6977171258078649</v>
      </c>
      <c r="W582" s="310">
        <f t="shared" si="394"/>
        <v>2.6985151531484801</v>
      </c>
      <c r="X582" s="310">
        <f t="shared" si="394"/>
        <v>0.27570048315630169</v>
      </c>
      <c r="Y582" s="310">
        <f t="shared" si="394"/>
        <v>0.39396516706792406</v>
      </c>
      <c r="Z582" s="310">
        <f t="shared" si="394"/>
        <v>0.12606862317518419</v>
      </c>
      <c r="AA582" s="311"/>
      <c r="AB582" s="309" t="str">
        <f t="shared" si="380"/>
        <v>- Growth</v>
      </c>
      <c r="AC582" s="303" t="str">
        <f t="shared" si="381"/>
        <v>%</v>
      </c>
      <c r="AD582" s="303"/>
      <c r="AE582" s="303"/>
      <c r="AF582" s="310" t="s">
        <v>967</v>
      </c>
      <c r="AG582" s="310">
        <f t="shared" ref="AG582:AO582" si="395">AG581/AF581-1</f>
        <v>-1.2156611039794609</v>
      </c>
      <c r="AH582" s="310">
        <f t="shared" si="395"/>
        <v>-1.2373511904761905</v>
      </c>
      <c r="AI582" s="310">
        <f t="shared" si="395"/>
        <v>-18.968652037617556</v>
      </c>
      <c r="AJ582" s="310">
        <f t="shared" si="395"/>
        <v>-1.2037683182135379</v>
      </c>
      <c r="AK582" s="310">
        <f t="shared" si="395"/>
        <v>-0.37671232876712335</v>
      </c>
      <c r="AL582" s="310">
        <f t="shared" si="395"/>
        <v>-1.9093229202232234</v>
      </c>
      <c r="AM582" s="310">
        <f t="shared" si="395"/>
        <v>-3.2818820414548489</v>
      </c>
      <c r="AN582" s="310">
        <f t="shared" si="395"/>
        <v>0.78944550226915911</v>
      </c>
      <c r="AO582" s="310">
        <f t="shared" si="395"/>
        <v>0.24347818478844352</v>
      </c>
    </row>
    <row r="583" spans="2:41" collapsed="1">
      <c r="B583" s="301"/>
      <c r="C583" s="309" t="s">
        <v>1511</v>
      </c>
      <c r="D583" s="303" t="s">
        <v>88</v>
      </c>
      <c r="E583" s="303"/>
      <c r="F583" s="303"/>
      <c r="G583" s="310">
        <f t="shared" ref="G583:Z583" si="396">IFERROR(ROUND( G581 / G580,2) - 1, 0)</f>
        <v>0</v>
      </c>
      <c r="H583" s="310">
        <f t="shared" si="396"/>
        <v>0</v>
      </c>
      <c r="I583" s="310">
        <f t="shared" si="396"/>
        <v>0</v>
      </c>
      <c r="J583" s="310">
        <f t="shared" si="396"/>
        <v>0</v>
      </c>
      <c r="K583" s="310">
        <f t="shared" si="396"/>
        <v>0</v>
      </c>
      <c r="L583" s="310">
        <f t="shared" si="396"/>
        <v>0</v>
      </c>
      <c r="M583" s="310">
        <f t="shared" si="396"/>
        <v>0</v>
      </c>
      <c r="N583" s="310">
        <f t="shared" si="396"/>
        <v>0</v>
      </c>
      <c r="O583" s="310">
        <f t="shared" si="396"/>
        <v>0</v>
      </c>
      <c r="P583" s="310">
        <f t="shared" si="396"/>
        <v>-0.18999999999999995</v>
      </c>
      <c r="Q583" s="310">
        <f t="shared" si="396"/>
        <v>58.71</v>
      </c>
      <c r="R583" s="310">
        <f t="shared" si="396"/>
        <v>-0.81</v>
      </c>
      <c r="S583" s="310">
        <f t="shared" si="396"/>
        <v>-1.69</v>
      </c>
      <c r="T583" s="310">
        <f t="shared" si="396"/>
        <v>-0.77</v>
      </c>
      <c r="U583" s="310">
        <f t="shared" si="396"/>
        <v>-0.84</v>
      </c>
      <c r="V583" s="310">
        <f t="shared" si="396"/>
        <v>-0.45999999999999996</v>
      </c>
      <c r="W583" s="310">
        <f t="shared" si="396"/>
        <v>-0.48</v>
      </c>
      <c r="X583" s="310">
        <f t="shared" si="396"/>
        <v>-0.39</v>
      </c>
      <c r="Y583" s="310">
        <f t="shared" si="396"/>
        <v>-0.31000000000000005</v>
      </c>
      <c r="Z583" s="310">
        <f t="shared" si="396"/>
        <v>-0.33999999999999997</v>
      </c>
      <c r="AA583" s="310"/>
      <c r="AB583" s="309" t="str">
        <f t="shared" si="380"/>
        <v>- Revision</v>
      </c>
      <c r="AC583" s="303" t="str">
        <f t="shared" si="381"/>
        <v>%</v>
      </c>
      <c r="AD583" s="303"/>
      <c r="AE583" s="303"/>
      <c r="AF583" s="310">
        <f t="shared" ref="AF583:AO583" si="397">IFERROR(ROUND( AF581 / AF580,2) - 1, 0)</f>
        <v>0</v>
      </c>
      <c r="AG583" s="310">
        <f t="shared" si="397"/>
        <v>0</v>
      </c>
      <c r="AH583" s="310">
        <f t="shared" si="397"/>
        <v>0</v>
      </c>
      <c r="AI583" s="310">
        <f t="shared" si="397"/>
        <v>0</v>
      </c>
      <c r="AJ583" s="310">
        <f t="shared" si="397"/>
        <v>-0.16000000000000003</v>
      </c>
      <c r="AK583" s="310">
        <f t="shared" si="397"/>
        <v>-0.43999999999999995</v>
      </c>
      <c r="AL583" s="310">
        <f t="shared" si="397"/>
        <v>-1.19</v>
      </c>
      <c r="AM583" s="310">
        <f t="shared" si="397"/>
        <v>-0.64</v>
      </c>
      <c r="AN583" s="310">
        <f t="shared" si="397"/>
        <v>-0.43000000000000005</v>
      </c>
      <c r="AO583" s="310">
        <f t="shared" si="397"/>
        <v>-0.32999999999999996</v>
      </c>
    </row>
    <row r="584" spans="2:41">
      <c r="B584" s="301" t="s">
        <v>1506</v>
      </c>
      <c r="C584" s="302" t="s">
        <v>1592</v>
      </c>
      <c r="D584" s="303" t="s">
        <v>90</v>
      </c>
      <c r="E584" s="303"/>
      <c r="F584" s="312">
        <f t="array" ref="F584">_xlfn.XLOOKUP($B584,$B$114:$B$212,_xlfn.XLOOKUP(F$219,$F$5:$AO$5,$F$114:$AO$212))</f>
        <v>1.365898587947431</v>
      </c>
      <c r="G584" s="304"/>
      <c r="H584" s="304"/>
      <c r="I584" s="304"/>
      <c r="J584" s="304"/>
      <c r="K584" s="304"/>
      <c r="L584" s="304"/>
      <c r="M584" s="304"/>
      <c r="N584" s="304"/>
      <c r="O584" s="304"/>
      <c r="P584" s="304"/>
      <c r="Q584" s="304"/>
      <c r="R584" s="304"/>
      <c r="S584" s="304"/>
      <c r="T584" s="304"/>
      <c r="U584" s="304"/>
      <c r="V584" s="304"/>
      <c r="W584" s="304"/>
      <c r="X584" s="304"/>
      <c r="Y584" s="304"/>
      <c r="Z584" s="304"/>
      <c r="AA584" s="305"/>
      <c r="AB584" s="302" t="str">
        <f t="shared" si="380"/>
        <v>Valuation - old</v>
      </c>
      <c r="AC584" s="303" t="str">
        <f t="shared" si="381"/>
        <v>A$m</v>
      </c>
      <c r="AD584" s="303"/>
      <c r="AE584" s="314">
        <f t="array" ref="AE584">_xlfn.XLOOKUP($B584,$B$114:$B$212,_xlfn.XLOOKUP(AE$219,$F$5:$AO$5,$F$114:$AO$212))</f>
        <v>1.365898587947431</v>
      </c>
      <c r="AF584" s="304"/>
      <c r="AG584" s="304"/>
      <c r="AH584" s="304"/>
      <c r="AI584" s="304"/>
      <c r="AJ584" s="304"/>
      <c r="AK584" s="304"/>
      <c r="AL584" s="304"/>
      <c r="AM584" s="304"/>
      <c r="AN584" s="304"/>
      <c r="AO584" s="304"/>
    </row>
    <row r="585" spans="2:41">
      <c r="B585" s="301" t="s">
        <v>1506</v>
      </c>
      <c r="C585" s="306" t="s">
        <v>1593</v>
      </c>
      <c r="D585" s="307" t="s">
        <v>90</v>
      </c>
      <c r="E585" s="307"/>
      <c r="F585" s="313">
        <f t="array" aca="1" ref="F585" ca="1">_xlfn.XLOOKUP($B585,$B$11:$B$109,_xlfn.XLOOKUP(F$219,$F$5:$AO$5,$F$11:$AO$109))</f>
        <v>0.65016617148967304</v>
      </c>
      <c r="G585" s="308"/>
      <c r="H585" s="308"/>
      <c r="I585" s="308"/>
      <c r="J585" s="308"/>
      <c r="K585" s="308"/>
      <c r="L585" s="308"/>
      <c r="M585" s="308"/>
      <c r="N585" s="308"/>
      <c r="O585" s="308"/>
      <c r="P585" s="308"/>
      <c r="Q585" s="308"/>
      <c r="R585" s="308"/>
      <c r="S585" s="308"/>
      <c r="T585" s="308"/>
      <c r="U585" s="308"/>
      <c r="V585" s="308"/>
      <c r="W585" s="308"/>
      <c r="X585" s="308"/>
      <c r="Y585" s="308"/>
      <c r="Z585" s="308"/>
      <c r="AA585" s="308"/>
      <c r="AB585" s="306" t="str">
        <f t="shared" si="380"/>
        <v>Valuation - New</v>
      </c>
      <c r="AC585" s="307" t="str">
        <f t="shared" si="381"/>
        <v>A$m</v>
      </c>
      <c r="AD585" s="307"/>
      <c r="AE585" s="315">
        <f t="array" aca="1" ref="AE585" ca="1">_xlfn.XLOOKUP($B585,$B$11:$B$109,_xlfn.XLOOKUP(AE$219,$F$5:$AO$5,$F$11:$AO$109))</f>
        <v>0.65016617148967304</v>
      </c>
      <c r="AF585" s="308"/>
      <c r="AG585" s="308"/>
      <c r="AH585" s="308"/>
      <c r="AI585" s="308"/>
      <c r="AJ585" s="308"/>
      <c r="AK585" s="308"/>
      <c r="AL585" s="308"/>
      <c r="AM585" s="308"/>
      <c r="AN585" s="308"/>
      <c r="AO585" s="308"/>
    </row>
    <row r="586" spans="2:41" hidden="1" outlineLevel="1">
      <c r="C586" s="309" t="s">
        <v>1510</v>
      </c>
      <c r="D586" s="303" t="s">
        <v>88</v>
      </c>
      <c r="E586" s="303"/>
      <c r="F586" s="310" t="s">
        <v>967</v>
      </c>
      <c r="G586" s="310"/>
      <c r="H586" s="310"/>
      <c r="I586" s="310"/>
      <c r="J586" s="310"/>
      <c r="K586" s="310"/>
      <c r="L586" s="310"/>
      <c r="M586" s="310"/>
      <c r="N586" s="310"/>
      <c r="O586" s="310"/>
      <c r="P586" s="310"/>
      <c r="Q586" s="310"/>
      <c r="R586" s="310"/>
      <c r="S586" s="310"/>
      <c r="T586" s="310"/>
      <c r="U586" s="310"/>
      <c r="V586" s="310"/>
      <c r="W586" s="310"/>
      <c r="X586" s="310"/>
      <c r="Y586" s="310"/>
      <c r="Z586" s="310"/>
      <c r="AA586" s="311"/>
      <c r="AB586" s="309" t="str">
        <f t="shared" si="380"/>
        <v>- Growth</v>
      </c>
      <c r="AC586" s="303" t="str">
        <f t="shared" si="381"/>
        <v>%</v>
      </c>
      <c r="AD586" s="303"/>
      <c r="AE586" s="310" t="s">
        <v>967</v>
      </c>
      <c r="AF586" s="310"/>
      <c r="AG586" s="310"/>
      <c r="AH586" s="310"/>
      <c r="AI586" s="310"/>
      <c r="AJ586" s="310"/>
      <c r="AK586" s="310"/>
      <c r="AL586" s="310"/>
      <c r="AM586" s="310"/>
      <c r="AN586" s="310"/>
      <c r="AO586" s="310"/>
    </row>
    <row r="587" spans="2:41" collapsed="1">
      <c r="C587" s="309" t="s">
        <v>1511</v>
      </c>
      <c r="D587" s="303" t="s">
        <v>88</v>
      </c>
      <c r="E587" s="303"/>
      <c r="F587" s="310">
        <f ca="1">IFERROR(ROUND( F585 / F584,2) - 1, 0)</f>
        <v>-0.52</v>
      </c>
      <c r="G587" s="310"/>
      <c r="H587" s="310"/>
      <c r="I587" s="310"/>
      <c r="J587" s="310"/>
      <c r="K587" s="310"/>
      <c r="L587" s="310"/>
      <c r="M587" s="310"/>
      <c r="N587" s="310"/>
      <c r="O587" s="310"/>
      <c r="P587" s="310"/>
      <c r="Q587" s="310"/>
      <c r="R587" s="310"/>
      <c r="S587" s="310"/>
      <c r="T587" s="310"/>
      <c r="U587" s="310"/>
      <c r="V587" s="310"/>
      <c r="W587" s="310"/>
      <c r="X587" s="310"/>
      <c r="Y587" s="310"/>
      <c r="Z587" s="310"/>
      <c r="AA587" s="310"/>
      <c r="AB587" s="309" t="str">
        <f t="shared" si="380"/>
        <v>- Revision</v>
      </c>
      <c r="AC587" s="303" t="str">
        <f t="shared" si="381"/>
        <v>%</v>
      </c>
      <c r="AD587" s="303"/>
      <c r="AE587" s="310">
        <f ca="1">IFERROR(ROUND( AE585 / AE584,2) - 1, 0)</f>
        <v>-0.52</v>
      </c>
      <c r="AF587" s="310"/>
      <c r="AG587" s="310"/>
      <c r="AH587" s="310"/>
      <c r="AI587" s="310"/>
      <c r="AJ587" s="310"/>
      <c r="AK587" s="310"/>
      <c r="AL587" s="310"/>
      <c r="AM587" s="310"/>
      <c r="AN587" s="310"/>
      <c r="AO587" s="310"/>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theme="7" tint="0.79998168889431442"/>
  </sheetPr>
  <dimension ref="A2:AL54"/>
  <sheetViews>
    <sheetView workbookViewId="0">
      <selection activeCell="L10" sqref="L10"/>
    </sheetView>
  </sheetViews>
  <sheetFormatPr defaultRowHeight="11.25"/>
  <cols>
    <col min="1" max="1" width="9.140625" style="1" customWidth="1"/>
    <col min="2" max="2" width="23.42578125" style="1" bestFit="1" customWidth="1"/>
    <col min="3" max="3" width="9.140625" style="1" customWidth="1"/>
    <col min="4" max="16384" width="9.140625" style="1"/>
  </cols>
  <sheetData>
    <row r="2" spans="1:38" s="115" customFormat="1">
      <c r="A2" s="117" t="s">
        <v>7</v>
      </c>
      <c r="B2" s="116" t="s">
        <v>8</v>
      </c>
      <c r="C2" s="201">
        <f>D958</f>
        <v>0</v>
      </c>
      <c r="D2" s="232" t="s">
        <v>9</v>
      </c>
      <c r="E2" s="234" t="str">
        <f t="shared" ref="E2:AL2" si="0">E7&amp;E9</f>
        <v>1H18E</v>
      </c>
      <c r="F2" s="233" t="str">
        <f t="shared" si="0"/>
        <v>2H18A</v>
      </c>
      <c r="G2" s="234" t="str">
        <f t="shared" si="0"/>
        <v>1H19A</v>
      </c>
      <c r="H2" s="233" t="str">
        <f t="shared" si="0"/>
        <v>2H19A</v>
      </c>
      <c r="I2" s="234" t="str">
        <f t="shared" si="0"/>
        <v>1H20A</v>
      </c>
      <c r="J2" s="233" t="str">
        <f t="shared" si="0"/>
        <v>2H20A</v>
      </c>
      <c r="K2" s="234" t="str">
        <f t="shared" si="0"/>
        <v>1H21A</v>
      </c>
      <c r="L2" s="233" t="str">
        <f t="shared" si="0"/>
        <v>2H21A</v>
      </c>
      <c r="M2" s="234" t="str">
        <f t="shared" si="0"/>
        <v>1H22A</v>
      </c>
      <c r="N2" s="233" t="str">
        <f t="shared" si="0"/>
        <v>2H22A</v>
      </c>
      <c r="O2" s="234" t="str">
        <f t="shared" si="0"/>
        <v>1H23A</v>
      </c>
      <c r="P2" s="233" t="str">
        <f t="shared" si="0"/>
        <v>2H23A</v>
      </c>
      <c r="Q2" s="234" t="str">
        <f t="shared" si="0"/>
        <v>1H24E</v>
      </c>
      <c r="R2" s="233" t="str">
        <f t="shared" si="0"/>
        <v>2H24E</v>
      </c>
      <c r="S2" s="234" t="str">
        <f t="shared" si="0"/>
        <v>1H25E</v>
      </c>
      <c r="T2" s="233" t="str">
        <f t="shared" si="0"/>
        <v>2H25E</v>
      </c>
      <c r="U2" s="234" t="str">
        <f t="shared" si="0"/>
        <v>1H26E</v>
      </c>
      <c r="V2" s="233" t="str">
        <f t="shared" si="0"/>
        <v>2H26E</v>
      </c>
      <c r="W2" s="234" t="str">
        <f t="shared" si="0"/>
        <v>1H27E</v>
      </c>
      <c r="X2" s="233" t="str">
        <f t="shared" si="0"/>
        <v>2H27E</v>
      </c>
      <c r="Y2" s="234" t="str">
        <f t="shared" si="0"/>
        <v>1H28E</v>
      </c>
      <c r="Z2" s="233" t="str">
        <f t="shared" si="0"/>
        <v>2H28E</v>
      </c>
      <c r="AA2" s="234" t="str">
        <f t="shared" si="0"/>
        <v>1H29E</v>
      </c>
      <c r="AB2" s="233" t="str">
        <f t="shared" si="0"/>
        <v>2H29E</v>
      </c>
      <c r="AC2" s="234" t="str">
        <f t="shared" si="0"/>
        <v>1H30E</v>
      </c>
      <c r="AD2" s="233" t="str">
        <f t="shared" si="0"/>
        <v>2H30E</v>
      </c>
      <c r="AE2" s="234" t="str">
        <f t="shared" si="0"/>
        <v>1H31E</v>
      </c>
      <c r="AF2" s="233" t="str">
        <f t="shared" si="0"/>
        <v>2H31E</v>
      </c>
      <c r="AG2" s="234" t="str">
        <f t="shared" si="0"/>
        <v>1H32E</v>
      </c>
      <c r="AH2" s="233" t="str">
        <f t="shared" si="0"/>
        <v>2H32E</v>
      </c>
      <c r="AI2" s="234" t="str">
        <f t="shared" si="0"/>
        <v>1H33E</v>
      </c>
      <c r="AJ2" s="233" t="str">
        <f t="shared" si="0"/>
        <v>2H33E</v>
      </c>
      <c r="AK2" s="234" t="str">
        <f t="shared" si="0"/>
        <v>1H34E</v>
      </c>
      <c r="AL2" s="233" t="str">
        <f t="shared" si="0"/>
        <v>2H34E</v>
      </c>
    </row>
    <row r="3" spans="1:38" s="36" customFormat="1">
      <c r="B3" s="109" t="s">
        <v>10</v>
      </c>
      <c r="C3" s="52"/>
      <c r="D3" s="37"/>
      <c r="E3" s="235">
        <v>43100</v>
      </c>
      <c r="F3" s="236">
        <f t="shared" ref="F3:AL3" si="1">EOMONTH(E3,6)</f>
        <v>43281</v>
      </c>
      <c r="G3" s="235">
        <f t="shared" si="1"/>
        <v>43465</v>
      </c>
      <c r="H3" s="236">
        <f t="shared" si="1"/>
        <v>43646</v>
      </c>
      <c r="I3" s="235">
        <f t="shared" si="1"/>
        <v>43830</v>
      </c>
      <c r="J3" s="236">
        <f t="shared" si="1"/>
        <v>44012</v>
      </c>
      <c r="K3" s="235">
        <f t="shared" si="1"/>
        <v>44196</v>
      </c>
      <c r="L3" s="236">
        <f t="shared" si="1"/>
        <v>44377</v>
      </c>
      <c r="M3" s="235">
        <f t="shared" si="1"/>
        <v>44561</v>
      </c>
      <c r="N3" s="236">
        <f t="shared" si="1"/>
        <v>44742</v>
      </c>
      <c r="O3" s="235">
        <f t="shared" si="1"/>
        <v>44926</v>
      </c>
      <c r="P3" s="236">
        <f t="shared" si="1"/>
        <v>45107</v>
      </c>
      <c r="Q3" s="235">
        <f t="shared" si="1"/>
        <v>45291</v>
      </c>
      <c r="R3" s="236">
        <f t="shared" si="1"/>
        <v>45473</v>
      </c>
      <c r="S3" s="235">
        <f t="shared" si="1"/>
        <v>45657</v>
      </c>
      <c r="T3" s="236">
        <f t="shared" si="1"/>
        <v>45838</v>
      </c>
      <c r="U3" s="235">
        <f t="shared" si="1"/>
        <v>46022</v>
      </c>
      <c r="V3" s="236">
        <f t="shared" si="1"/>
        <v>46203</v>
      </c>
      <c r="W3" s="235">
        <f t="shared" si="1"/>
        <v>46387</v>
      </c>
      <c r="X3" s="236">
        <f t="shared" si="1"/>
        <v>46568</v>
      </c>
      <c r="Y3" s="235">
        <f t="shared" si="1"/>
        <v>46752</v>
      </c>
      <c r="Z3" s="236">
        <f t="shared" si="1"/>
        <v>46934</v>
      </c>
      <c r="AA3" s="235">
        <f t="shared" si="1"/>
        <v>47118</v>
      </c>
      <c r="AB3" s="236">
        <f t="shared" si="1"/>
        <v>47299</v>
      </c>
      <c r="AC3" s="235">
        <f t="shared" si="1"/>
        <v>47483</v>
      </c>
      <c r="AD3" s="236">
        <f t="shared" si="1"/>
        <v>47664</v>
      </c>
      <c r="AE3" s="235">
        <f t="shared" si="1"/>
        <v>47848</v>
      </c>
      <c r="AF3" s="236">
        <f t="shared" si="1"/>
        <v>48029</v>
      </c>
      <c r="AG3" s="235">
        <f t="shared" si="1"/>
        <v>48213</v>
      </c>
      <c r="AH3" s="236">
        <f t="shared" si="1"/>
        <v>48395</v>
      </c>
      <c r="AI3" s="235">
        <f t="shared" si="1"/>
        <v>48579</v>
      </c>
      <c r="AJ3" s="236">
        <f t="shared" si="1"/>
        <v>48760</v>
      </c>
      <c r="AK3" s="235">
        <f t="shared" si="1"/>
        <v>48944</v>
      </c>
      <c r="AL3" s="236">
        <f t="shared" si="1"/>
        <v>49125</v>
      </c>
    </row>
    <row r="4" spans="1:38">
      <c r="C4" s="36"/>
    </row>
    <row r="5" spans="1:38" s="36" customFormat="1">
      <c r="A5" s="109"/>
      <c r="B5" s="124" t="s">
        <v>11</v>
      </c>
      <c r="C5" s="110"/>
      <c r="D5" s="121"/>
      <c r="E5" s="113" t="str">
        <f t="array" ref="E5">_xlfn.IFS(AND(MONTH(E$3)&gt;=7,MONTH(E$3)&lt;=12),"1H",AND(MONTH(E$3)&gt;=1,MONTH(E$3)&lt;=6),"2H")</f>
        <v>1H</v>
      </c>
      <c r="F5" s="113" t="str">
        <f t="array" ref="F5">_xlfn.IFS(AND(MONTH(F$3)&gt;=7,MONTH(F$3)&lt;=12),"1H",AND(MONTH(F$3)&gt;=1,MONTH(F$3)&lt;=6),"2H")</f>
        <v>2H</v>
      </c>
      <c r="G5" s="113" t="str">
        <f t="array" ref="G5">_xlfn.IFS(AND(MONTH(G$3)&gt;=7,MONTH(G$3)&lt;=12),"1H",AND(MONTH(G$3)&gt;=1,MONTH(G$3)&lt;=6),"2H")</f>
        <v>1H</v>
      </c>
      <c r="H5" s="113" t="str">
        <f t="array" ref="H5">_xlfn.IFS(AND(MONTH(H$3)&gt;=7,MONTH(H$3)&lt;=12),"1H",AND(MONTH(H$3)&gt;=1,MONTH(H$3)&lt;=6),"2H")</f>
        <v>2H</v>
      </c>
      <c r="I5" s="113" t="str">
        <f t="array" ref="I5">_xlfn.IFS(AND(MONTH(I$3)&gt;=7,MONTH(I$3)&lt;=12),"1H",AND(MONTH(I$3)&gt;=1,MONTH(I$3)&lt;=6),"2H")</f>
        <v>1H</v>
      </c>
      <c r="J5" s="113" t="str">
        <f t="array" ref="J5">_xlfn.IFS(AND(MONTH(J$3)&gt;=7,MONTH(J$3)&lt;=12),"1H",AND(MONTH(J$3)&gt;=1,MONTH(J$3)&lt;=6),"2H")</f>
        <v>2H</v>
      </c>
      <c r="K5" s="113" t="str">
        <f t="array" ref="K5">_xlfn.IFS(AND(MONTH(K$3)&gt;=7,MONTH(K$3)&lt;=12),"1H",AND(MONTH(K$3)&gt;=1,MONTH(K$3)&lt;=6),"2H")</f>
        <v>1H</v>
      </c>
      <c r="L5" s="113" t="str">
        <f t="array" ref="L5">_xlfn.IFS(AND(MONTH(L$3)&gt;=7,MONTH(L$3)&lt;=12),"1H",AND(MONTH(L$3)&gt;=1,MONTH(L$3)&lt;=6),"2H")</f>
        <v>2H</v>
      </c>
      <c r="M5" s="113" t="str">
        <f t="array" ref="M5">_xlfn.IFS(AND(MONTH(M$3)&gt;=7,MONTH(M$3)&lt;=12),"1H",AND(MONTH(M$3)&gt;=1,MONTH(M$3)&lt;=6),"2H")</f>
        <v>1H</v>
      </c>
      <c r="N5" s="113" t="str">
        <f t="array" ref="N5">_xlfn.IFS(AND(MONTH(N$3)&gt;=7,MONTH(N$3)&lt;=12),"1H",AND(MONTH(N$3)&gt;=1,MONTH(N$3)&lt;=6),"2H")</f>
        <v>2H</v>
      </c>
      <c r="O5" s="113" t="str">
        <f t="array" ref="O5">_xlfn.IFS(AND(MONTH(O$3)&gt;=7,MONTH(O$3)&lt;=12),"1H",AND(MONTH(O$3)&gt;=1,MONTH(O$3)&lt;=6),"2H")</f>
        <v>1H</v>
      </c>
      <c r="P5" s="113" t="str">
        <f t="array" ref="P5">_xlfn.IFS(AND(MONTH(P$3)&gt;=7,MONTH(P$3)&lt;=12),"1H",AND(MONTH(P$3)&gt;=1,MONTH(P$3)&lt;=6),"2H")</f>
        <v>2H</v>
      </c>
      <c r="Q5" s="113" t="str">
        <f t="array" ref="Q5">_xlfn.IFS(AND(MONTH(Q$3)&gt;=7,MONTH(Q$3)&lt;=12),"1H",AND(MONTH(Q$3)&gt;=1,MONTH(Q$3)&lt;=6),"2H")</f>
        <v>1H</v>
      </c>
      <c r="R5" s="113" t="str">
        <f t="array" ref="R5">_xlfn.IFS(AND(MONTH(R$3)&gt;=7,MONTH(R$3)&lt;=12),"1H",AND(MONTH(R$3)&gt;=1,MONTH(R$3)&lt;=6),"2H")</f>
        <v>2H</v>
      </c>
      <c r="S5" s="113" t="str">
        <f t="array" ref="S5">_xlfn.IFS(AND(MONTH(S$3)&gt;=7,MONTH(S$3)&lt;=12),"1H",AND(MONTH(S$3)&gt;=1,MONTH(S$3)&lt;=6),"2H")</f>
        <v>1H</v>
      </c>
      <c r="T5" s="113" t="str">
        <f t="array" ref="T5">_xlfn.IFS(AND(MONTH(T$3)&gt;=7,MONTH(T$3)&lt;=12),"1H",AND(MONTH(T$3)&gt;=1,MONTH(T$3)&lt;=6),"2H")</f>
        <v>2H</v>
      </c>
      <c r="U5" s="113" t="str">
        <f t="array" ref="U5">_xlfn.IFS(AND(MONTH(U$3)&gt;=7,MONTH(U$3)&lt;=12),"1H",AND(MONTH(U$3)&gt;=1,MONTH(U$3)&lt;=6),"2H")</f>
        <v>1H</v>
      </c>
      <c r="V5" s="113" t="str">
        <f t="array" ref="V5">_xlfn.IFS(AND(MONTH(V$3)&gt;=7,MONTH(V$3)&lt;=12),"1H",AND(MONTH(V$3)&gt;=1,MONTH(V$3)&lt;=6),"2H")</f>
        <v>2H</v>
      </c>
      <c r="W5" s="113" t="str">
        <f t="array" ref="W5">_xlfn.IFS(AND(MONTH(W$3)&gt;=7,MONTH(W$3)&lt;=12),"1H",AND(MONTH(W$3)&gt;=1,MONTH(W$3)&lt;=6),"2H")</f>
        <v>1H</v>
      </c>
      <c r="X5" s="113" t="str">
        <f t="array" ref="X5">_xlfn.IFS(AND(MONTH(X$3)&gt;=7,MONTH(X$3)&lt;=12),"1H",AND(MONTH(X$3)&gt;=1,MONTH(X$3)&lt;=6),"2H")</f>
        <v>2H</v>
      </c>
      <c r="Y5" s="113" t="str">
        <f t="array" ref="Y5">_xlfn.IFS(AND(MONTH(Y$3)&gt;=7,MONTH(Y$3)&lt;=12),"1H",AND(MONTH(Y$3)&gt;=1,MONTH(Y$3)&lt;=6),"2H")</f>
        <v>1H</v>
      </c>
      <c r="Z5" s="113" t="str">
        <f t="array" ref="Z5">_xlfn.IFS(AND(MONTH(Z$3)&gt;=7,MONTH(Z$3)&lt;=12),"1H",AND(MONTH(Z$3)&gt;=1,MONTH(Z$3)&lt;=6),"2H")</f>
        <v>2H</v>
      </c>
      <c r="AA5" s="113" t="str">
        <f t="array" ref="AA5">_xlfn.IFS(AND(MONTH(AA$3)&gt;=7,MONTH(AA$3)&lt;=12),"1H",AND(MONTH(AA$3)&gt;=1,MONTH(AA$3)&lt;=6),"2H")</f>
        <v>1H</v>
      </c>
      <c r="AB5" s="113" t="str">
        <f t="array" ref="AB5">_xlfn.IFS(AND(MONTH(AB$3)&gt;=7,MONTH(AB$3)&lt;=12),"1H",AND(MONTH(AB$3)&gt;=1,MONTH(AB$3)&lt;=6),"2H")</f>
        <v>2H</v>
      </c>
      <c r="AC5" s="113" t="str">
        <f t="array" ref="AC5">_xlfn.IFS(AND(MONTH(AC$3)&gt;=7,MONTH(AC$3)&lt;=12),"1H",AND(MONTH(AC$3)&gt;=1,MONTH(AC$3)&lt;=6),"2H")</f>
        <v>1H</v>
      </c>
      <c r="AD5" s="113" t="str">
        <f t="array" ref="AD5">_xlfn.IFS(AND(MONTH(AD$3)&gt;=7,MONTH(AD$3)&lt;=12),"1H",AND(MONTH(AD$3)&gt;=1,MONTH(AD$3)&lt;=6),"2H")</f>
        <v>2H</v>
      </c>
      <c r="AE5" s="113" t="str">
        <f t="array" ref="AE5">_xlfn.IFS(AND(MONTH(AE$3)&gt;=7,MONTH(AE$3)&lt;=12),"1H",AND(MONTH(AE$3)&gt;=1,MONTH(AE$3)&lt;=6),"2H")</f>
        <v>1H</v>
      </c>
      <c r="AF5" s="113" t="str">
        <f t="array" ref="AF5">_xlfn.IFS(AND(MONTH(AF$3)&gt;=7,MONTH(AF$3)&lt;=12),"1H",AND(MONTH(AF$3)&gt;=1,MONTH(AF$3)&lt;=6),"2H")</f>
        <v>2H</v>
      </c>
      <c r="AG5" s="113" t="str">
        <f t="array" ref="AG5">_xlfn.IFS(AND(MONTH(AG$3)&gt;=7,MONTH(AG$3)&lt;=12),"1H",AND(MONTH(AG$3)&gt;=1,MONTH(AG$3)&lt;=6),"2H")</f>
        <v>1H</v>
      </c>
      <c r="AH5" s="113" t="str">
        <f t="array" ref="AH5">_xlfn.IFS(AND(MONTH(AH$3)&gt;=7,MONTH(AH$3)&lt;=12),"1H",AND(MONTH(AH$3)&gt;=1,MONTH(AH$3)&lt;=6),"2H")</f>
        <v>2H</v>
      </c>
      <c r="AI5" s="113" t="str">
        <f t="array" ref="AI5">_xlfn.IFS(AND(MONTH(AI$3)&gt;=7,MONTH(AI$3)&lt;=12),"1H",AND(MONTH(AI$3)&gt;=1,MONTH(AI$3)&lt;=6),"2H")</f>
        <v>1H</v>
      </c>
      <c r="AJ5" s="113" t="str">
        <f t="array" ref="AJ5">_xlfn.IFS(AND(MONTH(AJ$3)&gt;=7,MONTH(AJ$3)&lt;=12),"1H",AND(MONTH(AJ$3)&gt;=1,MONTH(AJ$3)&lt;=6),"2H")</f>
        <v>2H</v>
      </c>
      <c r="AK5" s="113" t="str">
        <f t="array" ref="AK5">_xlfn.IFS(AND(MONTH(AK$3)&gt;=7,MONTH(AK$3)&lt;=12),"1H",AND(MONTH(AK$3)&gt;=1,MONTH(AK$3)&lt;=6),"2H")</f>
        <v>1H</v>
      </c>
      <c r="AL5" s="113" t="str">
        <f t="array" ref="AL5">_xlfn.IFS(AND(MONTH(AL$3)&gt;=7,MONTH(AL$3)&lt;=12),"1H",AND(MONTH(AL$3)&gt;=1,MONTH(AL$3)&lt;=6),"2H")</f>
        <v>2H</v>
      </c>
    </row>
    <row r="6" spans="1:38" s="36" customFormat="1">
      <c r="A6" s="109"/>
      <c r="B6" s="124" t="s">
        <v>12</v>
      </c>
      <c r="C6" s="110"/>
      <c r="D6" s="122"/>
      <c r="E6" s="113">
        <f t="shared" ref="E6:AL6" si="2">IF(MONTH(E3)&gt;6,RIGHT(YEAR(E3),2)+1,RIGHT(YEAR(E3),2))</f>
        <v>18</v>
      </c>
      <c r="F6" s="113" t="str">
        <f t="shared" si="2"/>
        <v>18</v>
      </c>
      <c r="G6" s="113">
        <f t="shared" si="2"/>
        <v>19</v>
      </c>
      <c r="H6" s="113" t="str">
        <f t="shared" si="2"/>
        <v>19</v>
      </c>
      <c r="I6" s="113">
        <f t="shared" si="2"/>
        <v>20</v>
      </c>
      <c r="J6" s="113" t="str">
        <f t="shared" si="2"/>
        <v>20</v>
      </c>
      <c r="K6" s="113">
        <f t="shared" si="2"/>
        <v>21</v>
      </c>
      <c r="L6" s="113" t="str">
        <f t="shared" si="2"/>
        <v>21</v>
      </c>
      <c r="M6" s="113">
        <f t="shared" si="2"/>
        <v>22</v>
      </c>
      <c r="N6" s="113" t="str">
        <f t="shared" si="2"/>
        <v>22</v>
      </c>
      <c r="O6" s="113">
        <f t="shared" si="2"/>
        <v>23</v>
      </c>
      <c r="P6" s="113" t="str">
        <f t="shared" si="2"/>
        <v>23</v>
      </c>
      <c r="Q6" s="113">
        <f t="shared" si="2"/>
        <v>24</v>
      </c>
      <c r="R6" s="113" t="str">
        <f t="shared" si="2"/>
        <v>24</v>
      </c>
      <c r="S6" s="113">
        <f t="shared" si="2"/>
        <v>25</v>
      </c>
      <c r="T6" s="113" t="str">
        <f t="shared" si="2"/>
        <v>25</v>
      </c>
      <c r="U6" s="113">
        <f t="shared" si="2"/>
        <v>26</v>
      </c>
      <c r="V6" s="113" t="str">
        <f t="shared" si="2"/>
        <v>26</v>
      </c>
      <c r="W6" s="113">
        <f t="shared" si="2"/>
        <v>27</v>
      </c>
      <c r="X6" s="113" t="str">
        <f t="shared" si="2"/>
        <v>27</v>
      </c>
      <c r="Y6" s="113">
        <f t="shared" si="2"/>
        <v>28</v>
      </c>
      <c r="Z6" s="113" t="str">
        <f t="shared" si="2"/>
        <v>28</v>
      </c>
      <c r="AA6" s="113">
        <f t="shared" si="2"/>
        <v>29</v>
      </c>
      <c r="AB6" s="113" t="str">
        <f t="shared" si="2"/>
        <v>29</v>
      </c>
      <c r="AC6" s="113">
        <f t="shared" si="2"/>
        <v>30</v>
      </c>
      <c r="AD6" s="113" t="str">
        <f t="shared" si="2"/>
        <v>30</v>
      </c>
      <c r="AE6" s="113">
        <f t="shared" si="2"/>
        <v>31</v>
      </c>
      <c r="AF6" s="113" t="str">
        <f t="shared" si="2"/>
        <v>31</v>
      </c>
      <c r="AG6" s="113">
        <f t="shared" si="2"/>
        <v>32</v>
      </c>
      <c r="AH6" s="113" t="str">
        <f t="shared" si="2"/>
        <v>32</v>
      </c>
      <c r="AI6" s="113">
        <f t="shared" si="2"/>
        <v>33</v>
      </c>
      <c r="AJ6" s="113" t="str">
        <f t="shared" si="2"/>
        <v>33</v>
      </c>
      <c r="AK6" s="113">
        <f t="shared" si="2"/>
        <v>34</v>
      </c>
      <c r="AL6" s="113" t="str">
        <f t="shared" si="2"/>
        <v>34</v>
      </c>
    </row>
    <row r="7" spans="1:38" s="36" customFormat="1">
      <c r="A7" s="109"/>
      <c r="B7" s="124" t="s">
        <v>13</v>
      </c>
      <c r="C7" s="110"/>
      <c r="D7" s="122"/>
      <c r="E7" s="113" t="str">
        <f t="shared" ref="E7:AL7" si="3">E$5&amp;TEXT(E$6,"00")</f>
        <v>1H18</v>
      </c>
      <c r="F7" s="113" t="str">
        <f t="shared" si="3"/>
        <v>2H18</v>
      </c>
      <c r="G7" s="113" t="str">
        <f t="shared" si="3"/>
        <v>1H19</v>
      </c>
      <c r="H7" s="113" t="str">
        <f t="shared" si="3"/>
        <v>2H19</v>
      </c>
      <c r="I7" s="113" t="str">
        <f t="shared" si="3"/>
        <v>1H20</v>
      </c>
      <c r="J7" s="113" t="str">
        <f t="shared" si="3"/>
        <v>2H20</v>
      </c>
      <c r="K7" s="113" t="str">
        <f t="shared" si="3"/>
        <v>1H21</v>
      </c>
      <c r="L7" s="113" t="str">
        <f t="shared" si="3"/>
        <v>2H21</v>
      </c>
      <c r="M7" s="113" t="str">
        <f t="shared" si="3"/>
        <v>1H22</v>
      </c>
      <c r="N7" s="113" t="str">
        <f t="shared" si="3"/>
        <v>2H22</v>
      </c>
      <c r="O7" s="113" t="str">
        <f t="shared" si="3"/>
        <v>1H23</v>
      </c>
      <c r="P7" s="113" t="str">
        <f t="shared" si="3"/>
        <v>2H23</v>
      </c>
      <c r="Q7" s="113" t="str">
        <f t="shared" si="3"/>
        <v>1H24</v>
      </c>
      <c r="R7" s="113" t="str">
        <f t="shared" si="3"/>
        <v>2H24</v>
      </c>
      <c r="S7" s="113" t="str">
        <f t="shared" si="3"/>
        <v>1H25</v>
      </c>
      <c r="T7" s="113" t="str">
        <f t="shared" si="3"/>
        <v>2H25</v>
      </c>
      <c r="U7" s="113" t="str">
        <f t="shared" si="3"/>
        <v>1H26</v>
      </c>
      <c r="V7" s="113" t="str">
        <f t="shared" si="3"/>
        <v>2H26</v>
      </c>
      <c r="W7" s="113" t="str">
        <f t="shared" si="3"/>
        <v>1H27</v>
      </c>
      <c r="X7" s="113" t="str">
        <f t="shared" si="3"/>
        <v>2H27</v>
      </c>
      <c r="Y7" s="113" t="str">
        <f t="shared" si="3"/>
        <v>1H28</v>
      </c>
      <c r="Z7" s="113" t="str">
        <f t="shared" si="3"/>
        <v>2H28</v>
      </c>
      <c r="AA7" s="113" t="str">
        <f t="shared" si="3"/>
        <v>1H29</v>
      </c>
      <c r="AB7" s="113" t="str">
        <f t="shared" si="3"/>
        <v>2H29</v>
      </c>
      <c r="AC7" s="113" t="str">
        <f t="shared" si="3"/>
        <v>1H30</v>
      </c>
      <c r="AD7" s="113" t="str">
        <f t="shared" si="3"/>
        <v>2H30</v>
      </c>
      <c r="AE7" s="113" t="str">
        <f t="shared" si="3"/>
        <v>1H31</v>
      </c>
      <c r="AF7" s="113" t="str">
        <f t="shared" si="3"/>
        <v>2H31</v>
      </c>
      <c r="AG7" s="113" t="str">
        <f t="shared" si="3"/>
        <v>1H32</v>
      </c>
      <c r="AH7" s="113" t="str">
        <f t="shared" si="3"/>
        <v>2H32</v>
      </c>
      <c r="AI7" s="113" t="str">
        <f t="shared" si="3"/>
        <v>1H33</v>
      </c>
      <c r="AJ7" s="113" t="str">
        <f t="shared" si="3"/>
        <v>2H33</v>
      </c>
      <c r="AK7" s="113" t="str">
        <f t="shared" si="3"/>
        <v>1H34</v>
      </c>
      <c r="AL7" s="113" t="str">
        <f t="shared" si="3"/>
        <v>2H34</v>
      </c>
    </row>
    <row r="8" spans="1:38" s="111" customFormat="1">
      <c r="B8" s="124" t="s">
        <v>14</v>
      </c>
      <c r="C8" s="112"/>
      <c r="E8" s="113">
        <f t="array" ref="E8">_xlfn.IFS(MONTH(E$3)=12,YEAR(E$3)+1,MONTH(E$3)=6,YEAR(E$3))</f>
        <v>2018</v>
      </c>
      <c r="F8" s="113">
        <f t="array" ref="F8">_xlfn.IFS(MONTH(F$3)=12,YEAR(F$3)+1,MONTH(F$3)=6,YEAR(F$3))</f>
        <v>2018</v>
      </c>
      <c r="G8" s="113">
        <f t="array" ref="G8">_xlfn.IFS(MONTH(G$3)=12,YEAR(G$3)+1,MONTH(G$3)=6,YEAR(G$3))</f>
        <v>2019</v>
      </c>
      <c r="H8" s="113">
        <f t="array" ref="H8">_xlfn.IFS(MONTH(H$3)=12,YEAR(H$3)+1,MONTH(H$3)=6,YEAR(H$3))</f>
        <v>2019</v>
      </c>
      <c r="I8" s="113">
        <f t="array" ref="I8">_xlfn.IFS(MONTH(I$3)=12,YEAR(I$3)+1,MONTH(I$3)=6,YEAR(I$3))</f>
        <v>2020</v>
      </c>
      <c r="J8" s="113">
        <f t="array" ref="J8">_xlfn.IFS(MONTH(J$3)=12,YEAR(J$3)+1,MONTH(J$3)=6,YEAR(J$3))</f>
        <v>2020</v>
      </c>
      <c r="K8" s="113">
        <f t="array" ref="K8">_xlfn.IFS(MONTH(K$3)=12,YEAR(K$3)+1,MONTH(K$3)=6,YEAR(K$3))</f>
        <v>2021</v>
      </c>
      <c r="L8" s="113">
        <f t="array" ref="L8">_xlfn.IFS(MONTH(L$3)=12,YEAR(L$3)+1,MONTH(L$3)=6,YEAR(L$3))</f>
        <v>2021</v>
      </c>
      <c r="M8" s="113">
        <f t="array" ref="M8">_xlfn.IFS(MONTH(M$3)=12,YEAR(M$3)+1,MONTH(M$3)=6,YEAR(M$3))</f>
        <v>2022</v>
      </c>
      <c r="N8" s="113">
        <f t="array" ref="N8">_xlfn.IFS(MONTH(N$3)=12,YEAR(N$3)+1,MONTH(N$3)=6,YEAR(N$3))</f>
        <v>2022</v>
      </c>
      <c r="O8" s="113">
        <f t="array" ref="O8">_xlfn.IFS(MONTH(O$3)=12,YEAR(O$3)+1,MONTH(O$3)=6,YEAR(O$3))</f>
        <v>2023</v>
      </c>
      <c r="P8" s="113">
        <f t="array" ref="P8">_xlfn.IFS(MONTH(P$3)=12,YEAR(P$3)+1,MONTH(P$3)=6,YEAR(P$3))</f>
        <v>2023</v>
      </c>
      <c r="Q8" s="113">
        <f t="array" ref="Q8">_xlfn.IFS(MONTH(Q$3)=12,YEAR(Q$3)+1,MONTH(Q$3)=6,YEAR(Q$3))</f>
        <v>2024</v>
      </c>
      <c r="R8" s="113">
        <f t="array" ref="R8">_xlfn.IFS(MONTH(R$3)=12,YEAR(R$3)+1,MONTH(R$3)=6,YEAR(R$3))</f>
        <v>2024</v>
      </c>
      <c r="S8" s="113">
        <f t="array" ref="S8">_xlfn.IFS(MONTH(S$3)=12,YEAR(S$3)+1,MONTH(S$3)=6,YEAR(S$3))</f>
        <v>2025</v>
      </c>
      <c r="T8" s="113">
        <f t="array" ref="T8">_xlfn.IFS(MONTH(T$3)=12,YEAR(T$3)+1,MONTH(T$3)=6,YEAR(T$3))</f>
        <v>2025</v>
      </c>
      <c r="U8" s="113">
        <f t="array" ref="U8">_xlfn.IFS(MONTH(U$3)=12,YEAR(U$3)+1,MONTH(U$3)=6,YEAR(U$3))</f>
        <v>2026</v>
      </c>
      <c r="V8" s="113">
        <f t="array" ref="V8">_xlfn.IFS(MONTH(V$3)=12,YEAR(V$3)+1,MONTH(V$3)=6,YEAR(V$3))</f>
        <v>2026</v>
      </c>
      <c r="W8" s="113">
        <f t="array" ref="W8">_xlfn.IFS(MONTH(W$3)=12,YEAR(W$3)+1,MONTH(W$3)=6,YEAR(W$3))</f>
        <v>2027</v>
      </c>
      <c r="X8" s="113">
        <f t="array" ref="X8">_xlfn.IFS(MONTH(X$3)=12,YEAR(X$3)+1,MONTH(X$3)=6,YEAR(X$3))</f>
        <v>2027</v>
      </c>
      <c r="Y8" s="113">
        <f t="array" ref="Y8">_xlfn.IFS(MONTH(Y$3)=12,YEAR(Y$3)+1,MONTH(Y$3)=6,YEAR(Y$3))</f>
        <v>2028</v>
      </c>
      <c r="Z8" s="113">
        <f t="array" ref="Z8">_xlfn.IFS(MONTH(Z$3)=12,YEAR(Z$3)+1,MONTH(Z$3)=6,YEAR(Z$3))</f>
        <v>2028</v>
      </c>
      <c r="AA8" s="113">
        <f t="array" ref="AA8">_xlfn.IFS(MONTH(AA$3)=12,YEAR(AA$3)+1,MONTH(AA$3)=6,YEAR(AA$3))</f>
        <v>2029</v>
      </c>
      <c r="AB8" s="113">
        <f t="array" ref="AB8">_xlfn.IFS(MONTH(AB$3)=12,YEAR(AB$3)+1,MONTH(AB$3)=6,YEAR(AB$3))</f>
        <v>2029</v>
      </c>
      <c r="AC8" s="113">
        <f t="array" ref="AC8">_xlfn.IFS(MONTH(AC$3)=12,YEAR(AC$3)+1,MONTH(AC$3)=6,YEAR(AC$3))</f>
        <v>2030</v>
      </c>
      <c r="AD8" s="113">
        <f t="array" ref="AD8">_xlfn.IFS(MONTH(AD$3)=12,YEAR(AD$3)+1,MONTH(AD$3)=6,YEAR(AD$3))</f>
        <v>2030</v>
      </c>
      <c r="AE8" s="113">
        <f t="array" ref="AE8">_xlfn.IFS(MONTH(AE$3)=12,YEAR(AE$3)+1,MONTH(AE$3)=6,YEAR(AE$3))</f>
        <v>2031</v>
      </c>
      <c r="AF8" s="113">
        <f t="array" ref="AF8">_xlfn.IFS(MONTH(AF$3)=12,YEAR(AF$3)+1,MONTH(AF$3)=6,YEAR(AF$3))</f>
        <v>2031</v>
      </c>
      <c r="AG8" s="113">
        <f t="array" ref="AG8">_xlfn.IFS(MONTH(AG$3)=12,YEAR(AG$3)+1,MONTH(AG$3)=6,YEAR(AG$3))</f>
        <v>2032</v>
      </c>
      <c r="AH8" s="113">
        <f t="array" ref="AH8">_xlfn.IFS(MONTH(AH$3)=12,YEAR(AH$3)+1,MONTH(AH$3)=6,YEAR(AH$3))</f>
        <v>2032</v>
      </c>
      <c r="AI8" s="113">
        <f t="array" ref="AI8">_xlfn.IFS(MONTH(AI$3)=12,YEAR(AI$3)+1,MONTH(AI$3)=6,YEAR(AI$3))</f>
        <v>2033</v>
      </c>
      <c r="AJ8" s="113">
        <f t="array" ref="AJ8">_xlfn.IFS(MONTH(AJ$3)=12,YEAR(AJ$3)+1,MONTH(AJ$3)=6,YEAR(AJ$3))</f>
        <v>2033</v>
      </c>
      <c r="AK8" s="113">
        <f t="array" ref="AK8">_xlfn.IFS(MONTH(AK$3)=12,YEAR(AK$3)+1,MONTH(AK$3)=6,YEAR(AK$3))</f>
        <v>2034</v>
      </c>
      <c r="AL8" s="113">
        <f t="array" ref="AL8">_xlfn.IFS(MONTH(AL$3)=12,YEAR(AL$3)+1,MONTH(AL$3)=6,YEAR(AL$3))</f>
        <v>2034</v>
      </c>
    </row>
    <row r="9" spans="1:38">
      <c r="B9" s="49" t="s">
        <v>15</v>
      </c>
      <c r="C9" s="36"/>
      <c r="E9" s="36" t="str">
        <f t="shared" ref="E9:AL9" si="4">IF(ISNUMBER(E12),"A","E")</f>
        <v>E</v>
      </c>
      <c r="F9" s="36" t="str">
        <f t="shared" si="4"/>
        <v>A</v>
      </c>
      <c r="G9" s="36" t="str">
        <f t="shared" si="4"/>
        <v>A</v>
      </c>
      <c r="H9" s="36" t="str">
        <f t="shared" si="4"/>
        <v>A</v>
      </c>
      <c r="I9" s="36" t="str">
        <f t="shared" si="4"/>
        <v>A</v>
      </c>
      <c r="J9" s="36" t="str">
        <f t="shared" si="4"/>
        <v>A</v>
      </c>
      <c r="K9" s="36" t="str">
        <f t="shared" si="4"/>
        <v>A</v>
      </c>
      <c r="L9" s="36" t="str">
        <f t="shared" si="4"/>
        <v>A</v>
      </c>
      <c r="M9" s="36" t="str">
        <f t="shared" si="4"/>
        <v>A</v>
      </c>
      <c r="N9" s="36" t="str">
        <f t="shared" si="4"/>
        <v>A</v>
      </c>
      <c r="O9" s="36" t="str">
        <f t="shared" si="4"/>
        <v>A</v>
      </c>
      <c r="P9" s="36" t="str">
        <f t="shared" si="4"/>
        <v>A</v>
      </c>
      <c r="Q9" s="36" t="str">
        <f t="shared" si="4"/>
        <v>E</v>
      </c>
      <c r="R9" s="36" t="str">
        <f t="shared" si="4"/>
        <v>E</v>
      </c>
      <c r="S9" s="36" t="str">
        <f t="shared" si="4"/>
        <v>E</v>
      </c>
      <c r="T9" s="36" t="str">
        <f t="shared" si="4"/>
        <v>E</v>
      </c>
      <c r="U9" s="36" t="str">
        <f t="shared" si="4"/>
        <v>E</v>
      </c>
      <c r="V9" s="36" t="str">
        <f t="shared" si="4"/>
        <v>E</v>
      </c>
      <c r="W9" s="36" t="str">
        <f t="shared" si="4"/>
        <v>E</v>
      </c>
      <c r="X9" s="36" t="str">
        <f t="shared" si="4"/>
        <v>E</v>
      </c>
      <c r="Y9" s="36" t="str">
        <f t="shared" si="4"/>
        <v>E</v>
      </c>
      <c r="Z9" s="36" t="str">
        <f t="shared" si="4"/>
        <v>E</v>
      </c>
      <c r="AA9" s="36" t="str">
        <f t="shared" si="4"/>
        <v>E</v>
      </c>
      <c r="AB9" s="36" t="str">
        <f t="shared" si="4"/>
        <v>E</v>
      </c>
      <c r="AC9" s="36" t="str">
        <f t="shared" si="4"/>
        <v>E</v>
      </c>
      <c r="AD9" s="36" t="str">
        <f t="shared" si="4"/>
        <v>E</v>
      </c>
      <c r="AE9" s="36" t="str">
        <f t="shared" si="4"/>
        <v>E</v>
      </c>
      <c r="AF9" s="36" t="str">
        <f t="shared" si="4"/>
        <v>E</v>
      </c>
      <c r="AG9" s="36" t="str">
        <f t="shared" si="4"/>
        <v>E</v>
      </c>
      <c r="AH9" s="36" t="str">
        <f t="shared" si="4"/>
        <v>E</v>
      </c>
      <c r="AI9" s="36" t="str">
        <f t="shared" si="4"/>
        <v>E</v>
      </c>
      <c r="AJ9" s="36" t="str">
        <f t="shared" si="4"/>
        <v>E</v>
      </c>
      <c r="AK9" s="36" t="str">
        <f t="shared" si="4"/>
        <v>E</v>
      </c>
      <c r="AL9" s="36" t="str">
        <f t="shared" si="4"/>
        <v>E</v>
      </c>
    </row>
    <row r="10" spans="1:38">
      <c r="C10" s="36"/>
    </row>
    <row r="11" spans="1:38">
      <c r="B11" s="265" t="s">
        <v>1594</v>
      </c>
      <c r="C11" s="104"/>
    </row>
    <row r="12" spans="1:38">
      <c r="B12" s="95" t="s">
        <v>70</v>
      </c>
      <c r="C12" s="104" t="s">
        <v>82</v>
      </c>
      <c r="E12" s="43"/>
      <c r="F12" s="41">
        <v>3518</v>
      </c>
      <c r="G12" s="43">
        <f>AVERAGE(F12,H12)</f>
        <v>3571.5</v>
      </c>
      <c r="H12" s="41">
        <v>3625</v>
      </c>
      <c r="I12" s="43">
        <f>AVERAGE(H12,J12)</f>
        <v>3019.5</v>
      </c>
      <c r="J12" s="41">
        <v>2414</v>
      </c>
      <c r="K12" s="43">
        <f>AVERAGE(J12,L12)</f>
        <v>2488</v>
      </c>
      <c r="L12" s="41">
        <v>2562</v>
      </c>
      <c r="M12" s="43">
        <f>AVERAGE(L12,N12)</f>
        <v>2435.5</v>
      </c>
      <c r="N12" s="41">
        <v>2309</v>
      </c>
      <c r="O12" s="43">
        <f>AVERAGE(N12,P12)</f>
        <v>2569</v>
      </c>
      <c r="P12" s="41">
        <v>2829</v>
      </c>
    </row>
    <row r="13" spans="1:38">
      <c r="B13" s="95" t="s">
        <v>1284</v>
      </c>
      <c r="C13" s="104" t="s">
        <v>82</v>
      </c>
      <c r="E13" s="43"/>
      <c r="F13" s="41">
        <v>328</v>
      </c>
      <c r="G13" s="43">
        <f>AVERAGE(F13,H13)</f>
        <v>324</v>
      </c>
      <c r="H13" s="41">
        <v>320</v>
      </c>
      <c r="I13" s="43">
        <f>AVERAGE(H13,J13)</f>
        <v>305</v>
      </c>
      <c r="J13" s="41">
        <v>290</v>
      </c>
      <c r="K13" s="43">
        <f>AVERAGE(J13,L13)</f>
        <v>291.5</v>
      </c>
      <c r="L13" s="41">
        <v>293</v>
      </c>
      <c r="M13" s="43">
        <f>AVERAGE(L13,N13)</f>
        <v>280.5</v>
      </c>
      <c r="N13" s="41">
        <v>268</v>
      </c>
      <c r="O13" s="43">
        <f>AVERAGE(N13,P13)</f>
        <v>285</v>
      </c>
      <c r="P13" s="41">
        <v>302</v>
      </c>
    </row>
    <row r="14" spans="1:38">
      <c r="B14" s="95" t="s">
        <v>1417</v>
      </c>
      <c r="C14" s="104" t="s">
        <v>82</v>
      </c>
      <c r="E14" s="43"/>
      <c r="F14" s="41">
        <v>90</v>
      </c>
      <c r="G14" s="43">
        <f>AVERAGE(F14,H14)</f>
        <v>89.5</v>
      </c>
      <c r="H14" s="41">
        <v>89</v>
      </c>
      <c r="I14" s="43">
        <f>AVERAGE(H14,J14)</f>
        <v>71.5</v>
      </c>
      <c r="J14" s="41">
        <v>54</v>
      </c>
      <c r="K14" s="43">
        <f>AVERAGE(J14,L14)</f>
        <v>56</v>
      </c>
      <c r="L14" s="41">
        <v>58</v>
      </c>
      <c r="M14" s="43">
        <f>AVERAGE(L14,N14)</f>
        <v>53.5</v>
      </c>
      <c r="N14" s="41">
        <v>49</v>
      </c>
      <c r="O14" s="43">
        <f>AVERAGE(N14,P14)</f>
        <v>51</v>
      </c>
      <c r="P14" s="41">
        <v>53</v>
      </c>
    </row>
    <row r="15" spans="1:38">
      <c r="B15" s="95" t="s">
        <v>78</v>
      </c>
      <c r="C15" s="104" t="s">
        <v>82</v>
      </c>
      <c r="E15" s="43"/>
      <c r="F15" s="41">
        <v>1083</v>
      </c>
      <c r="G15" s="43">
        <f>AVERAGE(F15,H15)</f>
        <v>1040</v>
      </c>
      <c r="H15" s="41">
        <v>997</v>
      </c>
      <c r="I15" s="43">
        <f>AVERAGE(H15,J15)</f>
        <v>1028</v>
      </c>
      <c r="J15" s="41">
        <v>1059</v>
      </c>
      <c r="K15" s="43">
        <f>AVERAGE(J15,L15)</f>
        <v>1202.5</v>
      </c>
      <c r="L15" s="41">
        <v>1346</v>
      </c>
      <c r="M15" s="43">
        <f>AVERAGE(L15,N15)</f>
        <v>1321.5</v>
      </c>
      <c r="N15" s="41">
        <v>1297</v>
      </c>
      <c r="O15" s="43">
        <f>AVERAGE(N15,P15)</f>
        <v>1336</v>
      </c>
      <c r="P15" s="41">
        <v>1375</v>
      </c>
    </row>
    <row r="16" spans="1:38">
      <c r="B16" s="42" t="s">
        <v>1595</v>
      </c>
      <c r="C16" s="104" t="s">
        <v>82</v>
      </c>
      <c r="E16" s="43"/>
      <c r="F16" s="57">
        <f t="shared" ref="F16:P16" si="5">SUM(F12:F15)</f>
        <v>5019</v>
      </c>
      <c r="G16" s="57">
        <f t="shared" si="5"/>
        <v>5025</v>
      </c>
      <c r="H16" s="57">
        <f t="shared" si="5"/>
        <v>5031</v>
      </c>
      <c r="I16" s="57">
        <f t="shared" si="5"/>
        <v>4424</v>
      </c>
      <c r="J16" s="57">
        <f t="shared" si="5"/>
        <v>3817</v>
      </c>
      <c r="K16" s="57">
        <f t="shared" si="5"/>
        <v>4038</v>
      </c>
      <c r="L16" s="57">
        <f t="shared" si="5"/>
        <v>4259</v>
      </c>
      <c r="M16" s="57">
        <f t="shared" si="5"/>
        <v>4091</v>
      </c>
      <c r="N16" s="57">
        <f t="shared" si="5"/>
        <v>3923</v>
      </c>
      <c r="O16" s="57">
        <f t="shared" si="5"/>
        <v>4241</v>
      </c>
      <c r="P16" s="57">
        <f t="shared" si="5"/>
        <v>4559</v>
      </c>
    </row>
    <row r="17" spans="2:17">
      <c r="B17" s="128"/>
      <c r="C17" s="104"/>
    </row>
    <row r="18" spans="2:17">
      <c r="B18" s="265" t="s">
        <v>1596</v>
      </c>
      <c r="C18" s="104"/>
    </row>
    <row r="19" spans="2:17">
      <c r="B19" s="95" t="s">
        <v>70</v>
      </c>
      <c r="C19" s="104" t="s">
        <v>82</v>
      </c>
      <c r="F19" s="41">
        <v>2354</v>
      </c>
      <c r="G19" s="43">
        <f>AVERAGE(F19,H19)</f>
        <v>2390</v>
      </c>
      <c r="H19" s="41">
        <v>2426</v>
      </c>
      <c r="I19" s="43">
        <f>AVERAGE(H19,J19)</f>
        <v>2061</v>
      </c>
      <c r="J19" s="41">
        <v>1696</v>
      </c>
      <c r="K19" s="43">
        <f>AVERAGE(J19,L19)</f>
        <v>1711</v>
      </c>
      <c r="L19" s="41">
        <v>1726</v>
      </c>
      <c r="M19" s="43">
        <f>AVERAGE(L19,N19)</f>
        <v>1778</v>
      </c>
      <c r="N19" s="41">
        <v>1830</v>
      </c>
      <c r="O19" s="43">
        <f>AVERAGE(N19,P19)</f>
        <v>1997.5</v>
      </c>
      <c r="P19" s="41">
        <v>2165</v>
      </c>
    </row>
    <row r="20" spans="2:17">
      <c r="B20" s="95" t="s">
        <v>1284</v>
      </c>
      <c r="C20" s="104" t="s">
        <v>82</v>
      </c>
      <c r="F20" s="41">
        <v>248</v>
      </c>
      <c r="G20" s="43">
        <f>AVERAGE(F20,H20)</f>
        <v>245</v>
      </c>
      <c r="H20" s="41">
        <v>242</v>
      </c>
      <c r="I20" s="43">
        <f>AVERAGE(H20,J20)</f>
        <v>210.5</v>
      </c>
      <c r="J20" s="41">
        <v>179</v>
      </c>
      <c r="K20" s="43">
        <f>AVERAGE(J20,L20)</f>
        <v>182</v>
      </c>
      <c r="L20" s="41">
        <v>185</v>
      </c>
      <c r="M20" s="43">
        <f>AVERAGE(L20,N20)</f>
        <v>194.5</v>
      </c>
      <c r="N20" s="41">
        <v>204</v>
      </c>
      <c r="O20" s="43">
        <f>AVERAGE(N20,P20)</f>
        <v>216.5</v>
      </c>
      <c r="P20" s="41">
        <v>229</v>
      </c>
    </row>
    <row r="21" spans="2:17">
      <c r="B21" s="95" t="s">
        <v>1417</v>
      </c>
      <c r="C21" s="104" t="s">
        <v>82</v>
      </c>
      <c r="F21" s="41">
        <v>74</v>
      </c>
      <c r="G21" s="43">
        <f>AVERAGE(F21,H21)</f>
        <v>74.5</v>
      </c>
      <c r="H21" s="41">
        <v>75</v>
      </c>
      <c r="I21" s="43">
        <f>AVERAGE(H21,J21)</f>
        <v>56.5</v>
      </c>
      <c r="J21" s="41">
        <v>38</v>
      </c>
      <c r="K21" s="43">
        <f>AVERAGE(J21,L21)</f>
        <v>40.5</v>
      </c>
      <c r="L21" s="41">
        <v>43</v>
      </c>
      <c r="M21" s="43">
        <f>AVERAGE(L21,N21)</f>
        <v>42</v>
      </c>
      <c r="N21" s="41">
        <v>41</v>
      </c>
      <c r="O21" s="43">
        <f>AVERAGE(N21,P21)</f>
        <v>42.5</v>
      </c>
      <c r="P21" s="41">
        <v>44</v>
      </c>
    </row>
    <row r="22" spans="2:17">
      <c r="B22" s="95" t="s">
        <v>78</v>
      </c>
      <c r="C22" s="104" t="s">
        <v>82</v>
      </c>
      <c r="F22" s="41">
        <v>618</v>
      </c>
      <c r="G22" s="43">
        <f>AVERAGE(F22,H22)</f>
        <v>596.5</v>
      </c>
      <c r="H22" s="41">
        <v>575</v>
      </c>
      <c r="I22" s="43">
        <f>AVERAGE(H22,J22)</f>
        <v>595.5</v>
      </c>
      <c r="J22" s="41">
        <v>616</v>
      </c>
      <c r="K22" s="43">
        <f>AVERAGE(J22,L22)</f>
        <v>674.5</v>
      </c>
      <c r="L22" s="41">
        <v>733</v>
      </c>
      <c r="M22" s="43">
        <f>AVERAGE(L22,N22)</f>
        <v>788</v>
      </c>
      <c r="N22" s="41">
        <v>843</v>
      </c>
      <c r="O22" s="43">
        <f>AVERAGE(N22,P22)</f>
        <v>884</v>
      </c>
      <c r="P22" s="41">
        <v>925</v>
      </c>
    </row>
    <row r="23" spans="2:17">
      <c r="B23" s="42" t="s">
        <v>1595</v>
      </c>
      <c r="C23" s="104" t="s">
        <v>82</v>
      </c>
      <c r="F23" s="57">
        <f t="shared" ref="F23:P23" si="6">SUM(F19:F22)</f>
        <v>3294</v>
      </c>
      <c r="G23" s="57">
        <f t="shared" si="6"/>
        <v>3306</v>
      </c>
      <c r="H23" s="57">
        <f t="shared" si="6"/>
        <v>3318</v>
      </c>
      <c r="I23" s="57">
        <f t="shared" si="6"/>
        <v>2923.5</v>
      </c>
      <c r="J23" s="57">
        <f t="shared" si="6"/>
        <v>2529</v>
      </c>
      <c r="K23" s="57">
        <f t="shared" si="6"/>
        <v>2608</v>
      </c>
      <c r="L23" s="57">
        <f t="shared" si="6"/>
        <v>2687</v>
      </c>
      <c r="M23" s="57">
        <f t="shared" si="6"/>
        <v>2802.5</v>
      </c>
      <c r="N23" s="57">
        <f t="shared" si="6"/>
        <v>2918</v>
      </c>
      <c r="O23" s="57">
        <f t="shared" si="6"/>
        <v>3140.5</v>
      </c>
      <c r="P23" s="57">
        <f t="shared" si="6"/>
        <v>3363</v>
      </c>
    </row>
    <row r="24" spans="2:17">
      <c r="B24" s="128"/>
      <c r="C24" s="104"/>
      <c r="F24" s="57"/>
      <c r="G24" s="43"/>
      <c r="H24" s="57"/>
      <c r="I24" s="43"/>
      <c r="J24" s="57"/>
      <c r="K24" s="43"/>
      <c r="L24" s="57"/>
      <c r="M24" s="43"/>
      <c r="N24" s="57"/>
      <c r="O24" s="43"/>
      <c r="P24" s="57"/>
    </row>
    <row r="25" spans="2:17">
      <c r="B25" s="265" t="s">
        <v>1597</v>
      </c>
      <c r="C25" s="104"/>
    </row>
    <row r="26" spans="2:17">
      <c r="B26" s="42" t="s">
        <v>1598</v>
      </c>
      <c r="C26" s="104" t="s">
        <v>82</v>
      </c>
      <c r="F26" s="143">
        <v>0.55000000000000004</v>
      </c>
      <c r="G26" s="144">
        <f>AVERAGE(F26,H26)</f>
        <v>0.56000000000000005</v>
      </c>
      <c r="H26" s="143">
        <v>0.56999999999999995</v>
      </c>
      <c r="I26" s="144">
        <f>AVERAGE(H26,J26)</f>
        <v>0.57499999999999996</v>
      </c>
      <c r="J26" s="143">
        <v>0.57999999999999996</v>
      </c>
      <c r="K26" s="144">
        <f>AVERAGE(J26,L26)</f>
        <v>0.56000000000000005</v>
      </c>
      <c r="L26" s="143">
        <v>0.54</v>
      </c>
      <c r="M26" s="144">
        <f>AVERAGE(L26,N26)</f>
        <v>0.55000000000000004</v>
      </c>
      <c r="N26" s="143">
        <v>0.56000000000000005</v>
      </c>
      <c r="O26" s="144">
        <f>AVERAGE(N26,P26)</f>
        <v>0.56000000000000005</v>
      </c>
      <c r="P26" s="143">
        <v>0.56000000000000005</v>
      </c>
      <c r="Q26" s="41"/>
    </row>
    <row r="27" spans="2:17">
      <c r="B27" s="42" t="s">
        <v>1599</v>
      </c>
      <c r="C27" s="104" t="s">
        <v>82</v>
      </c>
      <c r="F27" s="143">
        <v>0.24</v>
      </c>
      <c r="G27" s="144">
        <f>AVERAGE(F27,H27)</f>
        <v>0.215</v>
      </c>
      <c r="H27" s="143">
        <v>0.19</v>
      </c>
      <c r="I27" s="144">
        <f>AVERAGE(H27,J27)</f>
        <v>0.19</v>
      </c>
      <c r="J27" s="143">
        <v>0.19</v>
      </c>
      <c r="K27" s="144">
        <f>AVERAGE(J27,L27)</f>
        <v>0.19500000000000001</v>
      </c>
      <c r="L27" s="143">
        <v>0.2</v>
      </c>
      <c r="M27" s="144">
        <f>AVERAGE(L27,N27)</f>
        <v>0.2</v>
      </c>
      <c r="N27" s="143">
        <v>0.2</v>
      </c>
      <c r="O27" s="144">
        <f>AVERAGE(N27,P27)</f>
        <v>0.185</v>
      </c>
      <c r="P27" s="143">
        <v>0.17</v>
      </c>
    </row>
    <row r="28" spans="2:17">
      <c r="B28" s="42" t="s">
        <v>1600</v>
      </c>
      <c r="C28" s="104" t="s">
        <v>82</v>
      </c>
      <c r="F28" s="143">
        <v>0.21</v>
      </c>
      <c r="G28" s="144">
        <f>AVERAGE(F28,H28)</f>
        <v>0.22499999999999998</v>
      </c>
      <c r="H28" s="143">
        <v>0.24</v>
      </c>
      <c r="I28" s="144">
        <f>AVERAGE(H28,J28)</f>
        <v>0.23499999999999999</v>
      </c>
      <c r="J28" s="143">
        <v>0.23</v>
      </c>
      <c r="K28" s="144">
        <f>AVERAGE(J28,L28)</f>
        <v>0.245</v>
      </c>
      <c r="L28" s="143">
        <v>0.26</v>
      </c>
      <c r="M28" s="144">
        <f>AVERAGE(L28,N28)</f>
        <v>0.25</v>
      </c>
      <c r="N28" s="143">
        <v>0.24</v>
      </c>
      <c r="O28" s="144">
        <f>AVERAGE(N28,P28)</f>
        <v>0.255</v>
      </c>
      <c r="P28" s="143">
        <v>0.27</v>
      </c>
    </row>
    <row r="29" spans="2:17">
      <c r="B29" s="42"/>
      <c r="C29" s="104"/>
      <c r="F29" s="143"/>
      <c r="G29" s="144"/>
      <c r="H29" s="143"/>
      <c r="I29" s="144"/>
      <c r="J29" s="143"/>
      <c r="K29" s="144"/>
      <c r="L29" s="143"/>
      <c r="M29" s="144"/>
      <c r="N29" s="143"/>
      <c r="O29" s="144"/>
      <c r="P29" s="143"/>
    </row>
    <row r="30" spans="2:17">
      <c r="B30" s="265" t="s">
        <v>1601</v>
      </c>
    </row>
    <row r="31" spans="2:17">
      <c r="B31" s="42" t="s">
        <v>1602</v>
      </c>
      <c r="C31" s="36" t="s">
        <v>88</v>
      </c>
      <c r="F31" s="143">
        <v>0.2</v>
      </c>
      <c r="G31" s="144">
        <f t="shared" ref="G31:G37" si="7">AVERAGE(F31,H31)</f>
        <v>0.1825</v>
      </c>
      <c r="H31" s="154">
        <v>0.16500000000000001</v>
      </c>
      <c r="I31" s="144">
        <f t="shared" ref="I31:I40" si="8">AVERAGE(H31,J31)</f>
        <v>0.16750000000000001</v>
      </c>
      <c r="J31" s="143">
        <v>0.17</v>
      </c>
      <c r="K31" s="144">
        <f t="shared" ref="K31:K40" si="9">AVERAGE(J31,L31)</f>
        <v>0.16</v>
      </c>
      <c r="L31" s="143">
        <v>0.15</v>
      </c>
      <c r="M31" s="144">
        <f t="shared" ref="M31:M40" si="10">AVERAGE(L31,N31)</f>
        <v>0.15</v>
      </c>
      <c r="N31" s="143">
        <v>0.15</v>
      </c>
      <c r="O31" s="144">
        <f t="shared" ref="O31:O40" si="11">AVERAGE(N31,P31)</f>
        <v>0.16</v>
      </c>
      <c r="P31" s="143">
        <v>0.17</v>
      </c>
    </row>
    <row r="32" spans="2:17">
      <c r="B32" s="42" t="s">
        <v>1603</v>
      </c>
      <c r="F32" s="143">
        <v>0.13</v>
      </c>
      <c r="G32" s="144">
        <f t="shared" si="7"/>
        <v>0.14050000000000001</v>
      </c>
      <c r="H32" s="154">
        <v>0.151</v>
      </c>
      <c r="I32" s="144">
        <f t="shared" si="8"/>
        <v>0.15049999999999999</v>
      </c>
      <c r="J32" s="143">
        <v>0.15</v>
      </c>
      <c r="K32" s="144">
        <f t="shared" si="9"/>
        <v>0.14500000000000002</v>
      </c>
      <c r="L32" s="143">
        <v>0.14000000000000001</v>
      </c>
      <c r="M32" s="144">
        <f t="shared" si="10"/>
        <v>0.13500000000000001</v>
      </c>
      <c r="N32" s="143">
        <v>0.13</v>
      </c>
      <c r="O32" s="144">
        <f t="shared" si="11"/>
        <v>0.13</v>
      </c>
      <c r="P32" s="143">
        <v>0.13</v>
      </c>
    </row>
    <row r="33" spans="2:16">
      <c r="B33" s="42" t="s">
        <v>1604</v>
      </c>
      <c r="F33" s="143">
        <v>0.16</v>
      </c>
      <c r="G33" s="144">
        <f t="shared" si="7"/>
        <v>0.1265</v>
      </c>
      <c r="H33" s="154">
        <v>9.2999999999999999E-2</v>
      </c>
      <c r="I33" s="144">
        <f t="shared" si="8"/>
        <v>0.10150000000000001</v>
      </c>
      <c r="J33" s="143">
        <v>0.11</v>
      </c>
      <c r="K33" s="144">
        <f t="shared" si="9"/>
        <v>0.11499999999999999</v>
      </c>
      <c r="L33" s="143">
        <v>0.12</v>
      </c>
      <c r="M33" s="144">
        <f t="shared" si="10"/>
        <v>0.13</v>
      </c>
      <c r="N33" s="143">
        <v>0.14000000000000001</v>
      </c>
      <c r="O33" s="144">
        <f t="shared" si="11"/>
        <v>0.12000000000000001</v>
      </c>
      <c r="P33" s="143">
        <v>0.1</v>
      </c>
    </row>
    <row r="34" spans="2:16">
      <c r="B34" s="42" t="s">
        <v>1605</v>
      </c>
      <c r="F34" s="143">
        <v>0.13</v>
      </c>
      <c r="G34" s="144">
        <f t="shared" si="7"/>
        <v>0.1215</v>
      </c>
      <c r="H34" s="154">
        <v>0.113</v>
      </c>
      <c r="I34" s="144">
        <f t="shared" si="8"/>
        <v>0.1115</v>
      </c>
      <c r="J34" s="143">
        <v>0.11</v>
      </c>
      <c r="K34" s="144">
        <f t="shared" si="9"/>
        <v>9.5000000000000001E-2</v>
      </c>
      <c r="L34" s="143">
        <v>0.08</v>
      </c>
      <c r="M34" s="144">
        <f t="shared" si="10"/>
        <v>7.5000000000000011E-2</v>
      </c>
      <c r="N34" s="143">
        <v>7.0000000000000007E-2</v>
      </c>
      <c r="O34" s="144">
        <f t="shared" si="11"/>
        <v>7.5000000000000011E-2</v>
      </c>
      <c r="P34" s="143">
        <v>0.08</v>
      </c>
    </row>
    <row r="35" spans="2:16">
      <c r="B35" s="42" t="s">
        <v>1606</v>
      </c>
      <c r="F35" s="143">
        <v>7.0000000000000007E-2</v>
      </c>
      <c r="G35" s="144">
        <f t="shared" si="7"/>
        <v>6.5500000000000003E-2</v>
      </c>
      <c r="H35" s="154">
        <v>6.0999999999999999E-2</v>
      </c>
      <c r="I35" s="144">
        <f t="shared" si="8"/>
        <v>6.0499999999999998E-2</v>
      </c>
      <c r="J35" s="143">
        <v>0.06</v>
      </c>
      <c r="K35" s="144">
        <f t="shared" si="9"/>
        <v>6.5000000000000002E-2</v>
      </c>
      <c r="L35" s="143">
        <v>7.0000000000000007E-2</v>
      </c>
      <c r="M35" s="144">
        <f t="shared" si="10"/>
        <v>7.0000000000000007E-2</v>
      </c>
      <c r="N35" s="143">
        <v>7.0000000000000007E-2</v>
      </c>
      <c r="O35" s="144">
        <f t="shared" si="11"/>
        <v>7.5000000000000011E-2</v>
      </c>
      <c r="P35" s="143">
        <v>0.08</v>
      </c>
    </row>
    <row r="36" spans="2:16">
      <c r="B36" s="42" t="s">
        <v>1607</v>
      </c>
      <c r="F36" s="143">
        <v>0.06</v>
      </c>
      <c r="G36" s="144">
        <f t="shared" si="7"/>
        <v>6.8500000000000005E-2</v>
      </c>
      <c r="H36" s="154">
        <v>7.6999999999999999E-2</v>
      </c>
      <c r="I36" s="144">
        <f t="shared" si="8"/>
        <v>7.350000000000001E-2</v>
      </c>
      <c r="J36" s="143">
        <v>7.0000000000000007E-2</v>
      </c>
      <c r="K36" s="144">
        <f t="shared" si="9"/>
        <v>7.0000000000000007E-2</v>
      </c>
      <c r="L36" s="143">
        <v>7.0000000000000007E-2</v>
      </c>
      <c r="M36" s="144">
        <f t="shared" si="10"/>
        <v>7.0000000000000007E-2</v>
      </c>
      <c r="N36" s="143">
        <v>7.0000000000000007E-2</v>
      </c>
      <c r="O36" s="144">
        <f t="shared" si="11"/>
        <v>7.5000000000000011E-2</v>
      </c>
      <c r="P36" s="143">
        <v>0.08</v>
      </c>
    </row>
    <row r="37" spans="2:16">
      <c r="B37" s="42" t="s">
        <v>1608</v>
      </c>
      <c r="F37" s="143">
        <v>0.09</v>
      </c>
      <c r="G37" s="144">
        <f t="shared" si="7"/>
        <v>8.5499999999999993E-2</v>
      </c>
      <c r="H37" s="154">
        <v>8.1000000000000003E-2</v>
      </c>
      <c r="I37" s="144">
        <f t="shared" si="8"/>
        <v>8.0500000000000002E-2</v>
      </c>
      <c r="J37" s="143">
        <v>0.08</v>
      </c>
      <c r="K37" s="144">
        <f t="shared" si="9"/>
        <v>7.0000000000000007E-2</v>
      </c>
      <c r="L37" s="143">
        <v>0.06</v>
      </c>
      <c r="M37" s="144">
        <f t="shared" si="10"/>
        <v>5.5E-2</v>
      </c>
      <c r="N37" s="143">
        <v>0.05</v>
      </c>
      <c r="O37" s="144">
        <f t="shared" si="11"/>
        <v>5.5E-2</v>
      </c>
      <c r="P37" s="143">
        <v>0.06</v>
      </c>
    </row>
    <row r="38" spans="2:16">
      <c r="B38" s="42" t="s">
        <v>1609</v>
      </c>
      <c r="F38" s="143"/>
      <c r="G38" s="144"/>
      <c r="H38" s="154"/>
      <c r="I38" s="144">
        <f t="shared" si="8"/>
        <v>0.01</v>
      </c>
      <c r="J38" s="143">
        <v>0.01</v>
      </c>
      <c r="K38" s="144">
        <f t="shared" si="9"/>
        <v>2.5000000000000001E-2</v>
      </c>
      <c r="L38" s="143">
        <v>0.04</v>
      </c>
      <c r="M38" s="144">
        <f t="shared" si="10"/>
        <v>0.04</v>
      </c>
      <c r="N38" s="143">
        <v>0.04</v>
      </c>
      <c r="O38" s="144">
        <f t="shared" si="11"/>
        <v>4.4999999999999998E-2</v>
      </c>
      <c r="P38" s="143">
        <v>0.05</v>
      </c>
    </row>
    <row r="39" spans="2:16">
      <c r="B39" s="42" t="s">
        <v>1610</v>
      </c>
      <c r="F39" s="143">
        <v>0.02</v>
      </c>
      <c r="G39" s="144">
        <f>AVERAGE(F39,H39)</f>
        <v>2.35E-2</v>
      </c>
      <c r="H39" s="154">
        <v>2.7E-2</v>
      </c>
      <c r="I39" s="144">
        <f t="shared" si="8"/>
        <v>2.8499999999999998E-2</v>
      </c>
      <c r="J39" s="143">
        <v>0.03</v>
      </c>
      <c r="K39" s="144">
        <f t="shared" si="9"/>
        <v>3.5000000000000003E-2</v>
      </c>
      <c r="L39" s="143">
        <v>0.04</v>
      </c>
      <c r="M39" s="144">
        <f t="shared" si="10"/>
        <v>0.04</v>
      </c>
      <c r="N39" s="143">
        <v>0.04</v>
      </c>
      <c r="O39" s="144">
        <f t="shared" si="11"/>
        <v>3.5000000000000003E-2</v>
      </c>
      <c r="P39" s="143">
        <v>0.03</v>
      </c>
    </row>
    <row r="40" spans="2:16">
      <c r="B40" s="42" t="s">
        <v>1611</v>
      </c>
      <c r="F40" s="143">
        <v>0.06</v>
      </c>
      <c r="G40" s="144">
        <f>AVERAGE(F40,H40)</f>
        <v>0.06</v>
      </c>
      <c r="H40" s="154">
        <v>0.06</v>
      </c>
      <c r="I40" s="144">
        <f t="shared" si="8"/>
        <v>0.06</v>
      </c>
      <c r="J40" s="143">
        <v>0.06</v>
      </c>
      <c r="K40" s="144">
        <f t="shared" si="9"/>
        <v>0.05</v>
      </c>
      <c r="L40" s="143">
        <v>0.04</v>
      </c>
      <c r="M40" s="144">
        <f t="shared" si="10"/>
        <v>3.5000000000000003E-2</v>
      </c>
      <c r="N40" s="143">
        <v>0.03</v>
      </c>
      <c r="O40" s="144">
        <f t="shared" si="11"/>
        <v>0.03</v>
      </c>
      <c r="P40" s="143">
        <v>0.03</v>
      </c>
    </row>
    <row r="41" spans="2:16">
      <c r="B41" s="49" t="s">
        <v>110</v>
      </c>
      <c r="F41" s="149">
        <f t="shared" ref="F41:P41" si="12">1-SUM(F31:F40)</f>
        <v>8.0000000000000071E-2</v>
      </c>
      <c r="G41" s="149">
        <f t="shared" si="12"/>
        <v>0.12600000000000011</v>
      </c>
      <c r="H41" s="149">
        <f t="shared" si="12"/>
        <v>0.17200000000000015</v>
      </c>
      <c r="I41" s="149">
        <f t="shared" si="12"/>
        <v>0.15599999999999992</v>
      </c>
      <c r="J41" s="149">
        <f t="shared" si="12"/>
        <v>0.14999999999999991</v>
      </c>
      <c r="K41" s="149">
        <f t="shared" si="12"/>
        <v>0.16999999999999971</v>
      </c>
      <c r="L41" s="149">
        <f t="shared" si="12"/>
        <v>0.18999999999999972</v>
      </c>
      <c r="M41" s="149">
        <f t="shared" si="12"/>
        <v>0.19999999999999973</v>
      </c>
      <c r="N41" s="149">
        <f t="shared" si="12"/>
        <v>0.20999999999999974</v>
      </c>
      <c r="O41" s="149">
        <f t="shared" si="12"/>
        <v>0.19999999999999984</v>
      </c>
      <c r="P41" s="149">
        <f t="shared" si="12"/>
        <v>0.18999999999999995</v>
      </c>
    </row>
    <row r="43" spans="2:16">
      <c r="B43" s="42" t="s">
        <v>1602</v>
      </c>
      <c r="F43" s="101">
        <f t="shared" ref="F43:P43" si="13">F$16*F31</f>
        <v>1003.8000000000001</v>
      </c>
      <c r="G43" s="101">
        <f t="shared" si="13"/>
        <v>917.0625</v>
      </c>
      <c r="H43" s="101">
        <f t="shared" si="13"/>
        <v>830.11500000000001</v>
      </c>
      <c r="I43" s="101">
        <f t="shared" si="13"/>
        <v>741.0200000000001</v>
      </c>
      <c r="J43" s="101">
        <f t="shared" si="13"/>
        <v>648.8900000000001</v>
      </c>
      <c r="K43" s="101">
        <f t="shared" si="13"/>
        <v>646.08000000000004</v>
      </c>
      <c r="L43" s="101">
        <f t="shared" si="13"/>
        <v>638.85</v>
      </c>
      <c r="M43" s="101">
        <f t="shared" si="13"/>
        <v>613.65</v>
      </c>
      <c r="N43" s="101">
        <f t="shared" si="13"/>
        <v>588.44999999999993</v>
      </c>
      <c r="O43" s="101">
        <f t="shared" si="13"/>
        <v>678.56000000000006</v>
      </c>
      <c r="P43" s="101">
        <f t="shared" si="13"/>
        <v>775.03000000000009</v>
      </c>
    </row>
    <row r="44" spans="2:16">
      <c r="B44" s="42" t="s">
        <v>1603</v>
      </c>
      <c r="F44" s="101">
        <f t="shared" ref="F44:P44" si="14">F$16*F32</f>
        <v>652.47</v>
      </c>
      <c r="G44" s="101">
        <f t="shared" si="14"/>
        <v>706.01250000000005</v>
      </c>
      <c r="H44" s="101">
        <f t="shared" si="14"/>
        <v>759.68099999999993</v>
      </c>
      <c r="I44" s="101">
        <f t="shared" si="14"/>
        <v>665.81200000000001</v>
      </c>
      <c r="J44" s="101">
        <f t="shared" si="14"/>
        <v>572.54999999999995</v>
      </c>
      <c r="K44" s="101">
        <f t="shared" si="14"/>
        <v>585.5100000000001</v>
      </c>
      <c r="L44" s="101">
        <f t="shared" si="14"/>
        <v>596.2600000000001</v>
      </c>
      <c r="M44" s="101">
        <f t="shared" si="14"/>
        <v>552.28500000000008</v>
      </c>
      <c r="N44" s="101">
        <f t="shared" si="14"/>
        <v>509.99</v>
      </c>
      <c r="O44" s="101">
        <f t="shared" si="14"/>
        <v>551.33000000000004</v>
      </c>
      <c r="P44" s="101">
        <f t="shared" si="14"/>
        <v>592.67000000000007</v>
      </c>
    </row>
    <row r="45" spans="2:16">
      <c r="B45" s="42" t="s">
        <v>1604</v>
      </c>
      <c r="F45" s="101">
        <f t="shared" ref="F45:P45" si="15">F$16*F33</f>
        <v>803.04</v>
      </c>
      <c r="G45" s="101">
        <f t="shared" si="15"/>
        <v>635.66250000000002</v>
      </c>
      <c r="H45" s="101">
        <f t="shared" si="15"/>
        <v>467.88299999999998</v>
      </c>
      <c r="I45" s="101">
        <f t="shared" si="15"/>
        <v>449.03600000000006</v>
      </c>
      <c r="J45" s="101">
        <f t="shared" si="15"/>
        <v>419.87</v>
      </c>
      <c r="K45" s="101">
        <f t="shared" si="15"/>
        <v>464.36999999999995</v>
      </c>
      <c r="L45" s="101">
        <f t="shared" si="15"/>
        <v>511.08</v>
      </c>
      <c r="M45" s="101">
        <f t="shared" si="15"/>
        <v>531.83000000000004</v>
      </c>
      <c r="N45" s="101">
        <f t="shared" si="15"/>
        <v>549.22</v>
      </c>
      <c r="O45" s="101">
        <f t="shared" si="15"/>
        <v>508.92</v>
      </c>
      <c r="P45" s="101">
        <f t="shared" si="15"/>
        <v>455.90000000000003</v>
      </c>
    </row>
    <row r="46" spans="2:16">
      <c r="B46" s="42" t="s">
        <v>1605</v>
      </c>
      <c r="F46" s="101">
        <f t="shared" ref="F46:P46" si="16">F$16*F34</f>
        <v>652.47</v>
      </c>
      <c r="G46" s="101">
        <f t="shared" si="16"/>
        <v>610.53750000000002</v>
      </c>
      <c r="H46" s="101">
        <f t="shared" si="16"/>
        <v>568.50300000000004</v>
      </c>
      <c r="I46" s="101">
        <f t="shared" si="16"/>
        <v>493.27600000000001</v>
      </c>
      <c r="J46" s="101">
        <f t="shared" si="16"/>
        <v>419.87</v>
      </c>
      <c r="K46" s="101">
        <f t="shared" si="16"/>
        <v>383.61</v>
      </c>
      <c r="L46" s="101">
        <f t="shared" si="16"/>
        <v>340.72</v>
      </c>
      <c r="M46" s="101">
        <f t="shared" si="16"/>
        <v>306.82500000000005</v>
      </c>
      <c r="N46" s="101">
        <f t="shared" si="16"/>
        <v>274.61</v>
      </c>
      <c r="O46" s="101">
        <f t="shared" si="16"/>
        <v>318.07500000000005</v>
      </c>
      <c r="P46" s="101">
        <f t="shared" si="16"/>
        <v>364.72</v>
      </c>
    </row>
    <row r="47" spans="2:16">
      <c r="B47" s="42" t="s">
        <v>1606</v>
      </c>
      <c r="F47" s="101">
        <f t="shared" ref="F47:P47" si="17">F$16*F35</f>
        <v>351.33000000000004</v>
      </c>
      <c r="G47" s="101">
        <f t="shared" si="17"/>
        <v>329.13749999999999</v>
      </c>
      <c r="H47" s="101">
        <f t="shared" si="17"/>
        <v>306.89100000000002</v>
      </c>
      <c r="I47" s="101">
        <f t="shared" si="17"/>
        <v>267.65199999999999</v>
      </c>
      <c r="J47" s="101">
        <f t="shared" si="17"/>
        <v>229.01999999999998</v>
      </c>
      <c r="K47" s="101">
        <f t="shared" si="17"/>
        <v>262.47000000000003</v>
      </c>
      <c r="L47" s="101">
        <f t="shared" si="17"/>
        <v>298.13000000000005</v>
      </c>
      <c r="M47" s="101">
        <f t="shared" si="17"/>
        <v>286.37</v>
      </c>
      <c r="N47" s="101">
        <f t="shared" si="17"/>
        <v>274.61</v>
      </c>
      <c r="O47" s="101">
        <f t="shared" si="17"/>
        <v>318.07500000000005</v>
      </c>
      <c r="P47" s="101">
        <f t="shared" si="17"/>
        <v>364.72</v>
      </c>
    </row>
    <row r="48" spans="2:16">
      <c r="B48" s="42" t="s">
        <v>1607</v>
      </c>
      <c r="F48" s="101">
        <f t="shared" ref="F48:P48" si="18">F$16*F36</f>
        <v>301.14</v>
      </c>
      <c r="G48" s="101">
        <f t="shared" si="18"/>
        <v>344.21250000000003</v>
      </c>
      <c r="H48" s="101">
        <f t="shared" si="18"/>
        <v>387.387</v>
      </c>
      <c r="I48" s="101">
        <f t="shared" si="18"/>
        <v>325.16400000000004</v>
      </c>
      <c r="J48" s="101">
        <f t="shared" si="18"/>
        <v>267.19</v>
      </c>
      <c r="K48" s="101">
        <f t="shared" si="18"/>
        <v>282.66000000000003</v>
      </c>
      <c r="L48" s="101">
        <f t="shared" si="18"/>
        <v>298.13000000000005</v>
      </c>
      <c r="M48" s="101">
        <f t="shared" si="18"/>
        <v>286.37</v>
      </c>
      <c r="N48" s="101">
        <f t="shared" si="18"/>
        <v>274.61</v>
      </c>
      <c r="O48" s="101">
        <f t="shared" si="18"/>
        <v>318.07500000000005</v>
      </c>
      <c r="P48" s="101">
        <f t="shared" si="18"/>
        <v>364.72</v>
      </c>
    </row>
    <row r="49" spans="2:16">
      <c r="B49" s="42" t="s">
        <v>1608</v>
      </c>
      <c r="F49" s="101">
        <f t="shared" ref="F49:P49" si="19">F$16*F37</f>
        <v>451.71</v>
      </c>
      <c r="G49" s="101">
        <f t="shared" si="19"/>
        <v>429.63749999999999</v>
      </c>
      <c r="H49" s="101">
        <f t="shared" si="19"/>
        <v>407.51100000000002</v>
      </c>
      <c r="I49" s="101">
        <f t="shared" si="19"/>
        <v>356.13200000000001</v>
      </c>
      <c r="J49" s="101">
        <f t="shared" si="19"/>
        <v>305.36</v>
      </c>
      <c r="K49" s="101">
        <f t="shared" si="19"/>
        <v>282.66000000000003</v>
      </c>
      <c r="L49" s="101">
        <f t="shared" si="19"/>
        <v>255.54</v>
      </c>
      <c r="M49" s="101">
        <f t="shared" si="19"/>
        <v>225.005</v>
      </c>
      <c r="N49" s="101">
        <f t="shared" si="19"/>
        <v>196.15</v>
      </c>
      <c r="O49" s="101">
        <f t="shared" si="19"/>
        <v>233.255</v>
      </c>
      <c r="P49" s="101">
        <f t="shared" si="19"/>
        <v>273.53999999999996</v>
      </c>
    </row>
    <row r="50" spans="2:16">
      <c r="B50" s="42" t="s">
        <v>1609</v>
      </c>
      <c r="F50" s="101"/>
      <c r="G50" s="101"/>
      <c r="H50" s="101"/>
      <c r="I50" s="101">
        <f t="shared" ref="I50:P53" si="20">I$16*I38</f>
        <v>44.24</v>
      </c>
      <c r="J50" s="101">
        <f t="shared" si="20"/>
        <v>38.17</v>
      </c>
      <c r="K50" s="101">
        <f t="shared" si="20"/>
        <v>100.95</v>
      </c>
      <c r="L50" s="101">
        <f t="shared" si="20"/>
        <v>170.36</v>
      </c>
      <c r="M50" s="101">
        <f t="shared" si="20"/>
        <v>163.64000000000001</v>
      </c>
      <c r="N50" s="101">
        <f t="shared" si="20"/>
        <v>156.92000000000002</v>
      </c>
      <c r="O50" s="101">
        <f t="shared" si="20"/>
        <v>190.845</v>
      </c>
      <c r="P50" s="101">
        <f t="shared" si="20"/>
        <v>227.95000000000002</v>
      </c>
    </row>
    <row r="51" spans="2:16">
      <c r="B51" s="42" t="s">
        <v>1610</v>
      </c>
      <c r="F51" s="101">
        <f t="shared" ref="F51:H53" si="21">F$16*F39</f>
        <v>100.38</v>
      </c>
      <c r="G51" s="101">
        <f t="shared" si="21"/>
        <v>118.08750000000001</v>
      </c>
      <c r="H51" s="101">
        <f t="shared" si="21"/>
        <v>135.83699999999999</v>
      </c>
      <c r="I51" s="101">
        <f t="shared" si="20"/>
        <v>126.08399999999999</v>
      </c>
      <c r="J51" s="101">
        <f t="shared" si="20"/>
        <v>114.50999999999999</v>
      </c>
      <c r="K51" s="101">
        <f t="shared" si="20"/>
        <v>141.33000000000001</v>
      </c>
      <c r="L51" s="101">
        <f t="shared" si="20"/>
        <v>170.36</v>
      </c>
      <c r="M51" s="101">
        <f t="shared" si="20"/>
        <v>163.64000000000001</v>
      </c>
      <c r="N51" s="101">
        <f t="shared" si="20"/>
        <v>156.92000000000002</v>
      </c>
      <c r="O51" s="101">
        <f t="shared" si="20"/>
        <v>148.435</v>
      </c>
      <c r="P51" s="101">
        <f t="shared" si="20"/>
        <v>136.76999999999998</v>
      </c>
    </row>
    <row r="52" spans="2:16">
      <c r="B52" s="42" t="s">
        <v>1611</v>
      </c>
      <c r="F52" s="101">
        <f t="shared" si="21"/>
        <v>301.14</v>
      </c>
      <c r="G52" s="101">
        <f t="shared" si="21"/>
        <v>301.5</v>
      </c>
      <c r="H52" s="101">
        <f t="shared" si="21"/>
        <v>301.86</v>
      </c>
      <c r="I52" s="101">
        <f t="shared" si="20"/>
        <v>265.44</v>
      </c>
      <c r="J52" s="101">
        <f t="shared" si="20"/>
        <v>229.01999999999998</v>
      </c>
      <c r="K52" s="101">
        <f t="shared" si="20"/>
        <v>201.9</v>
      </c>
      <c r="L52" s="101">
        <f t="shared" si="20"/>
        <v>170.36</v>
      </c>
      <c r="M52" s="101">
        <f t="shared" si="20"/>
        <v>143.185</v>
      </c>
      <c r="N52" s="101">
        <f t="shared" si="20"/>
        <v>117.69</v>
      </c>
      <c r="O52" s="101">
        <f t="shared" si="20"/>
        <v>127.22999999999999</v>
      </c>
      <c r="P52" s="101">
        <f t="shared" si="20"/>
        <v>136.76999999999998</v>
      </c>
    </row>
    <row r="53" spans="2:16">
      <c r="B53" s="49" t="s">
        <v>110</v>
      </c>
      <c r="F53" s="101">
        <f t="shared" si="21"/>
        <v>401.52000000000038</v>
      </c>
      <c r="G53" s="101">
        <f t="shared" si="21"/>
        <v>633.15000000000055</v>
      </c>
      <c r="H53" s="101">
        <f t="shared" si="21"/>
        <v>865.33200000000079</v>
      </c>
      <c r="I53" s="101">
        <f t="shared" si="20"/>
        <v>690.14399999999966</v>
      </c>
      <c r="J53" s="101">
        <f t="shared" si="20"/>
        <v>572.54999999999961</v>
      </c>
      <c r="K53" s="101">
        <f t="shared" si="20"/>
        <v>686.45999999999879</v>
      </c>
      <c r="L53" s="101">
        <f t="shared" si="20"/>
        <v>809.20999999999879</v>
      </c>
      <c r="M53" s="101">
        <f t="shared" si="20"/>
        <v>818.19999999999891</v>
      </c>
      <c r="N53" s="101">
        <f t="shared" si="20"/>
        <v>823.82999999999902</v>
      </c>
      <c r="O53" s="101">
        <f t="shared" si="20"/>
        <v>848.19999999999936</v>
      </c>
      <c r="P53" s="101">
        <f t="shared" si="20"/>
        <v>866.20999999999981</v>
      </c>
    </row>
    <row r="54" spans="2:16">
      <c r="B54" s="109" t="s">
        <v>1612</v>
      </c>
      <c r="F54" s="266">
        <f t="shared" ref="F54:P54" si="22">SUM(F43:F53)</f>
        <v>5019</v>
      </c>
      <c r="G54" s="266">
        <f t="shared" si="22"/>
        <v>5025.0000000000009</v>
      </c>
      <c r="H54" s="266">
        <f t="shared" si="22"/>
        <v>5031</v>
      </c>
      <c r="I54" s="266">
        <f t="shared" si="22"/>
        <v>4424</v>
      </c>
      <c r="J54" s="266">
        <f t="shared" si="22"/>
        <v>3817</v>
      </c>
      <c r="K54" s="266">
        <f t="shared" si="22"/>
        <v>4037.9999999999982</v>
      </c>
      <c r="L54" s="266">
        <f t="shared" si="22"/>
        <v>4258.9999999999991</v>
      </c>
      <c r="M54" s="266">
        <f t="shared" si="22"/>
        <v>4090.9999999999986</v>
      </c>
      <c r="N54" s="266">
        <f t="shared" si="22"/>
        <v>3922.9999999999995</v>
      </c>
      <c r="O54" s="266">
        <f t="shared" si="22"/>
        <v>4240.9999999999991</v>
      </c>
      <c r="P54" s="266">
        <f t="shared" si="22"/>
        <v>4559.0000000000009</v>
      </c>
    </row>
  </sheetData>
  <pageMargins left="0.7" right="0.7" top="0.75" bottom="0.75" header="0.3" footer="0.3"/>
  <pageSetup paperSize="9"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A1:AL123"/>
  <sheetViews>
    <sheetView topLeftCell="A92" workbookViewId="0">
      <selection activeCell="L10" sqref="L10"/>
    </sheetView>
  </sheetViews>
  <sheetFormatPr defaultRowHeight="15" outlineLevelRow="1"/>
  <sheetData>
    <row r="1" spans="1:38" s="1" customFormat="1" ht="11.25" customHeight="1">
      <c r="A1" s="118" t="s">
        <v>7</v>
      </c>
      <c r="B1" s="120" t="s">
        <v>1613</v>
      </c>
      <c r="C1" s="105"/>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row>
    <row r="2" spans="1:38" s="1" customFormat="1" ht="11.25" customHeight="1" outlineLevel="1">
      <c r="C2" s="36"/>
      <c r="G2" s="29"/>
      <c r="H2" s="29"/>
      <c r="I2" s="29"/>
      <c r="J2" s="29"/>
      <c r="K2" s="29"/>
      <c r="L2" s="29"/>
      <c r="M2" s="29"/>
      <c r="N2" s="48"/>
      <c r="O2" s="29"/>
      <c r="P2" s="48"/>
      <c r="Q2" s="48"/>
      <c r="R2" s="100"/>
      <c r="S2" s="91"/>
      <c r="T2" s="91"/>
      <c r="U2" s="91"/>
      <c r="V2" s="91"/>
      <c r="W2" s="91"/>
      <c r="X2" s="91"/>
      <c r="Y2" s="91"/>
      <c r="Z2" s="91"/>
      <c r="AA2" s="91"/>
      <c r="AB2" s="91"/>
      <c r="AC2" s="91"/>
      <c r="AD2" s="91"/>
      <c r="AE2" s="91"/>
      <c r="AF2" s="91"/>
      <c r="AG2" s="91"/>
      <c r="AH2" s="91"/>
      <c r="AI2" s="91"/>
      <c r="AJ2" s="91"/>
      <c r="AK2" s="91"/>
      <c r="AL2" s="91"/>
    </row>
    <row r="3" spans="1:38" s="1" customFormat="1" ht="11.25" customHeight="1" outlineLevel="1">
      <c r="A3" s="53" t="s">
        <v>1614</v>
      </c>
      <c r="B3" s="129" t="s">
        <v>1615</v>
      </c>
      <c r="C3" s="36"/>
      <c r="G3" s="29"/>
      <c r="H3" s="29"/>
      <c r="I3" s="29"/>
      <c r="J3" s="29"/>
      <c r="K3" s="29"/>
      <c r="L3" s="29"/>
      <c r="M3" s="29"/>
      <c r="N3" s="48"/>
      <c r="O3" s="29"/>
      <c r="P3" s="48"/>
      <c r="Q3" s="48"/>
      <c r="R3" s="100"/>
      <c r="S3" s="91"/>
      <c r="T3" s="91"/>
      <c r="U3" s="91"/>
      <c r="V3" s="91"/>
      <c r="W3" s="91"/>
      <c r="X3" s="91"/>
      <c r="Y3" s="91"/>
      <c r="Z3" s="91"/>
      <c r="AA3" s="91"/>
      <c r="AB3" s="91"/>
      <c r="AC3" s="91"/>
      <c r="AD3" s="91"/>
      <c r="AE3" s="91"/>
      <c r="AF3" s="91"/>
      <c r="AG3" s="91"/>
      <c r="AH3" s="91"/>
      <c r="AI3" s="91"/>
      <c r="AJ3" s="91"/>
      <c r="AK3" s="91"/>
      <c r="AL3" s="91"/>
    </row>
    <row r="4" spans="1:38" s="1" customFormat="1" ht="11.25" customHeight="1" outlineLevel="1">
      <c r="C4" s="36"/>
      <c r="G4" s="29"/>
      <c r="H4" s="29"/>
      <c r="I4" s="29"/>
      <c r="J4" s="29"/>
      <c r="K4" s="29"/>
      <c r="L4" s="29"/>
      <c r="M4" s="29"/>
      <c r="N4" s="48"/>
      <c r="O4" s="29"/>
      <c r="P4" s="48"/>
      <c r="Q4" s="48"/>
      <c r="R4" s="100"/>
      <c r="S4" s="91"/>
      <c r="T4" s="91"/>
      <c r="U4" s="91"/>
      <c r="V4" s="91"/>
      <c r="W4" s="91"/>
      <c r="X4" s="91"/>
      <c r="Y4" s="91"/>
      <c r="Z4" s="91"/>
      <c r="AA4" s="91"/>
      <c r="AB4" s="91"/>
      <c r="AC4" s="91"/>
      <c r="AD4" s="91"/>
      <c r="AE4" s="91"/>
      <c r="AF4" s="91"/>
      <c r="AG4" s="91"/>
      <c r="AH4" s="91"/>
      <c r="AI4" s="91"/>
      <c r="AJ4" s="91"/>
      <c r="AK4" s="91"/>
      <c r="AL4" s="91"/>
    </row>
    <row r="5" spans="1:38" s="1" customFormat="1" outlineLevel="1">
      <c r="B5" s="130" t="s">
        <v>1616</v>
      </c>
      <c r="C5" s="39"/>
      <c r="E5" s="43"/>
      <c r="F5" s="43"/>
      <c r="G5" s="43"/>
      <c r="H5" s="43"/>
      <c r="I5" s="185"/>
      <c r="K5" s="43"/>
      <c r="L5" s="43"/>
      <c r="M5" s="43"/>
      <c r="N5" s="43"/>
      <c r="O5" s="43"/>
      <c r="P5" s="43"/>
      <c r="Q5" s="48"/>
      <c r="R5" s="48"/>
      <c r="S5" s="48"/>
      <c r="T5" s="48"/>
      <c r="U5" s="48"/>
      <c r="V5" s="48"/>
      <c r="W5" s="48"/>
      <c r="X5" s="48"/>
      <c r="Y5" s="48"/>
      <c r="Z5" s="48"/>
      <c r="AA5" s="48"/>
      <c r="AB5" s="48"/>
      <c r="AC5" s="48"/>
      <c r="AD5" s="48"/>
      <c r="AE5" s="48"/>
      <c r="AF5" s="48"/>
      <c r="AG5" s="48"/>
      <c r="AH5" s="48"/>
      <c r="AI5" s="48"/>
      <c r="AJ5" s="48"/>
      <c r="AK5" s="48"/>
      <c r="AL5" s="48"/>
    </row>
    <row r="6" spans="1:38" s="1" customFormat="1" ht="11.25" customHeight="1" outlineLevel="1">
      <c r="B6" s="96" t="s">
        <v>70</v>
      </c>
      <c r="C6" s="39" t="s">
        <v>82</v>
      </c>
      <c r="E6" s="43"/>
      <c r="F6" s="41">
        <v>630</v>
      </c>
      <c r="G6" s="43"/>
      <c r="H6" s="43"/>
      <c r="I6" s="43"/>
      <c r="J6" s="43"/>
      <c r="K6" s="43"/>
      <c r="L6" s="43"/>
      <c r="M6" s="43"/>
      <c r="N6" s="43"/>
      <c r="O6" s="43"/>
      <c r="P6" s="41">
        <v>938</v>
      </c>
      <c r="Q6" s="48"/>
      <c r="R6" s="48"/>
      <c r="S6" s="48"/>
      <c r="T6" s="48"/>
      <c r="U6" s="48"/>
      <c r="V6" s="48"/>
      <c r="W6" s="48"/>
      <c r="X6" s="48"/>
      <c r="Y6" s="48"/>
      <c r="Z6" s="48"/>
      <c r="AA6" s="48"/>
      <c r="AB6" s="48"/>
      <c r="AC6" s="48"/>
      <c r="AD6" s="48"/>
      <c r="AE6" s="48"/>
      <c r="AF6" s="48"/>
      <c r="AG6" s="48"/>
      <c r="AH6" s="48"/>
      <c r="AI6" s="48"/>
      <c r="AJ6" s="48"/>
      <c r="AK6" s="48"/>
      <c r="AL6" s="48"/>
    </row>
    <row r="7" spans="1:38" s="1" customFormat="1" ht="11.25" customHeight="1" outlineLevel="1">
      <c r="B7" s="96" t="s">
        <v>1284</v>
      </c>
      <c r="C7" s="39" t="s">
        <v>82</v>
      </c>
      <c r="E7" s="43"/>
      <c r="F7" s="41"/>
      <c r="G7" s="43"/>
      <c r="H7" s="43"/>
      <c r="I7" s="43"/>
      <c r="J7" s="43"/>
      <c r="K7" s="43"/>
      <c r="L7" s="43"/>
      <c r="M7" s="43"/>
      <c r="N7" s="43"/>
      <c r="O7" s="43"/>
      <c r="P7" s="43"/>
      <c r="Q7" s="48"/>
      <c r="R7" s="48"/>
      <c r="S7" s="48"/>
      <c r="T7" s="48"/>
      <c r="U7" s="48"/>
      <c r="V7" s="48"/>
      <c r="W7" s="48"/>
      <c r="X7" s="48"/>
      <c r="Y7" s="48"/>
      <c r="Z7" s="48"/>
      <c r="AA7" s="48"/>
      <c r="AB7" s="48"/>
      <c r="AC7" s="48"/>
      <c r="AD7" s="48"/>
      <c r="AE7" s="48"/>
      <c r="AF7" s="48"/>
      <c r="AG7" s="48"/>
      <c r="AH7" s="48"/>
      <c r="AI7" s="48"/>
      <c r="AJ7" s="48"/>
      <c r="AK7" s="48"/>
      <c r="AL7" s="48"/>
    </row>
    <row r="8" spans="1:38" s="1" customFormat="1" ht="11.25" customHeight="1" outlineLevel="1">
      <c r="B8" s="96" t="s">
        <v>1417</v>
      </c>
      <c r="C8" s="39" t="s">
        <v>82</v>
      </c>
      <c r="E8" s="43"/>
      <c r="F8" s="41"/>
      <c r="G8" s="43"/>
      <c r="H8" s="43"/>
      <c r="I8" s="43"/>
      <c r="J8" s="43"/>
      <c r="K8" s="43"/>
      <c r="L8" s="43"/>
      <c r="M8" s="43"/>
      <c r="N8" s="43"/>
      <c r="O8" s="43"/>
      <c r="P8" s="43"/>
      <c r="Q8" s="48"/>
      <c r="R8" s="48"/>
      <c r="S8" s="48"/>
      <c r="T8" s="48"/>
      <c r="U8" s="48"/>
      <c r="V8" s="48"/>
      <c r="W8" s="48"/>
      <c r="X8" s="48"/>
      <c r="Y8" s="48"/>
      <c r="Z8" s="48"/>
      <c r="AA8" s="48"/>
      <c r="AB8" s="48"/>
      <c r="AC8" s="48"/>
      <c r="AD8" s="48"/>
      <c r="AE8" s="48"/>
      <c r="AF8" s="48"/>
      <c r="AG8" s="48"/>
      <c r="AH8" s="48"/>
      <c r="AI8" s="48"/>
      <c r="AJ8" s="48"/>
      <c r="AK8" s="48"/>
      <c r="AL8" s="48"/>
    </row>
    <row r="9" spans="1:38" s="1" customFormat="1" ht="11.25" customHeight="1" outlineLevel="1">
      <c r="B9" s="96" t="s">
        <v>78</v>
      </c>
      <c r="C9" s="39" t="s">
        <v>82</v>
      </c>
      <c r="E9" s="43"/>
      <c r="F9" s="41"/>
      <c r="G9" s="43"/>
      <c r="H9" s="41">
        <v>0</v>
      </c>
      <c r="I9" s="43"/>
      <c r="J9" s="43"/>
      <c r="K9" s="43"/>
      <c r="L9" s="43"/>
      <c r="M9" s="43"/>
      <c r="N9" s="41">
        <v>120</v>
      </c>
      <c r="O9" s="43"/>
      <c r="P9" s="43"/>
      <c r="Q9" s="48"/>
      <c r="R9" s="48"/>
      <c r="S9" s="48"/>
      <c r="T9" s="48"/>
      <c r="U9" s="48"/>
      <c r="V9" s="48"/>
      <c r="W9" s="48"/>
      <c r="X9" s="48"/>
      <c r="Y9" s="48"/>
      <c r="Z9" s="48"/>
      <c r="AA9" s="48"/>
      <c r="AB9" s="48"/>
      <c r="AC9" s="48"/>
      <c r="AD9" s="48"/>
      <c r="AE9" s="48"/>
      <c r="AF9" s="48"/>
      <c r="AG9" s="48"/>
      <c r="AH9" s="48"/>
      <c r="AI9" s="48"/>
      <c r="AJ9" s="48"/>
      <c r="AK9" s="48"/>
      <c r="AL9" s="48"/>
    </row>
    <row r="10" spans="1:38" s="1" customFormat="1" ht="11.25" customHeight="1" outlineLevel="1">
      <c r="B10" s="96" t="s">
        <v>1617</v>
      </c>
      <c r="C10" s="39" t="s">
        <v>82</v>
      </c>
      <c r="E10" s="43"/>
      <c r="F10" s="41">
        <v>787</v>
      </c>
      <c r="G10" s="43"/>
      <c r="H10" s="41">
        <v>635</v>
      </c>
      <c r="I10" s="43"/>
      <c r="J10" s="41">
        <v>635</v>
      </c>
      <c r="K10" s="43"/>
      <c r="L10" s="41">
        <v>755</v>
      </c>
      <c r="M10" s="43"/>
      <c r="N10" s="41">
        <v>755</v>
      </c>
      <c r="O10" s="43"/>
      <c r="P10" s="41">
        <v>755</v>
      </c>
      <c r="Q10" s="48"/>
      <c r="R10" s="48"/>
      <c r="S10" s="48"/>
      <c r="T10" s="48"/>
      <c r="U10" s="48"/>
      <c r="V10" s="48"/>
      <c r="W10" s="48"/>
      <c r="X10" s="48"/>
      <c r="Y10" s="48"/>
      <c r="Z10" s="48"/>
      <c r="AA10" s="48"/>
      <c r="AB10" s="48"/>
      <c r="AC10" s="48"/>
      <c r="AD10" s="48"/>
      <c r="AE10" s="48"/>
      <c r="AF10" s="48"/>
      <c r="AG10" s="48"/>
      <c r="AH10" s="48"/>
      <c r="AI10" s="48"/>
      <c r="AJ10" s="48"/>
      <c r="AK10" s="48"/>
      <c r="AL10" s="48"/>
    </row>
    <row r="11" spans="1:38" s="1" customFormat="1" ht="11.25" customHeight="1" outlineLevel="1">
      <c r="B11" s="96"/>
      <c r="C11" s="39"/>
      <c r="E11" s="43"/>
      <c r="F11" s="43"/>
      <c r="G11" s="43"/>
      <c r="H11" s="43"/>
      <c r="I11" s="43"/>
      <c r="J11" s="43"/>
      <c r="K11" s="43"/>
      <c r="L11" s="43"/>
      <c r="M11" s="43"/>
      <c r="N11" s="43"/>
      <c r="O11" s="43"/>
      <c r="P11" s="43"/>
      <c r="Q11" s="48"/>
      <c r="R11" s="48"/>
      <c r="S11" s="48"/>
      <c r="T11" s="48"/>
      <c r="U11" s="48"/>
      <c r="V11" s="48"/>
      <c r="W11" s="48"/>
      <c r="X11" s="48"/>
      <c r="Y11" s="48"/>
      <c r="Z11" s="48"/>
      <c r="AA11" s="48"/>
      <c r="AB11" s="48"/>
      <c r="AC11" s="48"/>
      <c r="AD11" s="48"/>
      <c r="AE11" s="48"/>
      <c r="AF11" s="48"/>
      <c r="AG11" s="48"/>
      <c r="AH11" s="48"/>
      <c r="AI11" s="48"/>
      <c r="AJ11" s="48"/>
      <c r="AK11" s="48"/>
      <c r="AL11" s="48"/>
    </row>
    <row r="12" spans="1:38" s="1" customFormat="1" ht="11.25" customHeight="1" outlineLevel="1">
      <c r="B12" s="130" t="s">
        <v>1618</v>
      </c>
      <c r="C12" s="39"/>
      <c r="E12" s="43"/>
      <c r="F12" s="43"/>
      <c r="G12" s="43"/>
      <c r="H12" s="43"/>
      <c r="I12" s="43"/>
      <c r="J12" s="43"/>
      <c r="K12" s="43"/>
      <c r="L12" s="43"/>
      <c r="M12" s="43"/>
      <c r="N12" s="43"/>
      <c r="O12" s="43"/>
      <c r="P12" s="43"/>
      <c r="Q12" s="48"/>
      <c r="R12" s="48"/>
      <c r="S12" s="48"/>
      <c r="T12" s="48"/>
      <c r="U12" s="48"/>
      <c r="V12" s="48"/>
      <c r="W12" s="48"/>
      <c r="X12" s="48"/>
      <c r="Y12" s="48"/>
      <c r="Z12" s="48"/>
      <c r="AA12" s="48"/>
      <c r="AB12" s="48"/>
      <c r="AC12" s="48"/>
      <c r="AD12" s="48"/>
      <c r="AE12" s="48"/>
      <c r="AF12" s="48"/>
      <c r="AG12" s="48"/>
      <c r="AH12" s="48"/>
      <c r="AI12" s="48"/>
      <c r="AJ12" s="48"/>
      <c r="AK12" s="48"/>
      <c r="AL12" s="48"/>
    </row>
    <row r="13" spans="1:38" s="1" customFormat="1" ht="11.25" customHeight="1" outlineLevel="1">
      <c r="B13" s="96" t="s">
        <v>70</v>
      </c>
      <c r="C13" s="39" t="s">
        <v>82</v>
      </c>
      <c r="E13" s="43"/>
      <c r="F13" s="41">
        <v>20</v>
      </c>
      <c r="G13" s="43"/>
      <c r="H13" s="43"/>
      <c r="I13" s="43"/>
      <c r="J13" s="43"/>
      <c r="K13" s="43"/>
      <c r="L13" s="43"/>
      <c r="M13" s="43"/>
      <c r="N13" s="43"/>
      <c r="O13" s="43"/>
      <c r="P13" s="41">
        <v>17</v>
      </c>
      <c r="Q13" s="48"/>
      <c r="R13" s="48"/>
      <c r="S13" s="48"/>
      <c r="T13" s="48"/>
      <c r="U13" s="48"/>
      <c r="V13" s="48"/>
      <c r="W13" s="48"/>
      <c r="X13" s="48"/>
      <c r="Y13" s="48"/>
      <c r="Z13" s="48"/>
      <c r="AA13" s="48"/>
      <c r="AB13" s="48"/>
      <c r="AC13" s="48"/>
      <c r="AD13" s="48"/>
      <c r="AE13" s="48"/>
      <c r="AF13" s="48"/>
      <c r="AG13" s="48"/>
      <c r="AH13" s="48"/>
      <c r="AI13" s="48"/>
      <c r="AJ13" s="48"/>
      <c r="AK13" s="48"/>
      <c r="AL13" s="48"/>
    </row>
    <row r="14" spans="1:38" s="1" customFormat="1" ht="11.25" customHeight="1" outlineLevel="1">
      <c r="B14" s="96" t="s">
        <v>1284</v>
      </c>
      <c r="C14" s="39" t="s">
        <v>82</v>
      </c>
      <c r="E14" s="43"/>
      <c r="F14" s="43"/>
      <c r="G14" s="43"/>
      <c r="H14" s="43"/>
      <c r="I14" s="43"/>
      <c r="J14" s="43"/>
      <c r="K14" s="43"/>
      <c r="L14" s="43"/>
      <c r="M14" s="43"/>
      <c r="N14" s="43"/>
      <c r="O14" s="43"/>
      <c r="P14" s="41">
        <v>5</v>
      </c>
      <c r="Q14" s="48"/>
      <c r="R14" s="48"/>
      <c r="S14" s="48"/>
      <c r="T14" s="48"/>
      <c r="U14" s="48"/>
      <c r="V14" s="48"/>
      <c r="W14" s="48"/>
      <c r="X14" s="48"/>
      <c r="Y14" s="48"/>
      <c r="Z14" s="48"/>
      <c r="AA14" s="48"/>
      <c r="AB14" s="48"/>
      <c r="AC14" s="48"/>
      <c r="AD14" s="48"/>
      <c r="AE14" s="48"/>
      <c r="AF14" s="48"/>
      <c r="AG14" s="48"/>
      <c r="AH14" s="48"/>
      <c r="AI14" s="48"/>
      <c r="AJ14" s="48"/>
      <c r="AK14" s="48"/>
      <c r="AL14" s="48"/>
    </row>
    <row r="15" spans="1:38" s="1" customFormat="1" ht="11.25" customHeight="1" outlineLevel="1">
      <c r="B15" s="96" t="s">
        <v>1417</v>
      </c>
      <c r="C15" s="39" t="s">
        <v>82</v>
      </c>
      <c r="E15" s="43"/>
      <c r="F15" s="43"/>
      <c r="G15" s="43"/>
      <c r="H15" s="43"/>
      <c r="I15" s="43"/>
      <c r="J15" s="43"/>
      <c r="K15" s="43"/>
      <c r="L15" s="43"/>
      <c r="M15" s="43"/>
      <c r="N15" s="43"/>
      <c r="O15" s="43"/>
      <c r="P15" s="41">
        <v>1</v>
      </c>
      <c r="Q15" s="48"/>
      <c r="R15" s="48"/>
      <c r="S15" s="48"/>
      <c r="T15" s="48"/>
      <c r="U15" s="48"/>
      <c r="V15" s="48"/>
      <c r="W15" s="48"/>
      <c r="X15" s="48"/>
      <c r="Y15" s="48"/>
      <c r="Z15" s="48"/>
      <c r="AA15" s="48"/>
      <c r="AB15" s="48"/>
      <c r="AC15" s="48"/>
      <c r="AD15" s="48"/>
      <c r="AE15" s="48"/>
      <c r="AF15" s="48"/>
      <c r="AG15" s="48"/>
      <c r="AH15" s="48"/>
      <c r="AI15" s="48"/>
      <c r="AJ15" s="48"/>
      <c r="AK15" s="48"/>
      <c r="AL15" s="48"/>
    </row>
    <row r="16" spans="1:38" s="1" customFormat="1" ht="11.25" customHeight="1" outlineLevel="1">
      <c r="B16" s="96" t="s">
        <v>78</v>
      </c>
      <c r="C16" s="39" t="s">
        <v>82</v>
      </c>
      <c r="E16" s="43"/>
      <c r="F16" s="43"/>
      <c r="G16" s="43"/>
      <c r="H16" s="41">
        <v>8</v>
      </c>
      <c r="I16" s="43"/>
      <c r="J16" s="43"/>
      <c r="K16" s="43"/>
      <c r="L16" s="43"/>
      <c r="M16" s="43"/>
      <c r="N16" s="41">
        <v>15</v>
      </c>
      <c r="O16" s="43"/>
      <c r="P16" s="41">
        <v>10</v>
      </c>
      <c r="Q16" s="48"/>
      <c r="R16" s="48"/>
      <c r="S16" s="48"/>
      <c r="T16" s="48"/>
      <c r="U16" s="48"/>
      <c r="V16" s="48"/>
      <c r="W16" s="48"/>
      <c r="X16" s="48"/>
      <c r="Y16" s="48"/>
      <c r="Z16" s="48"/>
      <c r="AA16" s="48"/>
      <c r="AB16" s="48"/>
      <c r="AC16" s="48"/>
      <c r="AD16" s="48"/>
      <c r="AE16" s="48"/>
      <c r="AF16" s="48"/>
      <c r="AG16" s="48"/>
      <c r="AH16" s="48"/>
      <c r="AI16" s="48"/>
      <c r="AJ16" s="48"/>
      <c r="AK16" s="48"/>
      <c r="AL16" s="48"/>
    </row>
    <row r="17" spans="2:38" s="1" customFormat="1" ht="11.25" customHeight="1" outlineLevel="1">
      <c r="B17" s="96" t="s">
        <v>1617</v>
      </c>
      <c r="C17" s="39" t="s">
        <v>82</v>
      </c>
      <c r="E17" s="43"/>
      <c r="F17" s="41">
        <f>13+14+18</f>
        <v>45</v>
      </c>
      <c r="G17" s="43"/>
      <c r="H17" s="41">
        <f>23+16</f>
        <v>39</v>
      </c>
      <c r="I17" s="43"/>
      <c r="J17" s="41">
        <f>19+14</f>
        <v>33</v>
      </c>
      <c r="K17" s="43"/>
      <c r="L17" s="41">
        <f>18+15</f>
        <v>33</v>
      </c>
      <c r="M17" s="43"/>
      <c r="N17" s="41">
        <f>17+15</f>
        <v>32</v>
      </c>
      <c r="O17" s="43"/>
      <c r="P17" s="41">
        <f>17+15</f>
        <v>32</v>
      </c>
      <c r="Q17" s="48"/>
      <c r="R17" s="48"/>
      <c r="S17" s="48"/>
      <c r="T17" s="48"/>
      <c r="U17" s="48"/>
      <c r="V17" s="48"/>
      <c r="W17" s="48"/>
      <c r="X17" s="48"/>
      <c r="Y17" s="48"/>
      <c r="Z17" s="48"/>
      <c r="AA17" s="48"/>
      <c r="AB17" s="48"/>
      <c r="AC17" s="48"/>
      <c r="AD17" s="48"/>
      <c r="AE17" s="48"/>
      <c r="AF17" s="48"/>
      <c r="AG17" s="48"/>
      <c r="AH17" s="48"/>
      <c r="AI17" s="48"/>
      <c r="AJ17" s="48"/>
      <c r="AK17" s="48"/>
      <c r="AL17" s="48"/>
    </row>
    <row r="18" spans="2:38" s="1" customFormat="1" ht="11.25" customHeight="1" outlineLevel="1">
      <c r="B18" s="96"/>
      <c r="C18" s="39"/>
      <c r="E18" s="43"/>
      <c r="F18" s="43"/>
      <c r="G18" s="43"/>
      <c r="H18" s="43"/>
      <c r="I18" s="43"/>
      <c r="J18" s="43"/>
      <c r="K18" s="43"/>
      <c r="L18" s="43"/>
      <c r="M18" s="43"/>
      <c r="N18" s="43"/>
      <c r="O18" s="43"/>
      <c r="P18" s="43"/>
      <c r="Q18" s="48"/>
      <c r="R18" s="48"/>
      <c r="S18" s="48"/>
      <c r="T18" s="48"/>
      <c r="U18" s="48"/>
      <c r="V18" s="48"/>
      <c r="W18" s="48"/>
      <c r="X18" s="48"/>
      <c r="Y18" s="48"/>
      <c r="Z18" s="48"/>
      <c r="AA18" s="48"/>
      <c r="AB18" s="48"/>
      <c r="AC18" s="48"/>
      <c r="AD18" s="48"/>
      <c r="AE18" s="48"/>
      <c r="AF18" s="48"/>
      <c r="AG18" s="48"/>
      <c r="AH18" s="48"/>
      <c r="AI18" s="48"/>
      <c r="AJ18" s="48"/>
      <c r="AK18" s="48"/>
      <c r="AL18" s="48"/>
    </row>
    <row r="19" spans="2:38" s="1" customFormat="1" ht="11.25" customHeight="1" outlineLevel="1">
      <c r="B19" s="130" t="s">
        <v>1619</v>
      </c>
      <c r="C19" s="39"/>
      <c r="E19" s="43"/>
      <c r="F19" s="43"/>
      <c r="G19" s="43"/>
      <c r="H19" s="43"/>
      <c r="I19" s="43"/>
      <c r="J19" s="43"/>
      <c r="K19" s="43"/>
      <c r="L19" s="43"/>
      <c r="M19" s="43"/>
      <c r="N19" s="43"/>
      <c r="O19" s="43"/>
      <c r="P19" s="43"/>
      <c r="Q19" s="48"/>
      <c r="R19" s="48"/>
      <c r="S19" s="48"/>
      <c r="T19" s="48"/>
      <c r="U19" s="48"/>
      <c r="V19" s="48"/>
      <c r="W19" s="48"/>
      <c r="X19" s="48"/>
      <c r="Y19" s="48"/>
      <c r="Z19" s="48"/>
      <c r="AA19" s="48"/>
      <c r="AB19" s="48"/>
      <c r="AC19" s="48"/>
      <c r="AD19" s="48"/>
      <c r="AE19" s="48"/>
      <c r="AF19" s="48"/>
      <c r="AG19" s="48"/>
      <c r="AH19" s="48"/>
      <c r="AI19" s="48"/>
      <c r="AJ19" s="48"/>
      <c r="AK19" s="48"/>
      <c r="AL19" s="48"/>
    </row>
    <row r="20" spans="2:38" s="1" customFormat="1" ht="11.25" customHeight="1" outlineLevel="1">
      <c r="B20" s="96" t="s">
        <v>70</v>
      </c>
      <c r="C20" s="39" t="s">
        <v>82</v>
      </c>
      <c r="E20" s="43"/>
      <c r="F20" s="41"/>
      <c r="G20" s="43"/>
      <c r="H20" s="43"/>
      <c r="I20" s="43"/>
      <c r="J20" s="43"/>
      <c r="K20" s="43"/>
      <c r="L20" s="43"/>
      <c r="M20" s="43"/>
      <c r="N20" s="43"/>
      <c r="O20" s="43"/>
      <c r="P20" s="41">
        <v>5</v>
      </c>
      <c r="Q20" s="48"/>
      <c r="R20" s="48"/>
      <c r="S20" s="48"/>
      <c r="T20" s="48"/>
      <c r="U20" s="48"/>
      <c r="V20" s="48"/>
      <c r="W20" s="48"/>
      <c r="X20" s="48"/>
      <c r="Y20" s="48"/>
      <c r="Z20" s="48"/>
      <c r="AA20" s="48"/>
      <c r="AB20" s="48"/>
      <c r="AC20" s="48"/>
      <c r="AD20" s="48"/>
      <c r="AE20" s="48"/>
      <c r="AF20" s="48"/>
      <c r="AG20" s="48"/>
      <c r="AH20" s="48"/>
      <c r="AI20" s="48"/>
      <c r="AJ20" s="48"/>
      <c r="AK20" s="48"/>
      <c r="AL20" s="48"/>
    </row>
    <row r="21" spans="2:38" s="1" customFormat="1" ht="11.25" customHeight="1" outlineLevel="1">
      <c r="B21" s="96" t="s">
        <v>1284</v>
      </c>
      <c r="C21" s="39" t="s">
        <v>82</v>
      </c>
      <c r="E21" s="43"/>
      <c r="F21" s="43"/>
      <c r="G21" s="43"/>
      <c r="H21" s="43"/>
      <c r="I21" s="43"/>
      <c r="J21" s="43"/>
      <c r="K21" s="43"/>
      <c r="L21" s="43"/>
      <c r="M21" s="43"/>
      <c r="N21" s="43"/>
      <c r="O21" s="43"/>
      <c r="P21" s="41"/>
      <c r="Q21" s="48"/>
      <c r="R21" s="48"/>
      <c r="S21" s="48"/>
      <c r="T21" s="48"/>
      <c r="U21" s="48"/>
      <c r="V21" s="48"/>
      <c r="W21" s="48"/>
      <c r="X21" s="48"/>
      <c r="Y21" s="48"/>
      <c r="Z21" s="48"/>
      <c r="AA21" s="48"/>
      <c r="AB21" s="48"/>
      <c r="AC21" s="48"/>
      <c r="AD21" s="48"/>
      <c r="AE21" s="48"/>
      <c r="AF21" s="48"/>
      <c r="AG21" s="48"/>
      <c r="AH21" s="48"/>
      <c r="AI21" s="48"/>
      <c r="AJ21" s="48"/>
      <c r="AK21" s="48"/>
      <c r="AL21" s="48"/>
    </row>
    <row r="22" spans="2:38" s="1" customFormat="1" ht="11.25" customHeight="1" outlineLevel="1">
      <c r="B22" s="96" t="s">
        <v>1417</v>
      </c>
      <c r="C22" s="39" t="s">
        <v>82</v>
      </c>
      <c r="E22" s="43"/>
      <c r="F22" s="43"/>
      <c r="G22" s="43"/>
      <c r="H22" s="43"/>
      <c r="I22" s="43"/>
      <c r="J22" s="43"/>
      <c r="K22" s="43"/>
      <c r="L22" s="43"/>
      <c r="M22" s="43"/>
      <c r="N22" s="43"/>
      <c r="O22" s="43"/>
      <c r="P22" s="41"/>
      <c r="Q22" s="48"/>
      <c r="R22" s="48"/>
      <c r="S22" s="48"/>
      <c r="T22" s="48"/>
      <c r="U22" s="48"/>
      <c r="V22" s="48"/>
      <c r="W22" s="48"/>
      <c r="X22" s="48"/>
      <c r="Y22" s="48"/>
      <c r="Z22" s="48"/>
      <c r="AA22" s="48"/>
      <c r="AB22" s="48"/>
      <c r="AC22" s="48"/>
      <c r="AD22" s="48"/>
      <c r="AE22" s="48"/>
      <c r="AF22" s="48"/>
      <c r="AG22" s="48"/>
      <c r="AH22" s="48"/>
      <c r="AI22" s="48"/>
      <c r="AJ22" s="48"/>
      <c r="AK22" s="48"/>
      <c r="AL22" s="48"/>
    </row>
    <row r="23" spans="2:38" s="1" customFormat="1" ht="11.25" customHeight="1" outlineLevel="1">
      <c r="B23" s="96" t="s">
        <v>78</v>
      </c>
      <c r="C23" s="39" t="s">
        <v>82</v>
      </c>
      <c r="E23" s="43"/>
      <c r="F23" s="43"/>
      <c r="G23" s="43"/>
      <c r="H23" s="43"/>
      <c r="I23" s="43"/>
      <c r="J23" s="43"/>
      <c r="K23" s="43"/>
      <c r="L23" s="43"/>
      <c r="M23" s="43"/>
      <c r="N23" s="41"/>
      <c r="O23" s="43"/>
      <c r="P23" s="41">
        <v>6</v>
      </c>
      <c r="Q23" s="48"/>
      <c r="R23" s="48"/>
      <c r="S23" s="48"/>
      <c r="T23" s="48"/>
      <c r="U23" s="48"/>
      <c r="V23" s="48"/>
      <c r="W23" s="48"/>
      <c r="X23" s="48"/>
      <c r="Y23" s="48"/>
      <c r="Z23" s="48"/>
      <c r="AA23" s="48"/>
      <c r="AB23" s="48"/>
      <c r="AC23" s="48"/>
      <c r="AD23" s="48"/>
      <c r="AE23" s="48"/>
      <c r="AF23" s="48"/>
      <c r="AG23" s="48"/>
      <c r="AH23" s="48"/>
      <c r="AI23" s="48"/>
      <c r="AJ23" s="48"/>
      <c r="AK23" s="48"/>
      <c r="AL23" s="48"/>
    </row>
    <row r="24" spans="2:38" s="1" customFormat="1" ht="11.25" customHeight="1" outlineLevel="1">
      <c r="B24" s="96" t="s">
        <v>1617</v>
      </c>
      <c r="C24" s="39" t="s">
        <v>82</v>
      </c>
      <c r="E24" s="43"/>
      <c r="F24" s="43"/>
      <c r="G24" s="43"/>
      <c r="H24" s="41"/>
      <c r="I24" s="43"/>
      <c r="J24" s="43"/>
      <c r="K24" s="43"/>
      <c r="L24" s="43"/>
      <c r="M24" s="43"/>
      <c r="N24" s="43"/>
      <c r="O24" s="43"/>
      <c r="P24" s="41"/>
      <c r="Q24" s="48"/>
      <c r="R24" s="48"/>
      <c r="S24" s="48"/>
      <c r="T24" s="48"/>
      <c r="U24" s="48"/>
      <c r="V24" s="48"/>
      <c r="W24" s="48"/>
      <c r="X24" s="48"/>
      <c r="Y24" s="48"/>
      <c r="Z24" s="48"/>
      <c r="AA24" s="48"/>
      <c r="AB24" s="48"/>
      <c r="AC24" s="48"/>
      <c r="AD24" s="48"/>
      <c r="AE24" s="48"/>
      <c r="AF24" s="48"/>
      <c r="AG24" s="48"/>
      <c r="AH24" s="48"/>
      <c r="AI24" s="48"/>
      <c r="AJ24" s="48"/>
      <c r="AK24" s="48"/>
      <c r="AL24" s="48"/>
    </row>
    <row r="25" spans="2:38" s="1" customFormat="1" ht="11.25" customHeight="1" outlineLevel="1">
      <c r="B25" s="96"/>
      <c r="C25" s="39"/>
      <c r="E25" s="43"/>
      <c r="F25" s="43"/>
      <c r="G25" s="43"/>
      <c r="H25" s="43"/>
      <c r="I25" s="43"/>
      <c r="J25" s="43"/>
      <c r="K25" s="43"/>
      <c r="L25" s="43"/>
      <c r="M25" s="43"/>
      <c r="N25" s="43"/>
      <c r="O25" s="43"/>
      <c r="P25" s="43"/>
      <c r="Q25" s="48"/>
      <c r="R25" s="48"/>
      <c r="S25" s="48"/>
      <c r="T25" s="48"/>
      <c r="U25" s="48"/>
      <c r="V25" s="48"/>
      <c r="W25" s="48"/>
      <c r="X25" s="48"/>
      <c r="Y25" s="48"/>
      <c r="Z25" s="48"/>
      <c r="AA25" s="48"/>
      <c r="AB25" s="48"/>
      <c r="AC25" s="48"/>
      <c r="AD25" s="48"/>
      <c r="AE25" s="48"/>
      <c r="AF25" s="48"/>
      <c r="AG25" s="48"/>
      <c r="AH25" s="48"/>
      <c r="AI25" s="48"/>
      <c r="AJ25" s="48"/>
      <c r="AK25" s="48"/>
      <c r="AL25" s="48"/>
    </row>
    <row r="26" spans="2:38" s="1" customFormat="1" ht="11.25" customHeight="1" outlineLevel="1">
      <c r="B26" s="130" t="s">
        <v>1620</v>
      </c>
      <c r="C26" s="39"/>
      <c r="E26" s="43"/>
      <c r="F26" s="43"/>
      <c r="G26" s="43"/>
      <c r="H26" s="43"/>
      <c r="I26" s="43"/>
      <c r="J26" s="43"/>
      <c r="K26" s="43"/>
      <c r="L26" s="43"/>
      <c r="M26" s="43"/>
      <c r="N26" s="43"/>
      <c r="O26" s="43"/>
      <c r="P26" s="43"/>
      <c r="Q26" s="48"/>
      <c r="R26" s="48"/>
      <c r="S26" s="48"/>
      <c r="T26" s="48"/>
      <c r="U26" s="48"/>
      <c r="V26" s="48"/>
      <c r="W26" s="48"/>
      <c r="X26" s="48"/>
      <c r="Y26" s="48"/>
      <c r="Z26" s="48"/>
      <c r="AA26" s="48"/>
      <c r="AB26" s="48"/>
      <c r="AC26" s="48"/>
      <c r="AD26" s="48"/>
      <c r="AE26" s="48"/>
      <c r="AF26" s="48"/>
      <c r="AG26" s="48"/>
      <c r="AH26" s="48"/>
      <c r="AI26" s="48"/>
      <c r="AJ26" s="48"/>
      <c r="AK26" s="48"/>
      <c r="AL26" s="48"/>
    </row>
    <row r="27" spans="2:38" s="1" customFormat="1" ht="11.25" customHeight="1" outlineLevel="1">
      <c r="B27" s="96" t="s">
        <v>70</v>
      </c>
      <c r="C27" s="39" t="s">
        <v>82</v>
      </c>
      <c r="E27" s="43"/>
      <c r="F27" s="41"/>
      <c r="G27" s="43"/>
      <c r="H27" s="43"/>
      <c r="I27" s="43"/>
      <c r="J27" s="43"/>
      <c r="K27" s="43"/>
      <c r="L27" s="43"/>
      <c r="M27" s="43"/>
      <c r="N27" s="43"/>
      <c r="O27" s="43"/>
      <c r="P27" s="41">
        <v>3200</v>
      </c>
      <c r="Q27" s="48"/>
      <c r="R27" s="48"/>
      <c r="S27" s="48"/>
      <c r="T27" s="48"/>
      <c r="U27" s="48"/>
      <c r="V27" s="48"/>
      <c r="W27" s="48"/>
      <c r="X27" s="48"/>
      <c r="Y27" s="48"/>
      <c r="Z27" s="48"/>
      <c r="AA27" s="48"/>
      <c r="AB27" s="48"/>
      <c r="AC27" s="48"/>
      <c r="AD27" s="48"/>
      <c r="AE27" s="48"/>
      <c r="AF27" s="48"/>
      <c r="AG27" s="48"/>
      <c r="AH27" s="48"/>
      <c r="AI27" s="48"/>
      <c r="AJ27" s="48"/>
      <c r="AK27" s="48"/>
      <c r="AL27" s="48"/>
    </row>
    <row r="28" spans="2:38" s="1" customFormat="1" ht="11.25" customHeight="1" outlineLevel="1">
      <c r="B28" s="96" t="s">
        <v>1284</v>
      </c>
      <c r="C28" s="39" t="s">
        <v>82</v>
      </c>
      <c r="E28" s="43"/>
      <c r="F28" s="43"/>
      <c r="G28" s="43"/>
      <c r="H28" s="43"/>
      <c r="I28" s="43"/>
      <c r="J28" s="43"/>
      <c r="K28" s="43"/>
      <c r="L28" s="43"/>
      <c r="M28" s="43"/>
      <c r="N28" s="43"/>
      <c r="O28" s="43"/>
      <c r="P28" s="41">
        <v>330</v>
      </c>
      <c r="Q28" s="48"/>
      <c r="R28" s="48"/>
      <c r="S28" s="48"/>
      <c r="T28" s="48"/>
      <c r="U28" s="48"/>
      <c r="V28" s="48"/>
      <c r="W28" s="48"/>
      <c r="X28" s="48"/>
      <c r="Y28" s="48"/>
      <c r="Z28" s="48"/>
      <c r="AA28" s="48"/>
      <c r="AB28" s="48"/>
      <c r="AC28" s="48"/>
      <c r="AD28" s="48"/>
      <c r="AE28" s="48"/>
      <c r="AF28" s="48"/>
      <c r="AG28" s="48"/>
      <c r="AH28" s="48"/>
      <c r="AI28" s="48"/>
      <c r="AJ28" s="48"/>
      <c r="AK28" s="48"/>
      <c r="AL28" s="48"/>
    </row>
    <row r="29" spans="2:38" s="1" customFormat="1" ht="11.25" customHeight="1" outlineLevel="1">
      <c r="B29" s="96" t="s">
        <v>1417</v>
      </c>
      <c r="C29" s="39" t="s">
        <v>82</v>
      </c>
      <c r="E29" s="43"/>
      <c r="F29" s="43"/>
      <c r="G29" s="43"/>
      <c r="H29" s="43"/>
      <c r="I29" s="43"/>
      <c r="J29" s="43"/>
      <c r="K29" s="43"/>
      <c r="L29" s="43"/>
      <c r="M29" s="43"/>
      <c r="N29" s="43"/>
      <c r="O29" s="43"/>
      <c r="P29" s="41"/>
      <c r="Q29" s="48"/>
      <c r="R29" s="48"/>
      <c r="S29" s="48"/>
      <c r="T29" s="48"/>
      <c r="U29" s="48"/>
      <c r="V29" s="48"/>
      <c r="W29" s="48"/>
      <c r="X29" s="48"/>
      <c r="Y29" s="48"/>
      <c r="Z29" s="48"/>
      <c r="AA29" s="48"/>
      <c r="AB29" s="48"/>
      <c r="AC29" s="48"/>
      <c r="AD29" s="48"/>
      <c r="AE29" s="48"/>
      <c r="AF29" s="48"/>
      <c r="AG29" s="48"/>
      <c r="AH29" s="48"/>
      <c r="AI29" s="48"/>
      <c r="AJ29" s="48"/>
      <c r="AK29" s="48"/>
      <c r="AL29" s="48"/>
    </row>
    <row r="30" spans="2:38" s="1" customFormat="1" ht="11.25" customHeight="1" outlineLevel="1">
      <c r="B30" s="96" t="s">
        <v>78</v>
      </c>
      <c r="C30" s="39" t="s">
        <v>82</v>
      </c>
      <c r="E30" s="43"/>
      <c r="F30" s="43"/>
      <c r="G30" s="43"/>
      <c r="H30" s="43"/>
      <c r="I30" s="43"/>
      <c r="J30" s="43"/>
      <c r="K30" s="43"/>
      <c r="L30" s="43"/>
      <c r="M30" s="43"/>
      <c r="N30" s="41">
        <v>1500</v>
      </c>
      <c r="O30" s="43"/>
      <c r="P30" s="41">
        <v>750</v>
      </c>
      <c r="Q30" s="48"/>
      <c r="R30" s="48"/>
      <c r="S30" s="48"/>
      <c r="T30" s="48"/>
      <c r="U30" s="48"/>
      <c r="V30" s="48"/>
      <c r="W30" s="48"/>
      <c r="X30" s="48"/>
      <c r="Y30" s="48"/>
      <c r="Z30" s="48"/>
      <c r="AA30" s="48"/>
      <c r="AB30" s="48"/>
      <c r="AC30" s="48"/>
      <c r="AD30" s="48"/>
      <c r="AE30" s="48"/>
      <c r="AF30" s="48"/>
      <c r="AG30" s="48"/>
      <c r="AH30" s="48"/>
      <c r="AI30" s="48"/>
      <c r="AJ30" s="48"/>
      <c r="AK30" s="48"/>
      <c r="AL30" s="48"/>
    </row>
    <row r="31" spans="2:38" s="1" customFormat="1" ht="11.25" customHeight="1" outlineLevel="1">
      <c r="B31" s="96" t="s">
        <v>1617</v>
      </c>
      <c r="C31" s="39" t="s">
        <v>82</v>
      </c>
      <c r="E31" s="43"/>
      <c r="F31" s="43"/>
      <c r="G31" s="43"/>
      <c r="H31" s="41">
        <v>2248</v>
      </c>
      <c r="I31" s="43"/>
      <c r="J31" s="43"/>
      <c r="K31" s="43"/>
      <c r="L31" s="43"/>
      <c r="M31" s="43"/>
      <c r="N31" s="43"/>
      <c r="O31" s="43"/>
      <c r="P31" s="41">
        <v>4300</v>
      </c>
      <c r="Q31" s="48"/>
      <c r="R31" s="48"/>
      <c r="S31" s="48"/>
      <c r="T31" s="48"/>
      <c r="U31" s="48"/>
      <c r="V31" s="48"/>
      <c r="W31" s="48"/>
      <c r="X31" s="48"/>
      <c r="Y31" s="48"/>
      <c r="Z31" s="48"/>
      <c r="AA31" s="48"/>
      <c r="AB31" s="48"/>
      <c r="AC31" s="48"/>
      <c r="AD31" s="48"/>
      <c r="AE31" s="48"/>
      <c r="AF31" s="48"/>
      <c r="AG31" s="48"/>
      <c r="AH31" s="48"/>
      <c r="AI31" s="48"/>
      <c r="AJ31" s="48"/>
      <c r="AK31" s="48"/>
      <c r="AL31" s="48"/>
    </row>
    <row r="32" spans="2:38" s="1" customFormat="1" ht="11.25" customHeight="1" outlineLevel="1">
      <c r="B32" s="96"/>
      <c r="C32" s="39"/>
      <c r="E32" s="43"/>
      <c r="F32" s="43"/>
      <c r="G32" s="43"/>
      <c r="H32" s="41"/>
      <c r="I32" s="43"/>
      <c r="J32" s="43"/>
      <c r="K32" s="43"/>
      <c r="L32" s="43"/>
      <c r="M32" s="43"/>
      <c r="N32" s="43"/>
      <c r="O32" s="43"/>
      <c r="P32" s="43"/>
      <c r="Q32" s="48"/>
      <c r="R32" s="48"/>
      <c r="S32" s="48"/>
      <c r="T32" s="48"/>
      <c r="U32" s="48"/>
      <c r="V32" s="48"/>
      <c r="W32" s="48"/>
      <c r="X32" s="48"/>
      <c r="Y32" s="48"/>
      <c r="Z32" s="48"/>
      <c r="AA32" s="48"/>
      <c r="AB32" s="48"/>
      <c r="AC32" s="48"/>
      <c r="AD32" s="48"/>
      <c r="AE32" s="48"/>
      <c r="AF32" s="48"/>
      <c r="AG32" s="48"/>
      <c r="AH32" s="48"/>
      <c r="AI32" s="48"/>
      <c r="AJ32" s="48"/>
      <c r="AK32" s="48"/>
      <c r="AL32" s="48"/>
    </row>
    <row r="33" spans="2:38" s="1" customFormat="1" ht="11.25" customHeight="1" outlineLevel="1">
      <c r="B33" s="130" t="s">
        <v>1621</v>
      </c>
      <c r="C33" s="39"/>
      <c r="E33" s="43"/>
      <c r="F33" s="43"/>
      <c r="G33" s="43"/>
      <c r="H33" s="41"/>
      <c r="I33" s="43"/>
      <c r="J33" s="43"/>
      <c r="K33" s="43"/>
      <c r="L33" s="43"/>
      <c r="M33" s="43"/>
      <c r="N33" s="43"/>
      <c r="O33" s="43"/>
      <c r="P33" s="43"/>
      <c r="Q33" s="48"/>
      <c r="R33" s="48"/>
      <c r="S33" s="48"/>
      <c r="T33" s="48"/>
      <c r="U33" s="48"/>
      <c r="V33" s="48"/>
      <c r="W33" s="48"/>
      <c r="X33" s="48"/>
      <c r="Y33" s="48"/>
      <c r="Z33" s="48"/>
      <c r="AA33" s="48"/>
      <c r="AB33" s="48"/>
      <c r="AC33" s="48"/>
      <c r="AD33" s="48"/>
      <c r="AE33" s="48"/>
      <c r="AF33" s="48"/>
      <c r="AG33" s="48"/>
      <c r="AH33" s="48"/>
      <c r="AI33" s="48"/>
      <c r="AJ33" s="48"/>
      <c r="AK33" s="48"/>
      <c r="AL33" s="48"/>
    </row>
    <row r="34" spans="2:38" s="1" customFormat="1" ht="11.25" customHeight="1" outlineLevel="1">
      <c r="B34" s="96" t="s">
        <v>70</v>
      </c>
      <c r="C34" s="39"/>
      <c r="E34" s="43"/>
      <c r="F34" s="43"/>
      <c r="G34" s="43"/>
      <c r="H34" s="41"/>
      <c r="I34" s="43"/>
      <c r="J34" s="43"/>
      <c r="K34" s="43"/>
      <c r="L34" s="43"/>
      <c r="M34" s="43"/>
      <c r="N34" s="43"/>
      <c r="O34" s="43"/>
      <c r="P34" s="316">
        <v>2048</v>
      </c>
      <c r="Q34" s="48"/>
      <c r="R34" s="48"/>
      <c r="S34" s="48"/>
      <c r="T34" s="48"/>
      <c r="U34" s="48"/>
      <c r="V34" s="48"/>
      <c r="W34" s="48"/>
      <c r="X34" s="48"/>
      <c r="Y34" s="48"/>
      <c r="Z34" s="48"/>
      <c r="AA34" s="48"/>
      <c r="AB34" s="48"/>
      <c r="AC34" s="48"/>
      <c r="AD34" s="48"/>
      <c r="AE34" s="48"/>
      <c r="AF34" s="48"/>
      <c r="AG34" s="48"/>
      <c r="AH34" s="48"/>
      <c r="AI34" s="48"/>
      <c r="AJ34" s="48"/>
      <c r="AK34" s="48"/>
      <c r="AL34" s="48"/>
    </row>
    <row r="35" spans="2:38" s="1" customFormat="1" ht="11.25" customHeight="1" outlineLevel="1">
      <c r="B35" s="96" t="s">
        <v>1284</v>
      </c>
      <c r="C35" s="39"/>
      <c r="E35" s="43"/>
      <c r="F35" s="43"/>
      <c r="G35" s="43"/>
      <c r="H35" s="41"/>
      <c r="I35" s="43"/>
      <c r="J35" s="43"/>
      <c r="K35" s="43"/>
      <c r="L35" s="43"/>
      <c r="M35" s="43"/>
      <c r="N35" s="43"/>
      <c r="O35" s="43"/>
      <c r="P35" s="316">
        <v>2027</v>
      </c>
      <c r="Q35" s="48"/>
      <c r="R35" s="48"/>
      <c r="S35" s="48"/>
      <c r="T35" s="48"/>
      <c r="U35" s="48"/>
      <c r="V35" s="48"/>
      <c r="W35" s="48"/>
      <c r="X35" s="48"/>
      <c r="Y35" s="48"/>
      <c r="Z35" s="48"/>
      <c r="AA35" s="48"/>
      <c r="AB35" s="48"/>
      <c r="AC35" s="48"/>
      <c r="AD35" s="48"/>
      <c r="AE35" s="48"/>
      <c r="AF35" s="48"/>
      <c r="AG35" s="48"/>
      <c r="AH35" s="48"/>
      <c r="AI35" s="48"/>
      <c r="AJ35" s="48"/>
      <c r="AK35" s="48"/>
      <c r="AL35" s="48"/>
    </row>
    <row r="36" spans="2:38" s="1" customFormat="1" ht="11.25" customHeight="1" outlineLevel="1">
      <c r="B36" s="96" t="s">
        <v>1417</v>
      </c>
      <c r="C36" s="39"/>
      <c r="E36" s="43"/>
      <c r="F36" s="43"/>
      <c r="G36" s="43"/>
      <c r="H36" s="41"/>
      <c r="I36" s="43"/>
      <c r="J36" s="43"/>
      <c r="K36" s="43"/>
      <c r="L36" s="43"/>
      <c r="M36" s="43"/>
      <c r="N36" s="43"/>
      <c r="O36" s="43"/>
      <c r="P36" s="316">
        <v>2025</v>
      </c>
      <c r="Q36" s="48"/>
      <c r="R36" s="48"/>
      <c r="S36" s="48"/>
      <c r="T36" s="48"/>
      <c r="U36" s="48"/>
      <c r="V36" s="48"/>
      <c r="W36" s="48"/>
      <c r="X36" s="48"/>
      <c r="Y36" s="48"/>
      <c r="Z36" s="48"/>
      <c r="AA36" s="48"/>
      <c r="AB36" s="48"/>
      <c r="AC36" s="48"/>
      <c r="AD36" s="48"/>
      <c r="AE36" s="48"/>
      <c r="AF36" s="48"/>
      <c r="AG36" s="48"/>
      <c r="AH36" s="48"/>
      <c r="AI36" s="48"/>
      <c r="AJ36" s="48"/>
      <c r="AK36" s="48"/>
      <c r="AL36" s="48"/>
    </row>
    <row r="37" spans="2:38" s="1" customFormat="1" ht="11.25" customHeight="1" outlineLevel="1">
      <c r="B37" s="96" t="s">
        <v>78</v>
      </c>
      <c r="C37" s="39"/>
      <c r="E37" s="43"/>
      <c r="F37" s="43"/>
      <c r="G37" s="43"/>
      <c r="H37" s="41"/>
      <c r="I37" s="43"/>
      <c r="J37" s="43"/>
      <c r="K37" s="43"/>
      <c r="L37" s="43"/>
      <c r="M37" s="43"/>
      <c r="N37" s="43"/>
      <c r="O37" s="43"/>
      <c r="P37" s="513">
        <v>2085</v>
      </c>
      <c r="Q37" s="48"/>
      <c r="R37" s="48"/>
      <c r="S37" s="48"/>
      <c r="T37" s="48"/>
      <c r="U37" s="48"/>
      <c r="V37" s="48"/>
      <c r="W37" s="48"/>
      <c r="X37" s="48"/>
      <c r="Y37" s="48"/>
      <c r="Z37" s="48"/>
      <c r="AA37" s="48"/>
      <c r="AB37" s="48"/>
      <c r="AC37" s="48"/>
      <c r="AD37" s="48"/>
      <c r="AE37" s="48"/>
      <c r="AF37" s="48"/>
      <c r="AG37" s="48"/>
      <c r="AH37" s="48"/>
      <c r="AI37" s="48"/>
      <c r="AJ37" s="48"/>
      <c r="AK37" s="48"/>
      <c r="AL37" s="48"/>
    </row>
    <row r="38" spans="2:38" s="1" customFormat="1" ht="11.25" customHeight="1" outlineLevel="1">
      <c r="B38" s="96" t="s">
        <v>1279</v>
      </c>
      <c r="C38" s="39"/>
      <c r="E38" s="43"/>
      <c r="F38" s="43"/>
      <c r="G38" s="43"/>
      <c r="H38" s="41"/>
      <c r="I38" s="43"/>
      <c r="J38" s="43"/>
      <c r="K38" s="43"/>
      <c r="L38" s="43"/>
      <c r="M38" s="43"/>
      <c r="N38" s="43"/>
      <c r="O38" s="43"/>
      <c r="P38" s="316">
        <v>2031</v>
      </c>
      <c r="Q38" s="48"/>
      <c r="R38" s="48"/>
      <c r="S38" s="48"/>
      <c r="T38" s="48"/>
      <c r="U38" s="48"/>
      <c r="V38" s="48"/>
      <c r="W38" s="48"/>
      <c r="X38" s="48"/>
      <c r="Y38" s="48"/>
      <c r="Z38" s="48"/>
      <c r="AA38" s="48"/>
      <c r="AB38" s="48"/>
      <c r="AC38" s="48"/>
      <c r="AD38" s="48"/>
      <c r="AE38" s="48"/>
      <c r="AF38" s="48"/>
      <c r="AG38" s="48"/>
      <c r="AH38" s="48"/>
      <c r="AI38" s="48"/>
      <c r="AJ38" s="48"/>
      <c r="AK38" s="48"/>
      <c r="AL38" s="48"/>
    </row>
    <row r="39" spans="2:38" s="1" customFormat="1" ht="11.25" customHeight="1" outlineLevel="1">
      <c r="C39" s="36"/>
      <c r="G39" s="29"/>
      <c r="H39" s="29"/>
      <c r="I39" s="29"/>
      <c r="J39" s="29"/>
      <c r="K39" s="29"/>
      <c r="L39" s="29"/>
      <c r="M39" s="29"/>
      <c r="N39" s="48"/>
      <c r="O39" s="29"/>
      <c r="P39" s="48"/>
      <c r="Q39" s="48"/>
      <c r="R39" s="100"/>
      <c r="S39" s="91"/>
      <c r="T39" s="91"/>
      <c r="U39" s="91"/>
      <c r="V39" s="91"/>
      <c r="W39" s="91"/>
      <c r="X39" s="91"/>
      <c r="Y39" s="91"/>
      <c r="Z39" s="91"/>
      <c r="AA39" s="91"/>
      <c r="AB39" s="91"/>
      <c r="AC39" s="91"/>
      <c r="AD39" s="91"/>
      <c r="AE39" s="91"/>
      <c r="AF39" s="91"/>
      <c r="AG39" s="91"/>
      <c r="AH39" s="91"/>
      <c r="AI39" s="91"/>
      <c r="AJ39" s="91"/>
      <c r="AK39" s="91"/>
      <c r="AL39" s="91"/>
    </row>
    <row r="40" spans="2:38" s="1" customFormat="1" ht="11.25" customHeight="1" outlineLevel="1">
      <c r="B40" s="136" t="s">
        <v>1622</v>
      </c>
      <c r="C40" s="39"/>
      <c r="E40" s="43"/>
      <c r="F40" s="43"/>
      <c r="G40" s="43"/>
      <c r="H40" s="43"/>
      <c r="I40" s="43"/>
      <c r="J40" s="43"/>
      <c r="K40" s="43"/>
      <c r="L40" s="43"/>
      <c r="M40" s="43"/>
      <c r="N40" s="43"/>
      <c r="O40" s="43"/>
      <c r="P40" s="43"/>
      <c r="Q40" s="48"/>
      <c r="R40" s="48"/>
      <c r="S40" s="48"/>
      <c r="T40" s="48"/>
      <c r="U40" s="48"/>
      <c r="V40" s="48"/>
      <c r="W40" s="48"/>
      <c r="X40" s="48"/>
      <c r="Y40" s="48"/>
      <c r="Z40" s="48"/>
      <c r="AA40" s="48"/>
      <c r="AB40" s="48"/>
      <c r="AC40" s="48"/>
      <c r="AD40" s="48"/>
      <c r="AE40" s="48"/>
      <c r="AF40" s="48"/>
      <c r="AG40" s="48"/>
      <c r="AH40" s="48"/>
      <c r="AI40" s="48"/>
      <c r="AJ40" s="48"/>
      <c r="AK40" s="48"/>
      <c r="AL40" s="48"/>
    </row>
    <row r="41" spans="2:38" s="1" customFormat="1" ht="11.25" customHeight="1" outlineLevel="1">
      <c r="B41" s="126" t="s">
        <v>70</v>
      </c>
      <c r="C41" s="39" t="s">
        <v>88</v>
      </c>
      <c r="E41" s="43"/>
      <c r="F41" s="43"/>
      <c r="G41" s="93"/>
      <c r="H41" s="93"/>
      <c r="I41" s="93"/>
      <c r="J41" s="93"/>
      <c r="K41" s="93"/>
      <c r="L41" s="93"/>
      <c r="M41" s="93"/>
      <c r="N41" s="93"/>
      <c r="O41" s="143">
        <v>0.77</v>
      </c>
      <c r="P41" s="43"/>
      <c r="Q41" s="48"/>
      <c r="R41" s="48"/>
      <c r="S41" s="48"/>
      <c r="T41" s="48"/>
      <c r="U41" s="48"/>
      <c r="V41" s="48"/>
      <c r="W41" s="48"/>
      <c r="X41" s="48"/>
      <c r="Y41" s="48"/>
      <c r="Z41" s="48"/>
      <c r="AA41" s="48"/>
      <c r="AB41" s="48"/>
      <c r="AC41" s="48"/>
      <c r="AD41" s="48"/>
      <c r="AE41" s="48"/>
      <c r="AF41" s="48"/>
      <c r="AG41" s="48"/>
      <c r="AH41" s="48"/>
      <c r="AI41" s="48"/>
      <c r="AJ41" s="48"/>
      <c r="AK41" s="48"/>
      <c r="AL41" s="48"/>
    </row>
    <row r="42" spans="2:38" s="1" customFormat="1" ht="11.25" customHeight="1" outlineLevel="1">
      <c r="B42" s="126" t="s">
        <v>78</v>
      </c>
      <c r="C42" s="39" t="s">
        <v>88</v>
      </c>
      <c r="E42" s="43"/>
      <c r="F42" s="43"/>
      <c r="G42" s="93"/>
      <c r="H42" s="93"/>
      <c r="I42" s="93"/>
      <c r="J42" s="93"/>
      <c r="K42" s="93"/>
      <c r="L42" s="93"/>
      <c r="M42" s="143">
        <v>0.59</v>
      </c>
      <c r="N42" s="93"/>
      <c r="O42" s="143"/>
      <c r="P42" s="43"/>
      <c r="Q42" s="48"/>
      <c r="R42" s="48"/>
      <c r="S42" s="48"/>
      <c r="T42" s="48"/>
      <c r="U42" s="48"/>
      <c r="V42" s="48"/>
      <c r="W42" s="48"/>
      <c r="X42" s="48"/>
      <c r="Y42" s="48"/>
      <c r="Z42" s="48"/>
      <c r="AA42" s="48"/>
      <c r="AB42" s="48"/>
      <c r="AC42" s="48"/>
      <c r="AD42" s="48"/>
      <c r="AE42" s="48"/>
      <c r="AF42" s="48"/>
      <c r="AG42" s="48"/>
      <c r="AH42" s="48"/>
      <c r="AI42" s="48"/>
      <c r="AJ42" s="48"/>
      <c r="AK42" s="48"/>
      <c r="AL42" s="48"/>
    </row>
    <row r="43" spans="2:38" s="1" customFormat="1" ht="11.25" customHeight="1" outlineLevel="1">
      <c r="C43" s="36"/>
    </row>
    <row r="44" spans="2:38" s="1" customFormat="1" ht="11.25" customHeight="1" outlineLevel="1">
      <c r="B44" s="136" t="s">
        <v>1623</v>
      </c>
      <c r="C44" s="39"/>
      <c r="E44" s="43"/>
      <c r="F44" s="43"/>
      <c r="G44" s="93"/>
      <c r="H44" s="93"/>
      <c r="I44" s="93"/>
      <c r="J44" s="93"/>
      <c r="K44" s="93"/>
      <c r="L44" s="93"/>
      <c r="M44" s="93"/>
      <c r="N44" s="93"/>
      <c r="O44" s="93"/>
      <c r="P44" s="93"/>
      <c r="Q44" s="146"/>
      <c r="R44" s="146"/>
      <c r="S44" s="146"/>
      <c r="T44" s="146"/>
      <c r="U44" s="146"/>
      <c r="V44" s="146"/>
      <c r="W44" s="146"/>
      <c r="X44" s="146"/>
      <c r="Y44" s="146"/>
      <c r="Z44" s="146"/>
      <c r="AA44" s="146"/>
      <c r="AB44" s="146"/>
      <c r="AC44" s="146"/>
      <c r="AD44" s="146"/>
      <c r="AE44" s="146"/>
      <c r="AF44" s="146"/>
      <c r="AG44" s="146"/>
      <c r="AH44" s="146"/>
      <c r="AI44" s="146"/>
      <c r="AJ44" s="146"/>
      <c r="AK44" s="146"/>
      <c r="AL44" s="146"/>
    </row>
    <row r="45" spans="2:38" s="1" customFormat="1" ht="11.25" customHeight="1" outlineLevel="1">
      <c r="B45" s="126" t="s">
        <v>1612</v>
      </c>
      <c r="C45" s="39" t="s">
        <v>72</v>
      </c>
      <c r="E45" s="43"/>
      <c r="F45" s="43"/>
      <c r="G45" s="46">
        <v>28.2</v>
      </c>
      <c r="H45" s="46">
        <f>54.6-G45</f>
        <v>26.400000000000002</v>
      </c>
      <c r="I45" s="46">
        <v>26.5</v>
      </c>
      <c r="J45" s="46">
        <f>41.1-I45</f>
        <v>14.600000000000001</v>
      </c>
      <c r="K45" s="93"/>
      <c r="L45" s="93"/>
      <c r="M45" s="93"/>
      <c r="N45" s="93"/>
      <c r="O45" s="93"/>
      <c r="P45" s="93"/>
      <c r="Q45" s="146"/>
      <c r="R45" s="146"/>
      <c r="S45" s="146"/>
      <c r="T45" s="146"/>
      <c r="U45" s="146"/>
      <c r="V45" s="146"/>
      <c r="W45" s="146"/>
      <c r="X45" s="146"/>
      <c r="Y45" s="146"/>
      <c r="Z45" s="146"/>
      <c r="AA45" s="146"/>
      <c r="AB45" s="146"/>
      <c r="AC45" s="146"/>
      <c r="AD45" s="146"/>
      <c r="AE45" s="146"/>
      <c r="AF45" s="146"/>
      <c r="AG45" s="146"/>
      <c r="AH45" s="146"/>
      <c r="AI45" s="146"/>
      <c r="AJ45" s="146"/>
      <c r="AK45" s="146"/>
      <c r="AL45" s="146"/>
    </row>
    <row r="46" spans="2:38" s="1" customFormat="1" ht="11.25" customHeight="1" outlineLevel="1">
      <c r="C46" s="36"/>
    </row>
    <row r="47" spans="2:38" s="1" customFormat="1" ht="11.25" customHeight="1" outlineLevel="1">
      <c r="B47" s="139" t="s">
        <v>1624</v>
      </c>
      <c r="C47" s="39"/>
      <c r="E47" s="43"/>
      <c r="F47" s="43"/>
      <c r="G47" s="93"/>
      <c r="H47" s="93"/>
      <c r="I47" s="93"/>
      <c r="J47" s="93"/>
      <c r="K47" s="93"/>
      <c r="L47" s="93"/>
      <c r="M47" s="93"/>
      <c r="N47" s="93"/>
      <c r="O47" s="93"/>
      <c r="P47" s="93"/>
      <c r="Q47" s="146"/>
      <c r="R47" s="146"/>
      <c r="S47" s="146"/>
      <c r="T47" s="146"/>
      <c r="U47" s="146"/>
      <c r="V47" s="146"/>
      <c r="W47" s="146"/>
      <c r="X47" s="146"/>
      <c r="Y47" s="146"/>
      <c r="Z47" s="146"/>
      <c r="AA47" s="146"/>
      <c r="AB47" s="146"/>
      <c r="AC47" s="146"/>
      <c r="AD47" s="146"/>
      <c r="AE47" s="146"/>
      <c r="AF47" s="146"/>
      <c r="AG47" s="146"/>
      <c r="AH47" s="146"/>
      <c r="AI47" s="146"/>
      <c r="AJ47" s="146"/>
      <c r="AK47" s="146"/>
      <c r="AL47" s="146"/>
    </row>
    <row r="48" spans="2:38" s="1" customFormat="1" ht="11.25" customHeight="1" outlineLevel="1">
      <c r="B48" s="137" t="s">
        <v>1612</v>
      </c>
      <c r="C48" s="39" t="s">
        <v>72</v>
      </c>
      <c r="E48" s="43"/>
      <c r="F48" s="43"/>
      <c r="G48" s="47"/>
      <c r="H48" s="47"/>
      <c r="I48" s="47">
        <f>I53-I45</f>
        <v>-2.1027057599999992</v>
      </c>
      <c r="J48" s="47"/>
      <c r="K48" s="93"/>
      <c r="L48" s="93"/>
      <c r="M48" s="93"/>
      <c r="N48" s="93"/>
      <c r="O48" s="93"/>
      <c r="P48" s="93"/>
      <c r="Q48" s="146"/>
      <c r="R48" s="146"/>
      <c r="S48" s="146"/>
      <c r="T48" s="146"/>
      <c r="U48" s="146"/>
      <c r="V48" s="146"/>
      <c r="W48" s="146"/>
      <c r="X48" s="146"/>
      <c r="Y48" s="146"/>
      <c r="Z48" s="146"/>
      <c r="AA48" s="146"/>
      <c r="AB48" s="146"/>
      <c r="AC48" s="146"/>
      <c r="AD48" s="146"/>
      <c r="AE48" s="146"/>
      <c r="AF48" s="146"/>
      <c r="AG48" s="146"/>
      <c r="AH48" s="146"/>
      <c r="AI48" s="146"/>
      <c r="AJ48" s="146"/>
      <c r="AK48" s="146"/>
      <c r="AL48" s="146"/>
    </row>
    <row r="49" spans="2:38" s="1" customFormat="1" ht="11.25" customHeight="1" outlineLevel="1">
      <c r="B49" s="49"/>
      <c r="C49" s="36"/>
      <c r="G49" s="29"/>
      <c r="H49" s="29"/>
      <c r="I49" s="29"/>
      <c r="J49" s="29"/>
      <c r="K49" s="29"/>
      <c r="L49" s="29"/>
      <c r="M49" s="29"/>
      <c r="N49" s="48"/>
      <c r="O49" s="29"/>
      <c r="P49" s="48"/>
      <c r="Q49" s="48"/>
      <c r="R49" s="100"/>
      <c r="S49" s="91"/>
      <c r="T49" s="91"/>
      <c r="U49" s="91"/>
      <c r="V49" s="91"/>
      <c r="W49" s="91"/>
      <c r="X49" s="91"/>
      <c r="Y49" s="91"/>
      <c r="Z49" s="91"/>
      <c r="AA49" s="91"/>
      <c r="AB49" s="91"/>
      <c r="AC49" s="91"/>
      <c r="AD49" s="91"/>
      <c r="AE49" s="91"/>
      <c r="AF49" s="91"/>
      <c r="AG49" s="91"/>
      <c r="AH49" s="91"/>
      <c r="AI49" s="91"/>
      <c r="AJ49" s="91"/>
      <c r="AK49" s="91"/>
      <c r="AL49" s="91"/>
    </row>
    <row r="50" spans="2:38" s="1" customFormat="1" ht="11.25" customHeight="1" outlineLevel="1">
      <c r="B50" s="139" t="s">
        <v>1625</v>
      </c>
      <c r="C50" s="39"/>
      <c r="E50" s="43"/>
      <c r="F50" s="43"/>
      <c r="G50" s="93"/>
      <c r="H50" s="93"/>
      <c r="I50" s="93"/>
      <c r="J50" s="93"/>
      <c r="K50" s="93"/>
      <c r="L50" s="93"/>
      <c r="M50" s="93"/>
      <c r="N50" s="93"/>
      <c r="O50" s="93"/>
      <c r="P50" s="93"/>
      <c r="Q50" s="146"/>
      <c r="R50" s="146"/>
      <c r="S50" s="146"/>
      <c r="T50" s="146"/>
      <c r="U50" s="146"/>
      <c r="V50" s="146"/>
      <c r="W50" s="146"/>
      <c r="X50" s="146"/>
      <c r="Y50" s="146"/>
      <c r="Z50" s="146"/>
      <c r="AA50" s="146"/>
      <c r="AB50" s="146"/>
      <c r="AC50" s="146"/>
      <c r="AD50" s="146"/>
      <c r="AE50" s="146"/>
      <c r="AF50" s="146"/>
      <c r="AG50" s="146"/>
      <c r="AH50" s="146"/>
      <c r="AI50" s="146"/>
      <c r="AJ50" s="146"/>
      <c r="AK50" s="146"/>
      <c r="AL50" s="146"/>
    </row>
    <row r="51" spans="2:38" s="1" customFormat="1" ht="11.25" customHeight="1" outlineLevel="1">
      <c r="B51" s="189" t="s">
        <v>1626</v>
      </c>
      <c r="C51" s="39" t="s">
        <v>72</v>
      </c>
      <c r="E51" s="43"/>
      <c r="F51" s="43"/>
      <c r="G51" s="93"/>
      <c r="H51" s="93"/>
      <c r="I51" s="47">
        <f>I71*I67*I62/1000000</f>
        <v>13.296395199999999</v>
      </c>
      <c r="J51" s="47"/>
      <c r="K51" s="93"/>
      <c r="L51" s="93"/>
      <c r="M51" s="93"/>
      <c r="N51" s="93"/>
      <c r="O51" s="93"/>
      <c r="P51" s="93"/>
      <c r="Q51" s="146"/>
      <c r="R51" s="146"/>
      <c r="S51" s="146"/>
      <c r="T51" s="146"/>
      <c r="U51" s="146"/>
      <c r="V51" s="146"/>
      <c r="W51" s="146"/>
      <c r="X51" s="146"/>
      <c r="Y51" s="146"/>
      <c r="Z51" s="146"/>
      <c r="AA51" s="146"/>
      <c r="AB51" s="146"/>
      <c r="AC51" s="146"/>
      <c r="AD51" s="146"/>
      <c r="AE51" s="146"/>
      <c r="AF51" s="146"/>
      <c r="AG51" s="146"/>
      <c r="AH51" s="146"/>
      <c r="AI51" s="146"/>
      <c r="AJ51" s="146"/>
      <c r="AK51" s="146"/>
      <c r="AL51" s="146"/>
    </row>
    <row r="52" spans="2:38" s="1" customFormat="1" ht="11.25" customHeight="1" outlineLevel="1">
      <c r="B52" s="189" t="s">
        <v>1627</v>
      </c>
      <c r="C52" s="39" t="s">
        <v>72</v>
      </c>
      <c r="E52" s="43"/>
      <c r="F52" s="43"/>
      <c r="G52" s="93"/>
      <c r="H52" s="93"/>
      <c r="I52" s="47">
        <f>I72*I68*I63/1000000</f>
        <v>11.100899040000002</v>
      </c>
      <c r="J52" s="47"/>
      <c r="K52" s="93"/>
      <c r="L52" s="93"/>
      <c r="M52" s="93"/>
      <c r="N52" s="93"/>
      <c r="O52" s="93"/>
      <c r="P52" s="93"/>
      <c r="Q52" s="146"/>
      <c r="R52" s="146"/>
      <c r="S52" s="146"/>
      <c r="T52" s="146"/>
      <c r="U52" s="146"/>
      <c r="V52" s="146"/>
      <c r="W52" s="146"/>
      <c r="X52" s="146"/>
      <c r="Y52" s="146"/>
      <c r="Z52" s="146"/>
      <c r="AA52" s="146"/>
      <c r="AB52" s="146"/>
      <c r="AC52" s="146"/>
      <c r="AD52" s="146"/>
      <c r="AE52" s="146"/>
      <c r="AF52" s="146"/>
      <c r="AG52" s="146"/>
      <c r="AH52" s="146"/>
      <c r="AI52" s="146"/>
      <c r="AJ52" s="146"/>
      <c r="AK52" s="146"/>
      <c r="AL52" s="146"/>
    </row>
    <row r="53" spans="2:38" s="1" customFormat="1" ht="11.25" customHeight="1" outlineLevel="1">
      <c r="B53" s="137" t="s">
        <v>1612</v>
      </c>
      <c r="C53" s="39" t="s">
        <v>72</v>
      </c>
      <c r="E53" s="43"/>
      <c r="F53" s="43"/>
      <c r="G53" s="93"/>
      <c r="H53" s="93"/>
      <c r="I53" s="190">
        <f>SUM(I51:I52)</f>
        <v>24.397294240000001</v>
      </c>
      <c r="J53" s="190"/>
      <c r="K53" s="93"/>
      <c r="L53" s="93"/>
      <c r="M53" s="93"/>
      <c r="N53" s="93"/>
      <c r="O53" s="93"/>
      <c r="P53" s="93"/>
      <c r="Q53" s="146"/>
      <c r="R53" s="146"/>
      <c r="S53" s="146"/>
      <c r="T53" s="146"/>
      <c r="U53" s="146"/>
      <c r="V53" s="146"/>
      <c r="W53" s="146"/>
      <c r="X53" s="146"/>
      <c r="Y53" s="146"/>
      <c r="Z53" s="146"/>
      <c r="AA53" s="146"/>
      <c r="AB53" s="146"/>
      <c r="AC53" s="146"/>
      <c r="AD53" s="146"/>
      <c r="AE53" s="146"/>
      <c r="AF53" s="146"/>
      <c r="AG53" s="146"/>
      <c r="AH53" s="146"/>
      <c r="AI53" s="146"/>
      <c r="AJ53" s="146"/>
      <c r="AK53" s="146"/>
      <c r="AL53" s="146"/>
    </row>
    <row r="54" spans="2:38" s="1" customFormat="1" ht="11.25" customHeight="1" outlineLevel="1">
      <c r="B54" s="137"/>
      <c r="C54" s="39"/>
      <c r="E54" s="43"/>
      <c r="F54" s="43"/>
      <c r="G54" s="93"/>
      <c r="H54" s="93"/>
      <c r="I54" s="191"/>
      <c r="J54" s="93"/>
      <c r="K54" s="93"/>
      <c r="L54" s="93"/>
      <c r="M54" s="93"/>
      <c r="N54" s="93"/>
      <c r="O54" s="93"/>
      <c r="P54" s="93"/>
      <c r="Q54" s="146"/>
      <c r="R54" s="146"/>
      <c r="S54" s="146"/>
      <c r="T54" s="146"/>
      <c r="U54" s="146"/>
      <c r="V54" s="146"/>
      <c r="W54" s="146"/>
      <c r="X54" s="146"/>
      <c r="Y54" s="146"/>
      <c r="Z54" s="146"/>
      <c r="AA54" s="146"/>
      <c r="AB54" s="146"/>
      <c r="AC54" s="146"/>
      <c r="AD54" s="146"/>
      <c r="AE54" s="146"/>
      <c r="AF54" s="146"/>
      <c r="AG54" s="146"/>
      <c r="AH54" s="146"/>
      <c r="AI54" s="146"/>
      <c r="AJ54" s="146"/>
      <c r="AK54" s="146"/>
      <c r="AL54" s="146"/>
    </row>
    <row r="55" spans="2:38" s="49" customFormat="1" ht="11.25" customHeight="1" outlineLevel="1">
      <c r="B55" s="192" t="s">
        <v>1628</v>
      </c>
      <c r="C55" s="42"/>
      <c r="E55" s="186"/>
      <c r="F55" s="186"/>
      <c r="G55" s="187"/>
      <c r="H55" s="187"/>
      <c r="I55" s="187"/>
      <c r="J55" s="187"/>
      <c r="K55" s="187"/>
      <c r="L55" s="187"/>
      <c r="M55" s="187"/>
      <c r="N55" s="187"/>
      <c r="O55" s="187"/>
      <c r="P55" s="187"/>
      <c r="Q55" s="188"/>
      <c r="R55" s="188"/>
      <c r="S55" s="188"/>
      <c r="T55" s="188"/>
      <c r="U55" s="188"/>
      <c r="V55" s="188"/>
      <c r="W55" s="188"/>
      <c r="X55" s="188"/>
      <c r="Y55" s="188"/>
      <c r="Z55" s="188"/>
      <c r="AA55" s="188"/>
      <c r="AB55" s="188"/>
      <c r="AC55" s="188"/>
      <c r="AD55" s="188"/>
      <c r="AE55" s="188"/>
      <c r="AF55" s="188"/>
      <c r="AG55" s="188"/>
      <c r="AH55" s="188"/>
      <c r="AI55" s="188"/>
      <c r="AJ55" s="188"/>
      <c r="AK55" s="188"/>
      <c r="AL55" s="188"/>
    </row>
    <row r="56" spans="2:38" s="49" customFormat="1" ht="11.25" customHeight="1" outlineLevel="1">
      <c r="B56" s="193" t="s">
        <v>1626</v>
      </c>
      <c r="C56" s="42" t="s">
        <v>72</v>
      </c>
      <c r="E56" s="186"/>
      <c r="F56" s="186"/>
      <c r="G56" s="41">
        <v>316</v>
      </c>
      <c r="H56" s="41">
        <v>316</v>
      </c>
      <c r="I56" s="41">
        <v>316</v>
      </c>
      <c r="J56" s="41"/>
      <c r="K56" s="187"/>
      <c r="L56" s="187"/>
      <c r="M56" s="187"/>
      <c r="N56" s="187"/>
      <c r="O56" s="187"/>
      <c r="P56" s="187"/>
      <c r="Q56" s="188"/>
      <c r="R56" s="188"/>
      <c r="S56" s="188"/>
      <c r="T56" s="188"/>
      <c r="U56" s="188"/>
      <c r="V56" s="188"/>
      <c r="W56" s="188"/>
      <c r="X56" s="188"/>
      <c r="Y56" s="188"/>
      <c r="Z56" s="188"/>
      <c r="AA56" s="188"/>
      <c r="AB56" s="188"/>
      <c r="AC56" s="188"/>
      <c r="AD56" s="188"/>
      <c r="AE56" s="188"/>
      <c r="AF56" s="188"/>
      <c r="AG56" s="188"/>
      <c r="AH56" s="188"/>
      <c r="AI56" s="188"/>
      <c r="AJ56" s="188"/>
      <c r="AK56" s="188"/>
      <c r="AL56" s="188"/>
    </row>
    <row r="57" spans="2:38" s="49" customFormat="1" ht="11.25" customHeight="1" outlineLevel="1">
      <c r="B57" s="193" t="s">
        <v>1627</v>
      </c>
      <c r="C57" s="42" t="s">
        <v>72</v>
      </c>
      <c r="E57" s="186"/>
      <c r="F57" s="186"/>
      <c r="G57" s="41">
        <v>323</v>
      </c>
      <c r="H57" s="41">
        <v>323</v>
      </c>
      <c r="I57" s="41">
        <v>323</v>
      </c>
      <c r="J57" s="41"/>
      <c r="K57" s="187"/>
      <c r="L57" s="187"/>
      <c r="M57" s="187"/>
      <c r="N57" s="187"/>
      <c r="O57" s="187"/>
      <c r="P57" s="187"/>
      <c r="Q57" s="188"/>
      <c r="R57" s="188"/>
      <c r="S57" s="188"/>
      <c r="T57" s="188"/>
      <c r="U57" s="188"/>
      <c r="V57" s="188"/>
      <c r="W57" s="188"/>
      <c r="X57" s="188"/>
      <c r="Y57" s="188"/>
      <c r="Z57" s="188"/>
      <c r="AA57" s="188"/>
      <c r="AB57" s="188"/>
      <c r="AC57" s="188"/>
      <c r="AD57" s="188"/>
      <c r="AE57" s="188"/>
      <c r="AF57" s="188"/>
      <c r="AG57" s="188"/>
      <c r="AH57" s="188"/>
      <c r="AI57" s="188"/>
      <c r="AJ57" s="188"/>
      <c r="AK57" s="188"/>
      <c r="AL57" s="188"/>
    </row>
    <row r="58" spans="2:38" s="49" customFormat="1" ht="11.25" customHeight="1" outlineLevel="1">
      <c r="B58" s="193" t="s">
        <v>1629</v>
      </c>
      <c r="C58" s="42" t="s">
        <v>72</v>
      </c>
      <c r="E58" s="186"/>
      <c r="F58" s="186"/>
      <c r="G58" s="41"/>
      <c r="H58" s="41"/>
      <c r="I58" s="41"/>
      <c r="J58" s="41"/>
      <c r="K58" s="187"/>
      <c r="L58" s="187"/>
      <c r="M58" s="187"/>
      <c r="N58" s="187"/>
      <c r="O58" s="187"/>
      <c r="P58" s="41">
        <v>303</v>
      </c>
      <c r="Q58" s="188"/>
      <c r="R58" s="188"/>
      <c r="S58" s="188"/>
      <c r="T58" s="188"/>
      <c r="U58" s="188"/>
      <c r="V58" s="188"/>
      <c r="W58" s="188"/>
      <c r="X58" s="188"/>
      <c r="Y58" s="188"/>
      <c r="Z58" s="188"/>
      <c r="AA58" s="188"/>
      <c r="AB58" s="188"/>
      <c r="AC58" s="188"/>
      <c r="AD58" s="188"/>
      <c r="AE58" s="188"/>
      <c r="AF58" s="188"/>
      <c r="AG58" s="188"/>
      <c r="AH58" s="188"/>
      <c r="AI58" s="188"/>
      <c r="AJ58" s="188"/>
      <c r="AK58" s="188"/>
      <c r="AL58" s="188"/>
    </row>
    <row r="59" spans="2:38" s="49" customFormat="1" ht="11.25" customHeight="1" outlineLevel="1">
      <c r="B59" s="189" t="s">
        <v>1612</v>
      </c>
      <c r="C59" s="42" t="s">
        <v>72</v>
      </c>
      <c r="E59" s="186"/>
      <c r="F59" s="186"/>
      <c r="G59" s="57">
        <f>SUM(G56:G57)</f>
        <v>639</v>
      </c>
      <c r="H59" s="57">
        <f>SUM(H56:H57)</f>
        <v>639</v>
      </c>
      <c r="I59" s="57">
        <f>SUM(I56:I57)</f>
        <v>639</v>
      </c>
      <c r="J59" s="57"/>
      <c r="K59" s="187"/>
      <c r="L59" s="187"/>
      <c r="M59" s="187"/>
      <c r="N59" s="187"/>
      <c r="O59" s="187"/>
      <c r="P59" s="187"/>
      <c r="Q59" s="188"/>
      <c r="R59" s="188"/>
      <c r="S59" s="188"/>
      <c r="T59" s="188"/>
      <c r="U59" s="188"/>
      <c r="V59" s="188"/>
      <c r="W59" s="188"/>
      <c r="X59" s="188"/>
      <c r="Y59" s="188"/>
      <c r="Z59" s="188"/>
      <c r="AA59" s="188"/>
      <c r="AB59" s="188"/>
      <c r="AC59" s="188"/>
      <c r="AD59" s="188"/>
      <c r="AE59" s="188"/>
      <c r="AF59" s="188"/>
      <c r="AG59" s="188"/>
      <c r="AH59" s="188"/>
      <c r="AI59" s="188"/>
      <c r="AJ59" s="188"/>
      <c r="AK59" s="188"/>
      <c r="AL59" s="188"/>
    </row>
    <row r="60" spans="2:38" s="1" customFormat="1" ht="11.25" customHeight="1" outlineLevel="1">
      <c r="B60" s="137"/>
      <c r="C60" s="39"/>
      <c r="E60" s="43"/>
      <c r="F60" s="43"/>
      <c r="G60" s="93"/>
      <c r="H60" s="93"/>
      <c r="I60" s="93"/>
      <c r="J60" s="93"/>
      <c r="K60" s="93"/>
      <c r="L60" s="93"/>
      <c r="M60" s="93"/>
      <c r="N60" s="93"/>
      <c r="O60" s="93"/>
      <c r="P60" s="93"/>
      <c r="Q60" s="146"/>
      <c r="R60" s="146"/>
      <c r="S60" s="146"/>
      <c r="T60" s="146"/>
      <c r="U60" s="146"/>
      <c r="V60" s="146"/>
      <c r="W60" s="146"/>
      <c r="X60" s="146"/>
      <c r="Y60" s="146"/>
      <c r="Z60" s="146"/>
      <c r="AA60" s="146"/>
      <c r="AB60" s="146"/>
      <c r="AC60" s="146"/>
      <c r="AD60" s="146"/>
      <c r="AE60" s="146"/>
      <c r="AF60" s="146"/>
      <c r="AG60" s="146"/>
      <c r="AH60" s="146"/>
      <c r="AI60" s="146"/>
      <c r="AJ60" s="146"/>
      <c r="AK60" s="146"/>
      <c r="AL60" s="146"/>
    </row>
    <row r="61" spans="2:38" s="49" customFormat="1" ht="11.25" customHeight="1" outlineLevel="1">
      <c r="B61" s="192" t="s">
        <v>1630</v>
      </c>
      <c r="C61" s="42"/>
      <c r="E61" s="186"/>
      <c r="F61" s="186"/>
      <c r="G61" s="187"/>
      <c r="H61" s="187"/>
      <c r="I61" s="187"/>
      <c r="J61" s="187"/>
      <c r="K61" s="187"/>
      <c r="L61" s="187"/>
      <c r="M61" s="187"/>
      <c r="N61" s="187"/>
      <c r="O61" s="187"/>
      <c r="P61" s="187"/>
      <c r="Q61" s="188"/>
      <c r="R61" s="188"/>
      <c r="S61" s="188"/>
      <c r="T61" s="188"/>
      <c r="U61" s="188"/>
      <c r="V61" s="188"/>
      <c r="W61" s="188"/>
      <c r="X61" s="188"/>
      <c r="Y61" s="188"/>
      <c r="Z61" s="188"/>
      <c r="AA61" s="188"/>
      <c r="AB61" s="188"/>
      <c r="AC61" s="188"/>
      <c r="AD61" s="188"/>
      <c r="AE61" s="188"/>
      <c r="AF61" s="188"/>
      <c r="AG61" s="188"/>
      <c r="AH61" s="188"/>
      <c r="AI61" s="188"/>
      <c r="AJ61" s="188"/>
      <c r="AK61" s="188"/>
      <c r="AL61" s="188"/>
    </row>
    <row r="62" spans="2:38" s="49" customFormat="1" ht="11.25" customHeight="1" outlineLevel="1">
      <c r="B62" s="193" t="s">
        <v>1626</v>
      </c>
      <c r="C62" s="42" t="s">
        <v>72</v>
      </c>
      <c r="E62" s="186"/>
      <c r="F62" s="186"/>
      <c r="H62" s="187"/>
      <c r="I62" s="143">
        <v>0.88</v>
      </c>
      <c r="J62" s="143"/>
      <c r="K62" s="187"/>
      <c r="L62" s="187"/>
      <c r="M62" s="187"/>
      <c r="N62" s="187"/>
      <c r="O62" s="187"/>
      <c r="P62" s="187"/>
      <c r="Q62" s="188"/>
      <c r="R62" s="188"/>
      <c r="S62" s="188"/>
      <c r="T62" s="188"/>
      <c r="U62" s="188"/>
      <c r="V62" s="188"/>
      <c r="W62" s="188"/>
      <c r="X62" s="188"/>
      <c r="Y62" s="188"/>
      <c r="Z62" s="188"/>
      <c r="AA62" s="188"/>
      <c r="AB62" s="188"/>
      <c r="AC62" s="188"/>
      <c r="AD62" s="188"/>
      <c r="AE62" s="188"/>
      <c r="AF62" s="188"/>
      <c r="AG62" s="188"/>
      <c r="AH62" s="188"/>
      <c r="AI62" s="188"/>
      <c r="AJ62" s="188"/>
      <c r="AK62" s="188"/>
      <c r="AL62" s="188"/>
    </row>
    <row r="63" spans="2:38" s="49" customFormat="1" ht="11.25" customHeight="1" outlineLevel="1">
      <c r="B63" s="193" t="s">
        <v>1627</v>
      </c>
      <c r="C63" s="42" t="s">
        <v>72</v>
      </c>
      <c r="E63" s="186"/>
      <c r="F63" s="186"/>
      <c r="G63" s="187"/>
      <c r="H63" s="187"/>
      <c r="I63" s="143">
        <v>0.88</v>
      </c>
      <c r="J63" s="143"/>
      <c r="K63" s="187"/>
      <c r="L63" s="187"/>
      <c r="M63" s="187"/>
      <c r="N63" s="187"/>
      <c r="O63" s="187"/>
      <c r="P63" s="187"/>
      <c r="Q63" s="188"/>
      <c r="R63" s="188"/>
      <c r="S63" s="188"/>
      <c r="T63" s="188"/>
      <c r="U63" s="188"/>
      <c r="V63" s="188"/>
      <c r="W63" s="188"/>
      <c r="X63" s="188"/>
      <c r="Y63" s="188"/>
      <c r="Z63" s="188"/>
      <c r="AA63" s="188"/>
      <c r="AB63" s="188"/>
      <c r="AC63" s="188"/>
      <c r="AD63" s="188"/>
      <c r="AE63" s="188"/>
      <c r="AF63" s="188"/>
      <c r="AG63" s="188"/>
      <c r="AH63" s="188"/>
      <c r="AI63" s="188"/>
      <c r="AJ63" s="188"/>
      <c r="AK63" s="188"/>
      <c r="AL63" s="188"/>
    </row>
    <row r="64" spans="2:38" s="49" customFormat="1" ht="11.25" customHeight="1" outlineLevel="1">
      <c r="B64" s="189" t="s">
        <v>1612</v>
      </c>
      <c r="C64" s="42" t="s">
        <v>72</v>
      </c>
      <c r="E64" s="186"/>
      <c r="F64" s="186"/>
      <c r="G64" s="187"/>
      <c r="H64" s="187"/>
      <c r="I64" s="143">
        <v>0.88</v>
      </c>
      <c r="J64" s="143"/>
      <c r="K64" s="187"/>
      <c r="L64" s="187"/>
      <c r="M64" s="187"/>
      <c r="N64" s="187"/>
      <c r="O64" s="187"/>
      <c r="P64" s="187"/>
      <c r="Q64" s="188"/>
      <c r="R64" s="188"/>
      <c r="S64" s="188"/>
      <c r="T64" s="188"/>
      <c r="U64" s="188"/>
      <c r="V64" s="188"/>
      <c r="W64" s="188"/>
      <c r="X64" s="188"/>
      <c r="Y64" s="188"/>
      <c r="Z64" s="188"/>
      <c r="AA64" s="188"/>
      <c r="AB64" s="188"/>
      <c r="AC64" s="188"/>
      <c r="AD64" s="188"/>
      <c r="AE64" s="188"/>
      <c r="AF64" s="188"/>
      <c r="AG64" s="188"/>
      <c r="AH64" s="188"/>
      <c r="AI64" s="188"/>
      <c r="AJ64" s="188"/>
      <c r="AK64" s="188"/>
      <c r="AL64" s="188"/>
    </row>
    <row r="65" spans="2:38" s="1" customFormat="1" ht="11.25" customHeight="1" outlineLevel="1">
      <c r="B65" s="137"/>
      <c r="C65" s="39"/>
      <c r="E65" s="43"/>
      <c r="F65" s="43"/>
      <c r="G65" s="93"/>
      <c r="H65" s="93"/>
      <c r="I65" s="93"/>
      <c r="J65" s="93"/>
      <c r="K65" s="93"/>
      <c r="L65" s="93"/>
      <c r="M65" s="93"/>
      <c r="N65" s="93"/>
      <c r="O65" s="93"/>
      <c r="P65" s="93"/>
      <c r="Q65" s="146"/>
      <c r="R65" s="146"/>
      <c r="S65" s="146"/>
      <c r="T65" s="146"/>
      <c r="U65" s="146"/>
      <c r="V65" s="146"/>
      <c r="W65" s="146"/>
      <c r="X65" s="146"/>
      <c r="Y65" s="146"/>
      <c r="Z65" s="146"/>
      <c r="AA65" s="146"/>
      <c r="AB65" s="146"/>
      <c r="AC65" s="146"/>
      <c r="AD65" s="146"/>
      <c r="AE65" s="146"/>
      <c r="AF65" s="146"/>
      <c r="AG65" s="146"/>
      <c r="AH65" s="146"/>
      <c r="AI65" s="146"/>
      <c r="AJ65" s="146"/>
      <c r="AK65" s="146"/>
      <c r="AL65" s="146"/>
    </row>
    <row r="66" spans="2:38" s="49" customFormat="1" ht="11.25" customHeight="1" outlineLevel="1">
      <c r="B66" s="192" t="s">
        <v>1631</v>
      </c>
      <c r="C66" s="42"/>
      <c r="E66" s="186"/>
      <c r="F66" s="186"/>
      <c r="G66" s="187"/>
      <c r="H66" s="187"/>
      <c r="I66" s="187"/>
      <c r="J66" s="187"/>
      <c r="K66" s="187"/>
      <c r="L66" s="187"/>
      <c r="M66" s="187"/>
      <c r="N66" s="187"/>
      <c r="O66" s="187"/>
      <c r="P66" s="187"/>
      <c r="Q66" s="188"/>
      <c r="R66" s="188"/>
      <c r="S66" s="188"/>
      <c r="T66" s="188"/>
      <c r="U66" s="188"/>
      <c r="V66" s="188"/>
      <c r="W66" s="188"/>
      <c r="X66" s="188"/>
      <c r="Y66" s="188"/>
      <c r="Z66" s="188"/>
      <c r="AA66" s="188"/>
      <c r="AB66" s="188"/>
      <c r="AC66" s="188"/>
      <c r="AD66" s="188"/>
      <c r="AE66" s="188"/>
      <c r="AF66" s="188"/>
      <c r="AG66" s="188"/>
      <c r="AH66" s="188"/>
      <c r="AI66" s="188"/>
      <c r="AJ66" s="188"/>
      <c r="AK66" s="188"/>
      <c r="AL66" s="188"/>
    </row>
    <row r="67" spans="2:38" s="49" customFormat="1" ht="11.25" customHeight="1" outlineLevel="1">
      <c r="B67" s="193" t="s">
        <v>1626</v>
      </c>
      <c r="C67" s="42" t="s">
        <v>72</v>
      </c>
      <c r="E67" s="186"/>
      <c r="F67" s="186"/>
      <c r="G67" s="187"/>
      <c r="H67" s="187"/>
      <c r="I67" s="41">
        <v>262</v>
      </c>
      <c r="J67" s="41"/>
      <c r="K67" s="187"/>
      <c r="L67" s="187"/>
      <c r="M67" s="187"/>
      <c r="N67" s="187"/>
      <c r="O67" s="187"/>
      <c r="P67" s="187"/>
      <c r="Q67" s="188"/>
      <c r="R67" s="188"/>
      <c r="S67" s="188"/>
      <c r="T67" s="188"/>
      <c r="U67" s="188"/>
      <c r="V67" s="188"/>
      <c r="W67" s="188"/>
      <c r="X67" s="188"/>
      <c r="Y67" s="188"/>
      <c r="Z67" s="188"/>
      <c r="AA67" s="188"/>
      <c r="AB67" s="188"/>
      <c r="AC67" s="188"/>
      <c r="AD67" s="188"/>
      <c r="AE67" s="188"/>
      <c r="AF67" s="188"/>
      <c r="AG67" s="188"/>
      <c r="AH67" s="188"/>
      <c r="AI67" s="188"/>
      <c r="AJ67" s="188"/>
      <c r="AK67" s="188"/>
      <c r="AL67" s="188"/>
    </row>
    <row r="68" spans="2:38" s="49" customFormat="1" ht="11.25" customHeight="1" outlineLevel="1">
      <c r="B68" s="193" t="s">
        <v>1627</v>
      </c>
      <c r="C68" s="42" t="s">
        <v>72</v>
      </c>
      <c r="E68" s="186"/>
      <c r="F68" s="186"/>
      <c r="G68" s="187"/>
      <c r="H68" s="187"/>
      <c r="I68" s="41">
        <v>214</v>
      </c>
      <c r="J68" s="41"/>
      <c r="K68" s="187"/>
      <c r="L68" s="187"/>
      <c r="M68" s="187"/>
      <c r="N68" s="187"/>
      <c r="O68" s="187"/>
      <c r="P68" s="187"/>
      <c r="Q68" s="188"/>
      <c r="R68" s="188"/>
      <c r="S68" s="188"/>
      <c r="T68" s="188"/>
      <c r="U68" s="188"/>
      <c r="V68" s="188"/>
      <c r="W68" s="188"/>
      <c r="X68" s="188"/>
      <c r="Y68" s="188"/>
      <c r="Z68" s="188"/>
      <c r="AA68" s="188"/>
      <c r="AB68" s="188"/>
      <c r="AC68" s="188"/>
      <c r="AD68" s="188"/>
      <c r="AE68" s="188"/>
      <c r="AF68" s="188"/>
      <c r="AG68" s="188"/>
      <c r="AH68" s="188"/>
      <c r="AI68" s="188"/>
      <c r="AJ68" s="188"/>
      <c r="AK68" s="188"/>
      <c r="AL68" s="188"/>
    </row>
    <row r="69" spans="2:38" s="1" customFormat="1" ht="11.25" customHeight="1" outlineLevel="1">
      <c r="B69" s="137"/>
      <c r="C69" s="39"/>
      <c r="E69" s="43"/>
      <c r="F69" s="43"/>
      <c r="G69" s="93"/>
      <c r="H69" s="93"/>
      <c r="I69" s="93"/>
      <c r="J69" s="93"/>
      <c r="K69" s="93"/>
      <c r="L69" s="93"/>
      <c r="M69" s="93"/>
      <c r="N69" s="93"/>
      <c r="O69" s="93"/>
      <c r="P69" s="93"/>
      <c r="Q69" s="146"/>
      <c r="R69" s="146"/>
      <c r="S69" s="146"/>
      <c r="T69" s="146"/>
      <c r="U69" s="146"/>
      <c r="V69" s="146"/>
      <c r="W69" s="146"/>
      <c r="X69" s="146"/>
      <c r="Y69" s="146"/>
      <c r="Z69" s="146"/>
      <c r="AA69" s="146"/>
      <c r="AB69" s="146"/>
      <c r="AC69" s="146"/>
      <c r="AD69" s="146"/>
      <c r="AE69" s="146"/>
      <c r="AF69" s="146"/>
      <c r="AG69" s="146"/>
      <c r="AH69" s="146"/>
      <c r="AI69" s="146"/>
      <c r="AJ69" s="146"/>
      <c r="AK69" s="146"/>
      <c r="AL69" s="146"/>
    </row>
    <row r="70" spans="2:38" s="49" customFormat="1" ht="11.25" customHeight="1" outlineLevel="1">
      <c r="B70" s="192" t="s">
        <v>1632</v>
      </c>
      <c r="C70" s="42"/>
      <c r="E70" s="186"/>
      <c r="F70" s="186"/>
      <c r="G70" s="187"/>
      <c r="H70" s="187"/>
      <c r="I70" s="187"/>
      <c r="J70" s="187"/>
      <c r="K70" s="187"/>
      <c r="L70" s="187"/>
      <c r="M70" s="187"/>
      <c r="N70" s="187"/>
      <c r="O70" s="187"/>
      <c r="P70" s="187"/>
      <c r="Q70" s="188"/>
      <c r="R70" s="188"/>
      <c r="S70" s="188"/>
      <c r="T70" s="188"/>
      <c r="U70" s="188"/>
      <c r="V70" s="188"/>
      <c r="W70" s="188"/>
      <c r="X70" s="188"/>
      <c r="Y70" s="188"/>
      <c r="Z70" s="188"/>
      <c r="AA70" s="188"/>
      <c r="AB70" s="188"/>
      <c r="AC70" s="188"/>
      <c r="AD70" s="188"/>
      <c r="AE70" s="188"/>
      <c r="AF70" s="188"/>
      <c r="AG70" s="188"/>
      <c r="AH70" s="188"/>
      <c r="AI70" s="188"/>
      <c r="AJ70" s="188"/>
      <c r="AK70" s="188"/>
      <c r="AL70" s="188"/>
    </row>
    <row r="71" spans="2:38" s="49" customFormat="1" ht="11.25" customHeight="1" outlineLevel="1">
      <c r="B71" s="193" t="s">
        <v>1626</v>
      </c>
      <c r="C71" s="42" t="s">
        <v>72</v>
      </c>
      <c r="E71" s="186"/>
      <c r="F71" s="186"/>
      <c r="G71" s="187"/>
      <c r="H71" s="187"/>
      <c r="I71" s="41">
        <v>57670</v>
      </c>
      <c r="J71" s="41"/>
      <c r="K71" s="187"/>
      <c r="L71" s="187"/>
      <c r="M71" s="187"/>
      <c r="N71" s="187"/>
      <c r="O71" s="187"/>
      <c r="P71" s="187"/>
      <c r="Q71" s="188"/>
      <c r="R71" s="188"/>
      <c r="S71" s="188"/>
      <c r="T71" s="188"/>
      <c r="U71" s="188"/>
      <c r="V71" s="188"/>
      <c r="W71" s="188"/>
      <c r="X71" s="188"/>
      <c r="Y71" s="188"/>
      <c r="Z71" s="188"/>
      <c r="AA71" s="188"/>
      <c r="AB71" s="188"/>
      <c r="AC71" s="188"/>
      <c r="AD71" s="188"/>
      <c r="AE71" s="188"/>
      <c r="AF71" s="188"/>
      <c r="AG71" s="188"/>
      <c r="AH71" s="188"/>
      <c r="AI71" s="188"/>
      <c r="AJ71" s="188"/>
      <c r="AK71" s="188"/>
      <c r="AL71" s="188"/>
    </row>
    <row r="72" spans="2:38" s="49" customFormat="1" ht="11.25" customHeight="1" outlineLevel="1">
      <c r="B72" s="193" t="s">
        <v>1627</v>
      </c>
      <c r="C72" s="42" t="s">
        <v>72</v>
      </c>
      <c r="E72" s="186"/>
      <c r="F72" s="186"/>
      <c r="G72" s="187"/>
      <c r="H72" s="187"/>
      <c r="I72" s="41">
        <v>58947</v>
      </c>
      <c r="J72" s="41"/>
      <c r="K72" s="187"/>
      <c r="L72" s="187"/>
      <c r="M72" s="187"/>
      <c r="N72" s="187"/>
      <c r="O72" s="187"/>
      <c r="P72" s="187"/>
      <c r="Q72" s="188"/>
      <c r="R72" s="188"/>
      <c r="S72" s="188"/>
      <c r="T72" s="188"/>
      <c r="U72" s="188"/>
      <c r="V72" s="188"/>
      <c r="W72" s="188"/>
      <c r="X72" s="188"/>
      <c r="Y72" s="188"/>
      <c r="Z72" s="188"/>
      <c r="AA72" s="188"/>
      <c r="AB72" s="188"/>
      <c r="AC72" s="188"/>
      <c r="AD72" s="188"/>
      <c r="AE72" s="188"/>
      <c r="AF72" s="188"/>
      <c r="AG72" s="188"/>
      <c r="AH72" s="188"/>
      <c r="AI72" s="188"/>
      <c r="AJ72" s="188"/>
      <c r="AK72" s="188"/>
      <c r="AL72" s="188"/>
    </row>
    <row r="73" spans="2:38" s="49" customFormat="1" ht="11.25" customHeight="1" outlineLevel="1">
      <c r="B73" s="189" t="s">
        <v>1612</v>
      </c>
      <c r="C73" s="42" t="s">
        <v>72</v>
      </c>
      <c r="E73" s="186"/>
      <c r="F73" s="186"/>
      <c r="G73" s="57"/>
      <c r="H73" s="57"/>
      <c r="I73" s="57">
        <f>SUM(I71:I72)</f>
        <v>116617</v>
      </c>
      <c r="J73" s="57"/>
      <c r="K73" s="187"/>
      <c r="L73" s="187"/>
      <c r="M73" s="187"/>
      <c r="N73" s="187"/>
      <c r="O73" s="187"/>
      <c r="P73" s="187"/>
      <c r="Q73" s="188"/>
      <c r="R73" s="188"/>
      <c r="S73" s="188"/>
      <c r="T73" s="188"/>
      <c r="U73" s="188"/>
      <c r="V73" s="188"/>
      <c r="W73" s="188"/>
      <c r="X73" s="188"/>
      <c r="Y73" s="188"/>
      <c r="Z73" s="188"/>
      <c r="AA73" s="188"/>
      <c r="AB73" s="188"/>
      <c r="AC73" s="188"/>
      <c r="AD73" s="188"/>
      <c r="AE73" s="188"/>
      <c r="AF73" s="188"/>
      <c r="AG73" s="188"/>
      <c r="AH73" s="188"/>
      <c r="AI73" s="188"/>
      <c r="AJ73" s="188"/>
      <c r="AK73" s="188"/>
      <c r="AL73" s="188"/>
    </row>
    <row r="74" spans="2:38" s="1" customFormat="1" ht="11.25" customHeight="1" outlineLevel="1">
      <c r="B74" s="137"/>
      <c r="C74" s="39"/>
      <c r="E74" s="43"/>
      <c r="F74" s="43"/>
      <c r="G74" s="93"/>
      <c r="H74" s="93"/>
      <c r="I74" s="93"/>
      <c r="J74" s="93"/>
      <c r="K74" s="93"/>
      <c r="L74" s="93"/>
      <c r="M74" s="93"/>
      <c r="N74" s="93"/>
      <c r="O74" s="93"/>
      <c r="P74" s="93"/>
      <c r="Q74" s="146"/>
      <c r="R74" s="146"/>
      <c r="S74" s="146"/>
      <c r="T74" s="146"/>
      <c r="U74" s="146"/>
      <c r="V74" s="146"/>
      <c r="W74" s="146"/>
      <c r="X74" s="146"/>
      <c r="Y74" s="146"/>
      <c r="Z74" s="146"/>
      <c r="AA74" s="146"/>
      <c r="AB74" s="146"/>
      <c r="AC74" s="146"/>
      <c r="AD74" s="146"/>
      <c r="AE74" s="146"/>
      <c r="AF74" s="146"/>
      <c r="AG74" s="146"/>
      <c r="AH74" s="146"/>
      <c r="AI74" s="146"/>
      <c r="AJ74" s="146"/>
      <c r="AK74" s="146"/>
      <c r="AL74" s="146"/>
    </row>
    <row r="75" spans="2:38" s="49" customFormat="1" ht="11.25" customHeight="1" outlineLevel="1">
      <c r="B75" s="192" t="s">
        <v>1633</v>
      </c>
      <c r="C75" s="42"/>
      <c r="E75" s="186"/>
      <c r="F75" s="186"/>
      <c r="G75" s="187"/>
      <c r="H75" s="187"/>
      <c r="I75" s="187"/>
      <c r="J75" s="187"/>
      <c r="K75" s="187"/>
      <c r="L75" s="187"/>
      <c r="M75" s="187"/>
      <c r="N75" s="187"/>
      <c r="O75" s="187"/>
      <c r="P75" s="187"/>
      <c r="Q75" s="188"/>
      <c r="R75" s="188"/>
      <c r="S75" s="188"/>
      <c r="T75" s="188"/>
      <c r="U75" s="188"/>
      <c r="V75" s="188"/>
      <c r="W75" s="188"/>
      <c r="X75" s="188"/>
      <c r="Y75" s="188"/>
      <c r="Z75" s="188"/>
      <c r="AA75" s="188"/>
      <c r="AB75" s="188"/>
      <c r="AC75" s="188"/>
      <c r="AD75" s="188"/>
      <c r="AE75" s="188"/>
      <c r="AF75" s="188"/>
      <c r="AG75" s="188"/>
      <c r="AH75" s="188"/>
      <c r="AI75" s="188"/>
      <c r="AJ75" s="188"/>
      <c r="AK75" s="188"/>
      <c r="AL75" s="188"/>
    </row>
    <row r="76" spans="2:38" s="49" customFormat="1" ht="11.25" customHeight="1" outlineLevel="1">
      <c r="B76" s="193" t="s">
        <v>1626</v>
      </c>
      <c r="C76" s="42" t="s">
        <v>72</v>
      </c>
      <c r="E76" s="186"/>
      <c r="F76" s="186"/>
      <c r="G76" s="187"/>
      <c r="H76" s="187"/>
      <c r="I76" s="93">
        <f>I71/(I56*HY!I$13)</f>
        <v>0.99184782608695654</v>
      </c>
      <c r="J76" s="187"/>
      <c r="K76" s="187"/>
      <c r="L76" s="187"/>
      <c r="M76" s="187"/>
      <c r="N76" s="187"/>
      <c r="O76" s="187"/>
      <c r="P76" s="187"/>
      <c r="Q76" s="188"/>
      <c r="R76" s="188"/>
      <c r="S76" s="188"/>
      <c r="T76" s="188"/>
      <c r="U76" s="188"/>
      <c r="V76" s="188"/>
      <c r="W76" s="188"/>
      <c r="X76" s="188"/>
      <c r="Y76" s="188"/>
      <c r="Z76" s="188"/>
      <c r="AA76" s="188"/>
      <c r="AB76" s="188"/>
      <c r="AC76" s="188"/>
      <c r="AD76" s="188"/>
      <c r="AE76" s="188"/>
      <c r="AF76" s="188"/>
      <c r="AG76" s="188"/>
      <c r="AH76" s="188"/>
      <c r="AI76" s="188"/>
      <c r="AJ76" s="188"/>
      <c r="AK76" s="188"/>
      <c r="AL76" s="188"/>
    </row>
    <row r="77" spans="2:38" s="49" customFormat="1" ht="11.25" customHeight="1" outlineLevel="1">
      <c r="B77" s="193" t="s">
        <v>1627</v>
      </c>
      <c r="C77" s="42" t="s">
        <v>72</v>
      </c>
      <c r="E77" s="186"/>
      <c r="F77" s="186"/>
      <c r="G77" s="187"/>
      <c r="H77" s="187"/>
      <c r="I77" s="93">
        <f>I72/(I57*HY!I$13)</f>
        <v>0.99183941311078205</v>
      </c>
      <c r="J77" s="187"/>
      <c r="K77" s="187"/>
      <c r="L77" s="187"/>
      <c r="M77" s="187"/>
      <c r="N77" s="187"/>
      <c r="O77" s="187"/>
      <c r="P77" s="187"/>
      <c r="Q77" s="188"/>
      <c r="R77" s="188"/>
      <c r="S77" s="188"/>
      <c r="T77" s="188"/>
      <c r="U77" s="188"/>
      <c r="V77" s="188"/>
      <c r="W77" s="188"/>
      <c r="X77" s="188"/>
      <c r="Y77" s="188"/>
      <c r="Z77" s="188"/>
      <c r="AA77" s="188"/>
      <c r="AB77" s="188"/>
      <c r="AC77" s="188"/>
      <c r="AD77" s="188"/>
      <c r="AE77" s="188"/>
      <c r="AF77" s="188"/>
      <c r="AG77" s="188"/>
      <c r="AH77" s="188"/>
      <c r="AI77" s="188"/>
      <c r="AJ77" s="188"/>
      <c r="AK77" s="188"/>
      <c r="AL77" s="188"/>
    </row>
    <row r="78" spans="2:38" s="49" customFormat="1" ht="11.25" customHeight="1" outlineLevel="1">
      <c r="B78" s="137"/>
      <c r="C78" s="42"/>
      <c r="E78" s="186"/>
      <c r="F78" s="186"/>
      <c r="G78" s="57"/>
      <c r="H78" s="57"/>
      <c r="I78" s="57"/>
      <c r="J78" s="57"/>
      <c r="K78" s="187"/>
      <c r="L78" s="187"/>
      <c r="M78" s="187"/>
      <c r="N78" s="187"/>
      <c r="O78" s="187"/>
      <c r="P78" s="187"/>
      <c r="Q78" s="188"/>
      <c r="R78" s="188"/>
      <c r="S78" s="188"/>
      <c r="T78" s="188"/>
      <c r="U78" s="188"/>
      <c r="V78" s="188"/>
      <c r="W78" s="188"/>
      <c r="X78" s="188"/>
      <c r="Y78" s="188"/>
      <c r="Z78" s="188"/>
      <c r="AA78" s="188"/>
      <c r="AB78" s="188"/>
      <c r="AC78" s="188"/>
      <c r="AD78" s="188"/>
      <c r="AE78" s="188"/>
      <c r="AF78" s="188"/>
      <c r="AG78" s="188"/>
      <c r="AH78" s="188"/>
      <c r="AI78" s="188"/>
      <c r="AJ78" s="188"/>
      <c r="AK78" s="188"/>
      <c r="AL78" s="188"/>
    </row>
    <row r="79" spans="2:38" s="1" customFormat="1" ht="11.25" customHeight="1" outlineLevel="1">
      <c r="B79" s="136" t="s">
        <v>1634</v>
      </c>
      <c r="C79" s="39"/>
      <c r="E79" s="43"/>
      <c r="F79" s="43"/>
      <c r="G79" s="93"/>
      <c r="H79" s="93"/>
      <c r="I79" s="93"/>
      <c r="J79" s="93"/>
      <c r="K79" s="93"/>
      <c r="L79" s="93"/>
      <c r="M79" s="93"/>
      <c r="N79" s="93"/>
      <c r="O79" s="93"/>
      <c r="P79" s="93"/>
      <c r="Q79" s="146"/>
      <c r="R79" s="146"/>
      <c r="S79" s="146"/>
      <c r="T79" s="146"/>
      <c r="U79" s="146"/>
      <c r="V79" s="146"/>
      <c r="W79" s="146"/>
      <c r="X79" s="146"/>
      <c r="Y79" s="146"/>
      <c r="Z79" s="146"/>
      <c r="AA79" s="146"/>
      <c r="AB79" s="146"/>
      <c r="AC79" s="146"/>
      <c r="AD79" s="146"/>
      <c r="AE79" s="146"/>
      <c r="AF79" s="146"/>
      <c r="AG79" s="146"/>
      <c r="AH79" s="146"/>
      <c r="AI79" s="146"/>
      <c r="AJ79" s="146"/>
      <c r="AK79" s="146"/>
      <c r="AL79" s="146"/>
    </row>
    <row r="80" spans="2:38" s="1" customFormat="1" ht="11.25" customHeight="1" outlineLevel="1">
      <c r="B80" s="126" t="s">
        <v>273</v>
      </c>
      <c r="C80" s="39" t="s">
        <v>72</v>
      </c>
      <c r="E80" s="43"/>
      <c r="F80" s="43"/>
      <c r="G80" s="47">
        <f>G45</f>
        <v>28.2</v>
      </c>
      <c r="H80" s="47">
        <f>H45</f>
        <v>26.400000000000002</v>
      </c>
      <c r="I80" s="47">
        <f>I45</f>
        <v>26.5</v>
      </c>
      <c r="J80" s="47">
        <f>J45</f>
        <v>14.600000000000001</v>
      </c>
      <c r="K80" s="93"/>
      <c r="L80" s="93"/>
      <c r="M80" s="93"/>
      <c r="N80" s="93"/>
      <c r="O80" s="93"/>
      <c r="P80" s="93"/>
      <c r="Q80" s="146"/>
      <c r="R80" s="146"/>
      <c r="S80" s="146"/>
      <c r="T80" s="146"/>
      <c r="U80" s="146"/>
      <c r="V80" s="146"/>
      <c r="W80" s="146"/>
      <c r="X80" s="146"/>
      <c r="Y80" s="146"/>
      <c r="Z80" s="146"/>
      <c r="AA80" s="146"/>
      <c r="AB80" s="146"/>
      <c r="AC80" s="146"/>
      <c r="AD80" s="146"/>
      <c r="AE80" s="146"/>
      <c r="AF80" s="146"/>
      <c r="AG80" s="146"/>
      <c r="AH80" s="146"/>
      <c r="AI80" s="146"/>
      <c r="AJ80" s="146"/>
      <c r="AK80" s="146"/>
      <c r="AL80" s="146"/>
    </row>
    <row r="81" spans="2:38" s="1" customFormat="1" ht="11.25" customHeight="1" outlineLevel="1">
      <c r="B81" s="126" t="s">
        <v>136</v>
      </c>
      <c r="C81" s="39" t="s">
        <v>72</v>
      </c>
      <c r="E81" s="43"/>
      <c r="F81" s="43"/>
      <c r="G81" s="46">
        <v>-12.2</v>
      </c>
      <c r="H81" s="46">
        <f>-22.5-G81</f>
        <v>-10.3</v>
      </c>
      <c r="I81" s="46">
        <v>-12.3</v>
      </c>
      <c r="J81" s="46">
        <f>-20.9-I81</f>
        <v>-8.5999999999999979</v>
      </c>
      <c r="K81" s="93"/>
      <c r="L81" s="93"/>
      <c r="M81" s="93"/>
      <c r="N81" s="93"/>
      <c r="O81" s="93"/>
      <c r="P81" s="93"/>
      <c r="Q81" s="146"/>
      <c r="R81" s="146"/>
      <c r="S81" s="146"/>
      <c r="T81" s="146"/>
      <c r="U81" s="146"/>
      <c r="V81" s="146"/>
      <c r="W81" s="146"/>
      <c r="X81" s="146"/>
      <c r="Y81" s="146"/>
      <c r="Z81" s="146"/>
      <c r="AA81" s="146"/>
      <c r="AB81" s="146"/>
      <c r="AC81" s="146"/>
      <c r="AD81" s="146"/>
      <c r="AE81" s="146"/>
      <c r="AF81" s="146"/>
      <c r="AG81" s="146"/>
      <c r="AH81" s="146"/>
      <c r="AI81" s="146"/>
      <c r="AJ81" s="146"/>
      <c r="AK81" s="146"/>
      <c r="AL81" s="146"/>
    </row>
    <row r="82" spans="2:38" s="1" customFormat="1" ht="11.25" customHeight="1" outlineLevel="1">
      <c r="B82" s="126" t="s">
        <v>26</v>
      </c>
      <c r="C82" s="39" t="s">
        <v>72</v>
      </c>
      <c r="E82" s="43"/>
      <c r="F82" s="43"/>
      <c r="G82" s="46">
        <v>16</v>
      </c>
      <c r="H82" s="46">
        <f>32-G82</f>
        <v>16</v>
      </c>
      <c r="I82" s="46">
        <v>14.2</v>
      </c>
      <c r="J82" s="46">
        <f>20.2-I82</f>
        <v>6</v>
      </c>
      <c r="K82" s="93"/>
      <c r="L82" s="93"/>
      <c r="M82" s="93"/>
      <c r="N82" s="93"/>
      <c r="O82" s="93"/>
      <c r="P82" s="93"/>
      <c r="Q82" s="146"/>
      <c r="R82" s="146"/>
      <c r="S82" s="146"/>
      <c r="T82" s="146"/>
      <c r="U82" s="146"/>
      <c r="V82" s="146"/>
      <c r="W82" s="146"/>
      <c r="X82" s="146"/>
      <c r="Y82" s="146"/>
      <c r="Z82" s="146"/>
      <c r="AA82" s="146"/>
      <c r="AB82" s="146"/>
      <c r="AC82" s="146"/>
      <c r="AD82" s="146"/>
      <c r="AE82" s="146"/>
      <c r="AF82" s="146"/>
      <c r="AG82" s="146"/>
      <c r="AH82" s="146"/>
      <c r="AI82" s="146"/>
      <c r="AJ82" s="146"/>
      <c r="AK82" s="146"/>
      <c r="AL82" s="146"/>
    </row>
    <row r="83" spans="2:38" s="1" customFormat="1" ht="11.25" customHeight="1" outlineLevel="1">
      <c r="B83" s="137" t="s">
        <v>127</v>
      </c>
      <c r="C83" s="39" t="s">
        <v>88</v>
      </c>
      <c r="E83" s="43"/>
      <c r="F83" s="43"/>
      <c r="G83" s="93">
        <f>G82/G80</f>
        <v>0.56737588652482274</v>
      </c>
      <c r="H83" s="93">
        <f>H82/H80</f>
        <v>0.60606060606060597</v>
      </c>
      <c r="I83" s="93">
        <f>I82/I80</f>
        <v>0.53584905660377358</v>
      </c>
      <c r="J83" s="93">
        <f>J82/J80</f>
        <v>0.41095890410958902</v>
      </c>
      <c r="K83" s="93"/>
      <c r="L83" s="93"/>
      <c r="M83" s="93"/>
      <c r="N83" s="93"/>
      <c r="O83" s="93"/>
      <c r="P83" s="93"/>
      <c r="Q83" s="146"/>
      <c r="R83" s="146"/>
      <c r="S83" s="146"/>
      <c r="T83" s="146"/>
      <c r="U83" s="146"/>
      <c r="V83" s="146"/>
      <c r="W83" s="146"/>
      <c r="X83" s="146"/>
      <c r="Y83" s="146"/>
      <c r="Z83" s="146"/>
      <c r="AA83" s="146"/>
      <c r="AB83" s="146"/>
      <c r="AC83" s="146"/>
      <c r="AD83" s="146"/>
      <c r="AE83" s="146"/>
      <c r="AF83" s="146"/>
      <c r="AG83" s="146"/>
      <c r="AH83" s="146"/>
      <c r="AI83" s="146"/>
      <c r="AJ83" s="146"/>
      <c r="AK83" s="146"/>
      <c r="AL83" s="146"/>
    </row>
    <row r="84" spans="2:38" s="49" customFormat="1" ht="11.25" customHeight="1" outlineLevel="1">
      <c r="B84" s="54"/>
      <c r="C84" s="42"/>
      <c r="E84" s="186"/>
      <c r="F84" s="186"/>
      <c r="G84" s="57"/>
      <c r="H84" s="57"/>
      <c r="I84" s="57"/>
      <c r="J84" s="57"/>
      <c r="K84" s="187"/>
      <c r="L84" s="187"/>
      <c r="M84" s="187"/>
      <c r="N84" s="187"/>
      <c r="O84" s="187"/>
      <c r="P84" s="187"/>
      <c r="Q84" s="188"/>
      <c r="R84" s="188"/>
      <c r="S84" s="188"/>
      <c r="T84" s="188"/>
      <c r="U84" s="188"/>
      <c r="V84" s="188"/>
      <c r="W84" s="188"/>
      <c r="X84" s="188"/>
      <c r="Y84" s="188"/>
      <c r="Z84" s="188"/>
      <c r="AA84" s="188"/>
      <c r="AB84" s="188"/>
      <c r="AC84" s="188"/>
      <c r="AD84" s="188"/>
      <c r="AE84" s="188"/>
      <c r="AF84" s="188"/>
      <c r="AG84" s="188"/>
      <c r="AH84" s="188"/>
      <c r="AI84" s="188"/>
      <c r="AJ84" s="188"/>
      <c r="AK84" s="188"/>
      <c r="AL84" s="188"/>
    </row>
    <row r="85" spans="2:38" s="1" customFormat="1" ht="11.25" customHeight="1" outlineLevel="1">
      <c r="B85" s="129" t="s">
        <v>1635</v>
      </c>
      <c r="C85" s="39"/>
      <c r="E85" s="43"/>
      <c r="F85" s="155" t="s">
        <v>1636</v>
      </c>
      <c r="G85" s="43"/>
      <c r="H85" s="155" t="s">
        <v>1637</v>
      </c>
      <c r="I85" s="43"/>
      <c r="J85" s="155" t="s">
        <v>1638</v>
      </c>
      <c r="K85" s="43"/>
      <c r="L85" s="43"/>
      <c r="M85" s="43"/>
      <c r="N85" s="155" t="s">
        <v>1253</v>
      </c>
      <c r="O85" s="43"/>
      <c r="P85" s="43"/>
      <c r="Q85" s="48"/>
      <c r="R85" s="48"/>
      <c r="S85" s="48"/>
      <c r="T85" s="48"/>
      <c r="U85" s="48"/>
      <c r="V85" s="48"/>
      <c r="W85" s="48"/>
      <c r="X85" s="48"/>
      <c r="Y85" s="48"/>
      <c r="Z85" s="48"/>
      <c r="AA85" s="48"/>
      <c r="AB85" s="48"/>
      <c r="AC85" s="48"/>
      <c r="AD85" s="48"/>
      <c r="AE85" s="48"/>
      <c r="AF85" s="48"/>
      <c r="AG85" s="48"/>
      <c r="AH85" s="48"/>
      <c r="AI85" s="48"/>
      <c r="AJ85" s="48"/>
      <c r="AK85" s="48"/>
      <c r="AL85" s="48"/>
    </row>
    <row r="86" spans="2:38" s="1" customFormat="1" ht="11.25" customHeight="1" outlineLevel="1">
      <c r="B86" s="129"/>
      <c r="C86" s="39"/>
      <c r="E86" s="43"/>
      <c r="F86" s="155"/>
      <c r="G86" s="43"/>
      <c r="H86" s="155"/>
      <c r="I86" s="43"/>
      <c r="J86" s="155"/>
      <c r="K86" s="43"/>
      <c r="L86" s="43"/>
      <c r="M86" s="43"/>
      <c r="N86" s="155"/>
      <c r="O86" s="43"/>
      <c r="P86" s="43"/>
      <c r="Q86" s="48"/>
      <c r="R86" s="48"/>
      <c r="S86" s="48"/>
      <c r="T86" s="48"/>
      <c r="U86" s="48"/>
      <c r="V86" s="48"/>
      <c r="W86" s="48"/>
      <c r="X86" s="48"/>
      <c r="Y86" s="48"/>
      <c r="Z86" s="48"/>
      <c r="AA86" s="48"/>
      <c r="AB86" s="48"/>
      <c r="AC86" s="48"/>
      <c r="AD86" s="48"/>
      <c r="AE86" s="48"/>
      <c r="AF86" s="48"/>
      <c r="AG86" s="48"/>
      <c r="AH86" s="48"/>
      <c r="AI86" s="48"/>
      <c r="AJ86" s="48"/>
      <c r="AK86" s="48"/>
      <c r="AL86" s="48"/>
    </row>
    <row r="87" spans="2:38" s="1" customFormat="1" ht="11.25" customHeight="1" outlineLevel="1">
      <c r="B87" s="95" t="s">
        <v>78</v>
      </c>
      <c r="C87" s="39" t="s">
        <v>88</v>
      </c>
      <c r="E87" s="143">
        <v>7.0000000000000007E-2</v>
      </c>
      <c r="F87" s="143">
        <v>7.0000000000000007E-2</v>
      </c>
      <c r="G87" s="153">
        <v>6.8400000000000002E-2</v>
      </c>
      <c r="H87" s="143">
        <v>7.0000000000000007E-2</v>
      </c>
      <c r="I87" s="143">
        <v>7.0000000000000007E-2</v>
      </c>
      <c r="J87" s="154">
        <v>7.8E-2</v>
      </c>
      <c r="K87" s="93"/>
      <c r="L87" s="143"/>
      <c r="M87" s="143">
        <v>0.08</v>
      </c>
      <c r="N87" s="143">
        <v>0.1</v>
      </c>
      <c r="O87" s="153">
        <v>9.35E-2</v>
      </c>
      <c r="P87" s="43"/>
      <c r="Q87" s="48"/>
      <c r="R87" s="48"/>
      <c r="S87" s="48"/>
      <c r="T87" s="48"/>
      <c r="U87" s="48"/>
      <c r="V87" s="48"/>
      <c r="W87" s="48"/>
      <c r="X87" s="48"/>
      <c r="Y87" s="48"/>
      <c r="Z87" s="48"/>
      <c r="AA87" s="48"/>
      <c r="AB87" s="48"/>
      <c r="AC87" s="48"/>
      <c r="AD87" s="48"/>
      <c r="AE87" s="48"/>
      <c r="AF87" s="48"/>
      <c r="AG87" s="48"/>
      <c r="AH87" s="48"/>
      <c r="AI87" s="48"/>
      <c r="AJ87" s="48"/>
      <c r="AK87" s="48"/>
      <c r="AL87" s="48"/>
    </row>
    <row r="88" spans="2:38" s="1" customFormat="1" ht="11.25" customHeight="1" outlineLevel="1">
      <c r="B88" s="54"/>
      <c r="C88" s="36"/>
      <c r="G88" s="29"/>
      <c r="H88" s="29"/>
      <c r="I88" s="29"/>
      <c r="J88" s="29"/>
      <c r="K88" s="29"/>
      <c r="L88" s="29"/>
      <c r="M88" s="29"/>
      <c r="N88" s="48"/>
      <c r="O88" s="29"/>
      <c r="P88" s="48"/>
      <c r="Q88" s="48"/>
      <c r="R88" s="100"/>
      <c r="S88" s="91"/>
      <c r="T88" s="91"/>
      <c r="U88" s="91"/>
      <c r="V88" s="91"/>
      <c r="W88" s="91"/>
      <c r="X88" s="91"/>
      <c r="Y88" s="91"/>
      <c r="Z88" s="91"/>
      <c r="AA88" s="91"/>
      <c r="AB88" s="91"/>
      <c r="AC88" s="91"/>
      <c r="AD88" s="91"/>
      <c r="AE88" s="91"/>
      <c r="AF88" s="91"/>
      <c r="AG88" s="91"/>
      <c r="AH88" s="91"/>
      <c r="AI88" s="91"/>
      <c r="AJ88" s="91"/>
      <c r="AK88" s="91"/>
      <c r="AL88" s="91"/>
    </row>
    <row r="89" spans="2:38" s="1" customFormat="1" ht="11.25" customHeight="1" outlineLevel="1">
      <c r="B89" s="129" t="s">
        <v>1639</v>
      </c>
      <c r="C89" s="36"/>
      <c r="G89" s="29"/>
      <c r="H89" s="29"/>
      <c r="I89" s="29"/>
      <c r="J89" s="29"/>
      <c r="K89" s="29"/>
      <c r="L89" s="29"/>
      <c r="M89" s="29"/>
      <c r="N89" s="48"/>
      <c r="O89" s="29"/>
      <c r="P89" s="48"/>
      <c r="Q89" s="48"/>
      <c r="R89" s="100"/>
      <c r="S89" s="91"/>
      <c r="T89" s="91"/>
      <c r="U89" s="91"/>
      <c r="V89" s="91"/>
      <c r="W89" s="91"/>
      <c r="X89" s="91"/>
      <c r="Y89" s="91"/>
      <c r="Z89" s="91"/>
      <c r="AA89" s="91"/>
      <c r="AB89" s="91"/>
      <c r="AC89" s="91"/>
      <c r="AD89" s="91"/>
      <c r="AE89" s="91"/>
      <c r="AF89" s="91"/>
      <c r="AG89" s="91"/>
      <c r="AH89" s="91"/>
      <c r="AI89" s="91"/>
      <c r="AJ89" s="91"/>
      <c r="AK89" s="91"/>
      <c r="AL89" s="91"/>
    </row>
    <row r="90" spans="2:38" s="1" customFormat="1" ht="11.25" customHeight="1" outlineLevel="1">
      <c r="B90" s="54"/>
      <c r="C90" s="36"/>
      <c r="G90" s="29"/>
      <c r="H90" s="29"/>
      <c r="I90" s="29"/>
      <c r="J90" s="29"/>
      <c r="K90" s="29"/>
      <c r="L90" s="29"/>
      <c r="M90" s="29"/>
      <c r="N90" s="48"/>
      <c r="O90" s="29"/>
      <c r="P90" s="48"/>
      <c r="Q90" s="48"/>
      <c r="R90" s="100"/>
      <c r="S90" s="91"/>
      <c r="T90" s="91"/>
      <c r="U90" s="91"/>
      <c r="V90" s="91"/>
      <c r="W90" s="91"/>
      <c r="X90" s="91"/>
      <c r="Y90" s="91"/>
      <c r="Z90" s="91"/>
      <c r="AA90" s="91"/>
      <c r="AB90" s="91"/>
      <c r="AC90" s="91"/>
      <c r="AD90" s="91"/>
      <c r="AE90" s="91"/>
      <c r="AF90" s="91"/>
      <c r="AG90" s="91"/>
      <c r="AH90" s="91"/>
      <c r="AI90" s="91"/>
      <c r="AJ90" s="91"/>
      <c r="AK90" s="91"/>
      <c r="AL90" s="91"/>
    </row>
    <row r="91" spans="2:38" s="1" customFormat="1" ht="11.25" customHeight="1" outlineLevel="1">
      <c r="B91" s="98" t="s">
        <v>1640</v>
      </c>
      <c r="C91" s="36"/>
      <c r="P91" s="155" t="s">
        <v>1254</v>
      </c>
    </row>
    <row r="92" spans="2:38" s="1" customFormat="1" ht="11.25" customHeight="1" outlineLevel="1">
      <c r="B92" s="151" t="s">
        <v>1641</v>
      </c>
      <c r="C92" s="39" t="s">
        <v>88</v>
      </c>
      <c r="P92" s="143">
        <v>0.52</v>
      </c>
    </row>
    <row r="93" spans="2:38" s="1" customFormat="1" ht="11.25" customHeight="1" outlineLevel="1">
      <c r="B93" s="151" t="s">
        <v>1642</v>
      </c>
      <c r="C93" s="39" t="s">
        <v>88</v>
      </c>
      <c r="P93" s="143">
        <v>0.11</v>
      </c>
    </row>
    <row r="94" spans="2:38" s="1" customFormat="1" ht="11.25" customHeight="1" outlineLevel="1">
      <c r="B94" s="151" t="s">
        <v>1643</v>
      </c>
      <c r="C94" s="39" t="s">
        <v>88</v>
      </c>
      <c r="P94" s="143">
        <v>0.12</v>
      </c>
    </row>
    <row r="95" spans="2:38" s="1" customFormat="1" ht="11.25" customHeight="1" outlineLevel="1">
      <c r="B95" s="151" t="s">
        <v>1644</v>
      </c>
      <c r="C95" s="39" t="s">
        <v>88</v>
      </c>
      <c r="P95" s="143">
        <v>7.0000000000000007E-2</v>
      </c>
    </row>
    <row r="96" spans="2:38" s="1" customFormat="1" ht="11.25" customHeight="1" outlineLevel="1">
      <c r="B96" s="151" t="s">
        <v>1645</v>
      </c>
      <c r="C96" s="39" t="s">
        <v>88</v>
      </c>
      <c r="P96" s="143">
        <v>0.04</v>
      </c>
    </row>
    <row r="97" spans="2:38" s="1" customFormat="1" ht="11.25" customHeight="1" outlineLevel="1">
      <c r="B97" s="151" t="s">
        <v>1646</v>
      </c>
      <c r="C97" s="39" t="s">
        <v>88</v>
      </c>
      <c r="P97" s="143">
        <v>0.05</v>
      </c>
    </row>
    <row r="98" spans="2:38" s="1" customFormat="1" ht="11.25" customHeight="1" outlineLevel="1">
      <c r="B98" s="151" t="s">
        <v>1647</v>
      </c>
      <c r="C98" s="39" t="s">
        <v>88</v>
      </c>
      <c r="P98" s="143">
        <v>0.06</v>
      </c>
    </row>
    <row r="99" spans="2:38" s="1" customFormat="1" ht="11.25" customHeight="1" outlineLevel="1">
      <c r="B99" s="151" t="s">
        <v>110</v>
      </c>
      <c r="C99" s="39" t="s">
        <v>88</v>
      </c>
      <c r="G99" s="29"/>
      <c r="H99" s="29"/>
      <c r="I99" s="29"/>
      <c r="J99" s="29"/>
      <c r="K99" s="29"/>
      <c r="L99" s="29"/>
      <c r="M99" s="29"/>
      <c r="N99" s="48"/>
      <c r="O99" s="29"/>
      <c r="P99" s="143">
        <v>0.02</v>
      </c>
      <c r="R99" s="100"/>
      <c r="S99" s="91"/>
      <c r="T99" s="91"/>
      <c r="U99" s="91"/>
      <c r="V99" s="91"/>
      <c r="W99" s="91"/>
      <c r="X99" s="91"/>
      <c r="Y99" s="91"/>
      <c r="Z99" s="91"/>
      <c r="AA99" s="91"/>
      <c r="AB99" s="91"/>
      <c r="AC99" s="91"/>
      <c r="AD99" s="91"/>
      <c r="AE99" s="91"/>
      <c r="AF99" s="91"/>
      <c r="AG99" s="91"/>
      <c r="AH99" s="91"/>
      <c r="AI99" s="91"/>
      <c r="AJ99" s="91"/>
      <c r="AK99" s="91"/>
      <c r="AL99" s="91"/>
    </row>
    <row r="100" spans="2:38" s="1" customFormat="1" ht="11.25" customHeight="1" outlineLevel="1">
      <c r="B100" s="49"/>
      <c r="C100" s="36"/>
      <c r="G100" s="29"/>
      <c r="H100" s="29"/>
      <c r="I100" s="29"/>
      <c r="J100" s="29"/>
      <c r="K100" s="29"/>
      <c r="L100" s="29"/>
      <c r="M100" s="29"/>
      <c r="N100" s="48"/>
      <c r="O100" s="29"/>
      <c r="P100" s="41"/>
      <c r="R100" s="100"/>
      <c r="S100" s="91"/>
      <c r="T100" s="91"/>
      <c r="U100" s="91"/>
      <c r="V100" s="91"/>
      <c r="W100" s="91"/>
      <c r="X100" s="91"/>
      <c r="Y100" s="91"/>
      <c r="Z100" s="91"/>
      <c r="AA100" s="91"/>
      <c r="AB100" s="91"/>
      <c r="AC100" s="91"/>
      <c r="AD100" s="91"/>
      <c r="AE100" s="91"/>
      <c r="AF100" s="91"/>
      <c r="AG100" s="91"/>
      <c r="AH100" s="91"/>
      <c r="AI100" s="91"/>
      <c r="AJ100" s="91"/>
      <c r="AK100" s="91"/>
      <c r="AL100" s="91"/>
    </row>
    <row r="101" spans="2:38" s="1" customFormat="1" ht="11.25" customHeight="1" outlineLevel="1">
      <c r="B101" s="129" t="s">
        <v>55</v>
      </c>
      <c r="C101" s="36"/>
      <c r="G101" s="29"/>
      <c r="H101" s="29"/>
      <c r="I101" s="29"/>
      <c r="J101" s="29"/>
      <c r="K101" s="29"/>
      <c r="L101" s="29"/>
      <c r="M101" s="29"/>
      <c r="N101" s="48"/>
      <c r="O101" s="29"/>
      <c r="Q101" s="48"/>
      <c r="R101" s="100"/>
      <c r="S101" s="91"/>
      <c r="T101" s="91"/>
      <c r="U101" s="91"/>
      <c r="V101" s="91"/>
      <c r="W101" s="91"/>
      <c r="X101" s="91"/>
      <c r="Y101" s="91"/>
      <c r="Z101" s="91"/>
      <c r="AA101" s="91"/>
      <c r="AB101" s="91"/>
      <c r="AC101" s="91"/>
      <c r="AD101" s="91"/>
      <c r="AE101" s="91"/>
      <c r="AF101" s="91"/>
      <c r="AG101" s="91"/>
      <c r="AH101" s="91"/>
      <c r="AI101" s="91"/>
      <c r="AJ101" s="91"/>
      <c r="AK101" s="91"/>
      <c r="AL101" s="91"/>
    </row>
    <row r="102" spans="2:38" s="1" customFormat="1" ht="11.25" customHeight="1" outlineLevel="1">
      <c r="B102" s="54"/>
      <c r="C102" s="36"/>
      <c r="G102" s="29"/>
      <c r="H102" s="29"/>
      <c r="I102" s="29"/>
      <c r="J102" s="29"/>
      <c r="K102" s="29"/>
      <c r="L102" s="29"/>
      <c r="M102" s="29"/>
      <c r="N102" s="48"/>
      <c r="O102" s="29"/>
      <c r="P102" s="41"/>
      <c r="Q102" s="48"/>
      <c r="R102" s="100"/>
      <c r="S102" s="91"/>
      <c r="T102" s="91"/>
      <c r="U102" s="91"/>
      <c r="V102" s="91"/>
      <c r="W102" s="91"/>
      <c r="X102" s="91"/>
      <c r="Y102" s="91"/>
      <c r="Z102" s="91"/>
      <c r="AA102" s="91"/>
      <c r="AB102" s="91"/>
      <c r="AC102" s="91"/>
      <c r="AD102" s="91"/>
      <c r="AE102" s="91"/>
      <c r="AF102" s="91"/>
      <c r="AG102" s="91"/>
      <c r="AH102" s="91"/>
      <c r="AI102" s="91"/>
      <c r="AJ102" s="91"/>
      <c r="AK102" s="91"/>
      <c r="AL102" s="91"/>
    </row>
    <row r="103" spans="2:38" s="1" customFormat="1" ht="11.25" customHeight="1" outlineLevel="1">
      <c r="B103" s="148" t="s">
        <v>1648</v>
      </c>
      <c r="C103" s="39" t="s">
        <v>72</v>
      </c>
      <c r="E103" s="57">
        <f t="shared" ref="E103:K103" si="0">E123</f>
        <v>146</v>
      </c>
      <c r="F103" s="57">
        <f t="shared" si="0"/>
        <v>115</v>
      </c>
      <c r="G103" s="57">
        <f t="shared" si="0"/>
        <v>174</v>
      </c>
      <c r="H103" s="57">
        <f t="shared" si="0"/>
        <v>168</v>
      </c>
      <c r="I103" s="57">
        <f t="shared" si="0"/>
        <v>202</v>
      </c>
      <c r="J103" s="57">
        <f t="shared" si="0"/>
        <v>145</v>
      </c>
      <c r="K103" s="57">
        <f t="shared" si="0"/>
        <v>119</v>
      </c>
      <c r="L103" s="57">
        <f>L123-K123</f>
        <v>-61</v>
      </c>
      <c r="M103" s="46"/>
      <c r="N103" s="46"/>
      <c r="O103" s="46">
        <v>23.4</v>
      </c>
      <c r="P103" s="46">
        <f>48-O103</f>
        <v>24.6</v>
      </c>
      <c r="Q103" s="48"/>
      <c r="R103" s="100"/>
      <c r="S103" s="91"/>
      <c r="T103" s="91"/>
      <c r="U103" s="91"/>
      <c r="V103" s="91"/>
      <c r="W103" s="91"/>
      <c r="X103" s="91"/>
      <c r="Y103" s="91"/>
      <c r="Z103" s="91"/>
      <c r="AA103" s="91"/>
      <c r="AB103" s="91"/>
      <c r="AC103" s="91"/>
      <c r="AD103" s="91"/>
      <c r="AE103" s="91"/>
      <c r="AF103" s="91"/>
      <c r="AG103" s="91"/>
      <c r="AH103" s="91"/>
      <c r="AI103" s="91"/>
      <c r="AJ103" s="91"/>
      <c r="AK103" s="91"/>
      <c r="AL103" s="91"/>
    </row>
    <row r="104" spans="2:38" s="1" customFormat="1" ht="11.25" customHeight="1" outlineLevel="1">
      <c r="B104" s="54"/>
      <c r="C104" s="36"/>
      <c r="G104" s="29"/>
      <c r="H104" s="29"/>
      <c r="I104" s="29"/>
      <c r="J104" s="29"/>
      <c r="K104" s="29"/>
      <c r="L104" s="29"/>
      <c r="M104" s="29"/>
      <c r="N104" s="48"/>
      <c r="O104" s="29"/>
      <c r="P104" s="41"/>
      <c r="Q104" s="48"/>
      <c r="R104" s="100"/>
      <c r="S104" s="91"/>
      <c r="T104" s="91"/>
      <c r="U104" s="91"/>
      <c r="V104" s="91"/>
      <c r="W104" s="91"/>
      <c r="X104" s="91"/>
      <c r="Y104" s="91"/>
      <c r="Z104" s="91"/>
      <c r="AA104" s="91"/>
      <c r="AB104" s="91"/>
      <c r="AC104" s="91"/>
      <c r="AD104" s="91"/>
      <c r="AE104" s="91"/>
      <c r="AF104" s="91"/>
      <c r="AG104" s="91"/>
      <c r="AH104" s="91"/>
      <c r="AI104" s="91"/>
      <c r="AJ104" s="91"/>
      <c r="AK104" s="91"/>
      <c r="AL104" s="91"/>
    </row>
    <row r="105" spans="2:38" s="1" customFormat="1" ht="11.25" customHeight="1" outlineLevel="1">
      <c r="B105" s="98" t="s">
        <v>1649</v>
      </c>
      <c r="C105" s="36"/>
      <c r="G105" s="29"/>
      <c r="H105" s="29"/>
      <c r="I105" s="29"/>
      <c r="J105" s="29"/>
      <c r="K105" s="29"/>
      <c r="L105" s="29"/>
      <c r="M105" s="29"/>
      <c r="N105" s="48"/>
      <c r="O105" s="29"/>
      <c r="P105" s="155" t="s">
        <v>1254</v>
      </c>
      <c r="Q105" s="48"/>
      <c r="R105" s="100"/>
      <c r="S105" s="91"/>
      <c r="T105" s="91"/>
      <c r="U105" s="91"/>
      <c r="V105" s="91"/>
      <c r="W105" s="91"/>
      <c r="X105" s="91"/>
      <c r="Y105" s="91"/>
      <c r="Z105" s="91"/>
      <c r="AA105" s="91"/>
      <c r="AB105" s="91"/>
      <c r="AC105" s="91"/>
      <c r="AD105" s="91"/>
      <c r="AE105" s="91"/>
      <c r="AF105" s="91"/>
      <c r="AG105" s="91"/>
      <c r="AH105" s="91"/>
      <c r="AI105" s="91"/>
      <c r="AJ105" s="91"/>
      <c r="AK105" s="91"/>
      <c r="AL105" s="91"/>
    </row>
    <row r="106" spans="2:38" s="1" customFormat="1" ht="11.25" customHeight="1" outlineLevel="1">
      <c r="B106" s="96" t="s">
        <v>70</v>
      </c>
      <c r="C106" s="39" t="s">
        <v>72</v>
      </c>
      <c r="G106" s="29"/>
      <c r="H106" s="29"/>
      <c r="I106" s="46"/>
      <c r="J106" s="46"/>
      <c r="K106" s="46"/>
      <c r="L106" s="46"/>
      <c r="M106" s="46"/>
      <c r="N106" s="46"/>
      <c r="O106" s="46"/>
      <c r="P106" s="46">
        <v>24.2</v>
      </c>
      <c r="Q106" s="48"/>
      <c r="R106" s="100"/>
      <c r="S106" s="91"/>
      <c r="T106" s="91"/>
      <c r="U106" s="91"/>
      <c r="V106" s="91"/>
      <c r="W106" s="91"/>
      <c r="X106" s="91"/>
      <c r="Y106" s="91"/>
      <c r="Z106" s="91"/>
      <c r="AA106" s="91"/>
      <c r="AB106" s="91"/>
      <c r="AC106" s="91"/>
      <c r="AD106" s="91"/>
      <c r="AE106" s="91"/>
      <c r="AF106" s="91"/>
      <c r="AG106" s="91"/>
      <c r="AH106" s="91"/>
      <c r="AI106" s="91"/>
      <c r="AJ106" s="91"/>
      <c r="AK106" s="91"/>
      <c r="AL106" s="91"/>
    </row>
    <row r="107" spans="2:38" s="1" customFormat="1" ht="11.25" customHeight="1" outlineLevel="1">
      <c r="B107" s="96" t="s">
        <v>1284</v>
      </c>
      <c r="C107" s="39" t="s">
        <v>72</v>
      </c>
      <c r="G107" s="29"/>
      <c r="H107" s="29"/>
      <c r="I107" s="46"/>
      <c r="J107" s="46"/>
      <c r="K107" s="46"/>
      <c r="L107" s="46"/>
      <c r="M107" s="46"/>
      <c r="N107" s="46"/>
      <c r="O107" s="46"/>
      <c r="P107" s="46">
        <v>2.2999999999999998</v>
      </c>
      <c r="Q107" s="48"/>
      <c r="R107" s="100"/>
      <c r="S107" s="91"/>
      <c r="T107" s="91"/>
      <c r="U107" s="91"/>
      <c r="V107" s="91"/>
      <c r="W107" s="91"/>
      <c r="X107" s="91"/>
      <c r="Y107" s="91"/>
      <c r="Z107" s="91"/>
      <c r="AA107" s="91"/>
      <c r="AB107" s="91"/>
      <c r="AC107" s="91"/>
      <c r="AD107" s="91"/>
      <c r="AE107" s="91"/>
      <c r="AF107" s="91"/>
      <c r="AG107" s="91"/>
      <c r="AH107" s="91"/>
      <c r="AI107" s="91"/>
      <c r="AJ107" s="91"/>
      <c r="AK107" s="91"/>
      <c r="AL107" s="91"/>
    </row>
    <row r="108" spans="2:38" s="1" customFormat="1" ht="11.25" customHeight="1" outlineLevel="1">
      <c r="B108" s="96" t="s">
        <v>1417</v>
      </c>
      <c r="C108" s="39" t="s">
        <v>72</v>
      </c>
      <c r="G108" s="29"/>
      <c r="H108" s="29"/>
      <c r="I108" s="46"/>
      <c r="J108" s="46"/>
      <c r="K108" s="46"/>
      <c r="L108" s="46"/>
      <c r="M108" s="46"/>
      <c r="N108" s="46"/>
      <c r="O108" s="46"/>
      <c r="P108" s="46">
        <v>0.5</v>
      </c>
      <c r="Q108" s="48"/>
      <c r="R108" s="100"/>
      <c r="S108" s="91"/>
      <c r="T108" s="91"/>
      <c r="U108" s="91"/>
      <c r="V108" s="91"/>
      <c r="W108" s="91"/>
      <c r="X108" s="91"/>
      <c r="Y108" s="91"/>
      <c r="Z108" s="91"/>
      <c r="AA108" s="91"/>
      <c r="AB108" s="91"/>
      <c r="AC108" s="91"/>
      <c r="AD108" s="91"/>
      <c r="AE108" s="91"/>
      <c r="AF108" s="91"/>
      <c r="AG108" s="91"/>
      <c r="AH108" s="91"/>
      <c r="AI108" s="91"/>
      <c r="AJ108" s="91"/>
      <c r="AK108" s="91"/>
      <c r="AL108" s="91"/>
    </row>
    <row r="109" spans="2:38" s="1" customFormat="1" ht="11.25" customHeight="1" outlineLevel="1">
      <c r="B109" s="96" t="s">
        <v>78</v>
      </c>
      <c r="C109" s="39" t="s">
        <v>72</v>
      </c>
      <c r="G109" s="29"/>
      <c r="H109" s="29"/>
      <c r="I109" s="46"/>
      <c r="J109" s="46"/>
      <c r="K109" s="46"/>
      <c r="L109" s="46"/>
      <c r="M109" s="46"/>
      <c r="N109" s="46"/>
      <c r="O109" s="46"/>
      <c r="P109" s="46">
        <v>6.9</v>
      </c>
      <c r="Q109" s="48"/>
      <c r="R109" s="100"/>
      <c r="S109" s="91"/>
      <c r="T109" s="91"/>
      <c r="U109" s="91"/>
      <c r="V109" s="91"/>
      <c r="W109" s="91"/>
      <c r="X109" s="91"/>
      <c r="Y109" s="91"/>
      <c r="Z109" s="91"/>
      <c r="AA109" s="91"/>
      <c r="AB109" s="91"/>
      <c r="AC109" s="91"/>
      <c r="AD109" s="91"/>
      <c r="AE109" s="91"/>
      <c r="AF109" s="91"/>
      <c r="AG109" s="91"/>
      <c r="AH109" s="91"/>
      <c r="AI109" s="91"/>
      <c r="AJ109" s="91"/>
      <c r="AK109" s="91"/>
      <c r="AL109" s="91"/>
    </row>
    <row r="110" spans="2:38" s="1" customFormat="1" ht="11.25" customHeight="1" outlineLevel="1">
      <c r="B110" s="96" t="s">
        <v>1650</v>
      </c>
      <c r="C110" s="39" t="s">
        <v>72</v>
      </c>
      <c r="G110" s="29"/>
      <c r="H110" s="29"/>
      <c r="I110" s="46"/>
      <c r="J110" s="46"/>
      <c r="K110" s="46"/>
      <c r="L110" s="46"/>
      <c r="M110" s="46"/>
      <c r="N110" s="46"/>
      <c r="O110" s="46"/>
      <c r="P110" s="46">
        <v>13.9</v>
      </c>
      <c r="Q110" s="48"/>
      <c r="R110" s="100"/>
      <c r="S110" s="91"/>
      <c r="T110" s="91"/>
      <c r="U110" s="91"/>
      <c r="V110" s="91"/>
      <c r="W110" s="91"/>
      <c r="X110" s="91"/>
      <c r="Y110" s="91"/>
      <c r="Z110" s="91"/>
      <c r="AA110" s="91"/>
      <c r="AB110" s="91"/>
      <c r="AC110" s="91"/>
      <c r="AD110" s="91"/>
      <c r="AE110" s="91"/>
      <c r="AF110" s="91"/>
      <c r="AG110" s="91"/>
      <c r="AH110" s="91"/>
      <c r="AI110" s="91"/>
      <c r="AJ110" s="91"/>
      <c r="AK110" s="91"/>
      <c r="AL110" s="91"/>
    </row>
    <row r="111" spans="2:38" s="1" customFormat="1" ht="11.25" customHeight="1" outlineLevel="1">
      <c r="B111" s="95" t="s">
        <v>1612</v>
      </c>
      <c r="C111" s="39" t="s">
        <v>72</v>
      </c>
      <c r="G111" s="29"/>
      <c r="H111" s="29"/>
      <c r="I111" s="46"/>
      <c r="J111" s="46"/>
      <c r="K111" s="46"/>
      <c r="L111" s="46"/>
      <c r="M111" s="46"/>
      <c r="N111" s="46"/>
      <c r="O111" s="46"/>
      <c r="P111" s="47">
        <f>SUM(P106:P110)</f>
        <v>47.8</v>
      </c>
      <c r="Q111" s="48"/>
      <c r="R111" s="100"/>
      <c r="S111" s="91"/>
      <c r="T111" s="91"/>
      <c r="U111" s="91"/>
      <c r="V111" s="91"/>
      <c r="W111" s="91"/>
      <c r="X111" s="91"/>
      <c r="Y111" s="91"/>
      <c r="Z111" s="91"/>
      <c r="AA111" s="91"/>
      <c r="AB111" s="91"/>
      <c r="AC111" s="91"/>
      <c r="AD111" s="91"/>
      <c r="AE111" s="91"/>
      <c r="AF111" s="91"/>
      <c r="AG111" s="91"/>
      <c r="AH111" s="91"/>
      <c r="AI111" s="91"/>
      <c r="AJ111" s="91"/>
      <c r="AK111" s="91"/>
      <c r="AL111" s="91"/>
    </row>
    <row r="112" spans="2:38" s="1" customFormat="1" ht="11.25" customHeight="1" outlineLevel="1">
      <c r="B112" s="54"/>
      <c r="C112" s="36"/>
      <c r="G112" s="29"/>
      <c r="H112" s="29"/>
      <c r="I112" s="29"/>
      <c r="J112" s="29"/>
      <c r="K112" s="29"/>
      <c r="L112" s="29"/>
      <c r="M112" s="29"/>
      <c r="N112" s="48"/>
      <c r="O112" s="29"/>
      <c r="P112" s="48"/>
      <c r="Q112" s="48"/>
      <c r="R112" s="100"/>
      <c r="S112" s="91"/>
      <c r="T112" s="91"/>
      <c r="U112" s="91"/>
      <c r="V112" s="91"/>
      <c r="W112" s="91"/>
      <c r="X112" s="91"/>
      <c r="Y112" s="91"/>
      <c r="Z112" s="91"/>
      <c r="AA112" s="91"/>
      <c r="AB112" s="91"/>
      <c r="AC112" s="91"/>
      <c r="AD112" s="91"/>
      <c r="AE112" s="91"/>
      <c r="AF112" s="91"/>
      <c r="AG112" s="91"/>
      <c r="AH112" s="91"/>
      <c r="AI112" s="91"/>
      <c r="AJ112" s="91"/>
      <c r="AK112" s="91"/>
      <c r="AL112" s="91"/>
    </row>
    <row r="113" spans="2:38" s="1" customFormat="1" ht="11.25" customHeight="1" outlineLevel="1">
      <c r="B113" s="98" t="s">
        <v>456</v>
      </c>
      <c r="C113" s="36"/>
      <c r="G113" s="29"/>
      <c r="H113" s="29"/>
      <c r="I113" s="29"/>
      <c r="J113" s="29"/>
      <c r="K113" s="29"/>
      <c r="L113" s="29"/>
      <c r="M113" s="29"/>
      <c r="N113" s="48"/>
      <c r="O113" s="29"/>
      <c r="P113" s="155" t="s">
        <v>1254</v>
      </c>
      <c r="Q113" s="48"/>
      <c r="R113" s="100"/>
      <c r="S113" s="91"/>
      <c r="T113" s="91"/>
      <c r="U113" s="91"/>
      <c r="V113" s="91"/>
      <c r="W113" s="91"/>
      <c r="X113" s="91"/>
      <c r="Y113" s="91"/>
      <c r="Z113" s="91"/>
      <c r="AA113" s="91"/>
      <c r="AB113" s="91"/>
      <c r="AC113" s="91"/>
      <c r="AD113" s="91"/>
      <c r="AE113" s="91"/>
      <c r="AF113" s="91"/>
      <c r="AG113" s="91"/>
      <c r="AH113" s="91"/>
      <c r="AI113" s="91"/>
      <c r="AJ113" s="91"/>
      <c r="AK113" s="91"/>
      <c r="AL113" s="91"/>
    </row>
    <row r="114" spans="2:38" s="1" customFormat="1" ht="11.25" customHeight="1" outlineLevel="1">
      <c r="B114" s="96" t="s">
        <v>1651</v>
      </c>
      <c r="C114" s="39" t="s">
        <v>72</v>
      </c>
      <c r="G114" s="29"/>
      <c r="H114" s="29"/>
      <c r="I114" s="46"/>
      <c r="J114" s="46"/>
      <c r="K114" s="46"/>
      <c r="L114" s="46"/>
      <c r="M114" s="46"/>
      <c r="N114" s="46"/>
      <c r="O114" s="46"/>
      <c r="P114" s="41">
        <v>16</v>
      </c>
      <c r="Q114" s="48"/>
      <c r="R114" s="100"/>
      <c r="S114" s="91"/>
      <c r="T114" s="91"/>
      <c r="U114" s="91"/>
      <c r="V114" s="91"/>
      <c r="W114" s="91"/>
      <c r="X114" s="91"/>
      <c r="Y114" s="91"/>
      <c r="Z114" s="91"/>
      <c r="AA114" s="91"/>
      <c r="AB114" s="91"/>
      <c r="AC114" s="91"/>
      <c r="AD114" s="91"/>
      <c r="AE114" s="91"/>
      <c r="AF114" s="91"/>
      <c r="AG114" s="91"/>
      <c r="AH114" s="91"/>
      <c r="AI114" s="91"/>
      <c r="AJ114" s="91"/>
      <c r="AK114" s="91"/>
      <c r="AL114" s="91"/>
    </row>
    <row r="115" spans="2:38" s="1" customFormat="1" ht="11.25" customHeight="1" outlineLevel="1">
      <c r="B115" s="96" t="s">
        <v>1652</v>
      </c>
      <c r="C115" s="39" t="s">
        <v>72</v>
      </c>
      <c r="G115" s="29"/>
      <c r="H115" s="29"/>
      <c r="I115" s="46"/>
      <c r="J115" s="46"/>
      <c r="K115" s="46"/>
      <c r="L115" s="46"/>
      <c r="M115" s="46"/>
      <c r="N115" s="46"/>
      <c r="O115" s="46"/>
      <c r="P115" s="41">
        <v>14</v>
      </c>
      <c r="Q115" s="48"/>
      <c r="R115" s="100"/>
      <c r="S115" s="91"/>
      <c r="T115" s="91"/>
      <c r="U115" s="91"/>
      <c r="V115" s="91"/>
      <c r="W115" s="91"/>
      <c r="X115" s="91"/>
      <c r="Y115" s="91"/>
      <c r="Z115" s="91"/>
      <c r="AA115" s="91"/>
      <c r="AB115" s="91"/>
      <c r="AC115" s="91"/>
      <c r="AD115" s="91"/>
      <c r="AE115" s="91"/>
      <c r="AF115" s="91"/>
      <c r="AG115" s="91"/>
      <c r="AH115" s="91"/>
      <c r="AI115" s="91"/>
      <c r="AJ115" s="91"/>
      <c r="AK115" s="91"/>
      <c r="AL115" s="91"/>
    </row>
    <row r="116" spans="2:38" s="1" customFormat="1" ht="11.25" customHeight="1" outlineLevel="1">
      <c r="B116" s="96" t="s">
        <v>1653</v>
      </c>
      <c r="C116" s="39" t="s">
        <v>72</v>
      </c>
      <c r="G116" s="29"/>
      <c r="H116" s="29"/>
      <c r="I116" s="46"/>
      <c r="J116" s="46"/>
      <c r="K116" s="46"/>
      <c r="L116" s="46"/>
      <c r="M116" s="46"/>
      <c r="N116" s="46"/>
      <c r="O116" s="46"/>
      <c r="P116" s="41">
        <v>16</v>
      </c>
      <c r="Q116" s="48"/>
      <c r="R116" s="100"/>
      <c r="S116" s="91"/>
      <c r="T116" s="91"/>
      <c r="U116" s="91"/>
      <c r="V116" s="91"/>
      <c r="W116" s="91"/>
      <c r="X116" s="91"/>
      <c r="Y116" s="91"/>
      <c r="Z116" s="91"/>
      <c r="AA116" s="91"/>
      <c r="AB116" s="91"/>
      <c r="AC116" s="91"/>
      <c r="AD116" s="91"/>
      <c r="AE116" s="91"/>
      <c r="AF116" s="91"/>
      <c r="AG116" s="91"/>
      <c r="AH116" s="91"/>
      <c r="AI116" s="91"/>
      <c r="AJ116" s="91"/>
      <c r="AK116" s="91"/>
      <c r="AL116" s="91"/>
    </row>
    <row r="117" spans="2:38" s="1" customFormat="1" ht="11.25" customHeight="1" outlineLevel="1">
      <c r="B117" s="96" t="s">
        <v>110</v>
      </c>
      <c r="C117" s="39" t="s">
        <v>72</v>
      </c>
      <c r="G117" s="29"/>
      <c r="H117" s="29"/>
      <c r="I117" s="46"/>
      <c r="J117" s="46"/>
      <c r="K117" s="46"/>
      <c r="L117" s="46"/>
      <c r="M117" s="46"/>
      <c r="N117" s="46"/>
      <c r="O117" s="46"/>
      <c r="P117" s="41">
        <v>2</v>
      </c>
      <c r="Q117" s="48"/>
      <c r="R117" s="100"/>
      <c r="S117" s="91"/>
      <c r="T117" s="91"/>
      <c r="U117" s="91"/>
      <c r="V117" s="91"/>
      <c r="W117" s="91"/>
      <c r="X117" s="91"/>
      <c r="Y117" s="91"/>
      <c r="Z117" s="91"/>
      <c r="AA117" s="91"/>
      <c r="AB117" s="91"/>
      <c r="AC117" s="91"/>
      <c r="AD117" s="91"/>
      <c r="AE117" s="91"/>
      <c r="AF117" s="91"/>
      <c r="AG117" s="91"/>
      <c r="AH117" s="91"/>
      <c r="AI117" s="91"/>
      <c r="AJ117" s="91"/>
      <c r="AK117" s="91"/>
      <c r="AL117" s="91"/>
    </row>
    <row r="118" spans="2:38" s="1" customFormat="1" ht="11.25" customHeight="1" outlineLevel="1">
      <c r="B118" s="95" t="s">
        <v>1612</v>
      </c>
      <c r="C118" s="39" t="s">
        <v>72</v>
      </c>
      <c r="G118" s="29"/>
      <c r="H118" s="29"/>
      <c r="I118" s="46"/>
      <c r="J118" s="46"/>
      <c r="K118" s="46"/>
      <c r="L118" s="46"/>
      <c r="M118" s="46"/>
      <c r="N118" s="46"/>
      <c r="O118" s="46"/>
      <c r="P118" s="47">
        <f>SUM(P114:P117)</f>
        <v>48</v>
      </c>
      <c r="Q118" s="48"/>
      <c r="R118" s="100"/>
      <c r="S118" s="91"/>
      <c r="T118" s="91"/>
      <c r="U118" s="91"/>
      <c r="V118" s="91"/>
      <c r="W118" s="91"/>
      <c r="X118" s="91"/>
      <c r="Y118" s="91"/>
      <c r="Z118" s="91"/>
      <c r="AA118" s="91"/>
      <c r="AB118" s="91"/>
      <c r="AC118" s="91"/>
      <c r="AD118" s="91"/>
      <c r="AE118" s="91"/>
      <c r="AF118" s="91"/>
      <c r="AG118" s="91"/>
      <c r="AH118" s="91"/>
      <c r="AI118" s="91"/>
      <c r="AJ118" s="91"/>
      <c r="AK118" s="91"/>
      <c r="AL118" s="91"/>
    </row>
    <row r="119" spans="2:38" s="1" customFormat="1" ht="11.25" customHeight="1" outlineLevel="1">
      <c r="B119" s="95"/>
      <c r="C119" s="36"/>
      <c r="G119" s="29"/>
      <c r="H119" s="29"/>
      <c r="I119" s="46"/>
      <c r="J119" s="46"/>
      <c r="K119" s="46"/>
      <c r="L119" s="46"/>
      <c r="M119" s="46"/>
      <c r="N119" s="46"/>
      <c r="O119" s="46"/>
      <c r="P119" s="46"/>
      <c r="Q119" s="48"/>
      <c r="R119" s="100"/>
      <c r="S119" s="91"/>
      <c r="T119" s="91"/>
      <c r="U119" s="91"/>
      <c r="V119" s="91"/>
      <c r="W119" s="91"/>
      <c r="X119" s="91"/>
      <c r="Y119" s="91"/>
      <c r="Z119" s="91"/>
      <c r="AA119" s="91"/>
      <c r="AB119" s="91"/>
      <c r="AC119" s="91"/>
      <c r="AD119" s="91"/>
      <c r="AE119" s="91"/>
      <c r="AF119" s="91"/>
      <c r="AG119" s="91"/>
      <c r="AH119" s="91"/>
      <c r="AI119" s="91"/>
      <c r="AJ119" s="91"/>
      <c r="AK119" s="91"/>
      <c r="AL119" s="91"/>
    </row>
    <row r="120" spans="2:38" s="1" customFormat="1" ht="11.25" customHeight="1" outlineLevel="1">
      <c r="B120" s="98" t="s">
        <v>1654</v>
      </c>
      <c r="C120" s="36"/>
      <c r="F120" s="155"/>
      <c r="G120" s="29"/>
      <c r="H120" s="155"/>
      <c r="I120" s="156"/>
      <c r="J120" s="155"/>
      <c r="K120" s="156"/>
      <c r="L120" s="155"/>
      <c r="M120" s="156"/>
      <c r="N120" s="155" t="s">
        <v>1253</v>
      </c>
      <c r="O120" s="156"/>
      <c r="P120" s="155" t="s">
        <v>1655</v>
      </c>
      <c r="Q120" s="133"/>
      <c r="R120" s="155" t="s">
        <v>1245</v>
      </c>
      <c r="S120" s="91"/>
      <c r="T120" s="155" t="s">
        <v>1246</v>
      </c>
      <c r="U120" s="91"/>
      <c r="V120" s="91"/>
      <c r="W120" s="91"/>
      <c r="X120" s="91"/>
      <c r="Y120" s="91"/>
      <c r="Z120" s="91"/>
      <c r="AA120" s="91"/>
      <c r="AB120" s="91"/>
      <c r="AC120" s="91"/>
      <c r="AD120" s="91"/>
      <c r="AE120" s="91"/>
      <c r="AF120" s="91"/>
      <c r="AG120" s="91"/>
      <c r="AH120" s="91"/>
      <c r="AI120" s="91"/>
      <c r="AJ120" s="91"/>
      <c r="AK120" s="91"/>
      <c r="AL120" s="91"/>
    </row>
    <row r="121" spans="2:38" s="1" customFormat="1" ht="11.25" customHeight="1" outlineLevel="1">
      <c r="B121" s="96" t="s">
        <v>1656</v>
      </c>
      <c r="C121" s="39" t="s">
        <v>72</v>
      </c>
      <c r="E121" s="41">
        <v>121</v>
      </c>
      <c r="F121" s="41">
        <f>196-E121</f>
        <v>75</v>
      </c>
      <c r="G121" s="41">
        <v>143</v>
      </c>
      <c r="H121" s="41">
        <v>124</v>
      </c>
      <c r="I121" s="41">
        <v>159</v>
      </c>
      <c r="J121" s="41">
        <v>117</v>
      </c>
      <c r="K121" s="41">
        <v>89</v>
      </c>
      <c r="L121" s="41">
        <f>119-K121</f>
        <v>30</v>
      </c>
      <c r="M121" s="46"/>
      <c r="N121" s="41">
        <v>81</v>
      </c>
      <c r="O121" s="41">
        <v>4</v>
      </c>
      <c r="P121" s="43">
        <v>35</v>
      </c>
      <c r="Q121" s="48"/>
      <c r="R121" s="43">
        <v>64</v>
      </c>
      <c r="S121" s="91"/>
      <c r="T121" s="43">
        <v>51</v>
      </c>
      <c r="U121" s="91"/>
      <c r="V121" s="91"/>
      <c r="W121" s="91"/>
      <c r="X121" s="91"/>
      <c r="Y121" s="91"/>
      <c r="Z121" s="91"/>
      <c r="AA121" s="91"/>
      <c r="AB121" s="91"/>
      <c r="AC121" s="91"/>
      <c r="AD121" s="91"/>
      <c r="AE121" s="91"/>
      <c r="AF121" s="91"/>
      <c r="AG121" s="91"/>
      <c r="AH121" s="91"/>
      <c r="AI121" s="91"/>
      <c r="AJ121" s="91"/>
      <c r="AK121" s="91"/>
      <c r="AL121" s="91"/>
    </row>
    <row r="122" spans="2:38" s="1" customFormat="1" ht="11.25" customHeight="1" outlineLevel="1">
      <c r="B122" s="96" t="s">
        <v>1657</v>
      </c>
      <c r="C122" s="39" t="s">
        <v>72</v>
      </c>
      <c r="E122" s="41">
        <v>25</v>
      </c>
      <c r="F122" s="41">
        <f>64-E122</f>
        <v>39</v>
      </c>
      <c r="G122" s="41">
        <v>31</v>
      </c>
      <c r="H122" s="41">
        <v>44</v>
      </c>
      <c r="I122" s="41">
        <v>43</v>
      </c>
      <c r="J122" s="41">
        <v>29</v>
      </c>
      <c r="K122" s="41">
        <v>30</v>
      </c>
      <c r="L122" s="41">
        <f>58-K122</f>
        <v>28</v>
      </c>
      <c r="M122" s="46"/>
      <c r="N122" s="41">
        <v>30</v>
      </c>
      <c r="O122" s="41">
        <v>19</v>
      </c>
      <c r="P122" s="43"/>
      <c r="Q122" s="48"/>
      <c r="R122" s="43"/>
      <c r="S122" s="91"/>
      <c r="T122" s="91"/>
      <c r="U122" s="91"/>
      <c r="V122" s="91"/>
      <c r="W122" s="91"/>
      <c r="X122" s="91"/>
      <c r="Y122" s="91"/>
      <c r="Z122" s="91"/>
      <c r="AA122" s="91"/>
      <c r="AB122" s="91"/>
      <c r="AC122" s="91"/>
      <c r="AD122" s="91"/>
      <c r="AE122" s="91"/>
      <c r="AF122" s="91"/>
      <c r="AG122" s="91"/>
      <c r="AH122" s="91"/>
      <c r="AI122" s="91"/>
      <c r="AJ122" s="91"/>
      <c r="AK122" s="91"/>
      <c r="AL122" s="91"/>
    </row>
    <row r="123" spans="2:38" s="1" customFormat="1" ht="11.25" customHeight="1" outlineLevel="1">
      <c r="B123" s="95" t="s">
        <v>1612</v>
      </c>
      <c r="C123" s="39" t="s">
        <v>72</v>
      </c>
      <c r="E123" s="41">
        <v>146</v>
      </c>
      <c r="F123" s="41">
        <f>261-E123</f>
        <v>115</v>
      </c>
      <c r="G123" s="41">
        <v>174</v>
      </c>
      <c r="H123" s="41">
        <v>168</v>
      </c>
      <c r="I123" s="41">
        <v>202</v>
      </c>
      <c r="J123" s="41">
        <v>145</v>
      </c>
      <c r="K123" s="41">
        <v>119</v>
      </c>
      <c r="L123" s="41">
        <f>177-K123</f>
        <v>58</v>
      </c>
      <c r="M123" s="46"/>
      <c r="N123" s="41">
        <v>111</v>
      </c>
      <c r="O123" s="41">
        <v>23</v>
      </c>
      <c r="P123" s="43"/>
      <c r="Q123" s="48"/>
      <c r="R123" s="43"/>
      <c r="S123" s="91"/>
      <c r="T123" s="91"/>
      <c r="U123" s="91"/>
      <c r="V123" s="91"/>
      <c r="W123" s="91"/>
      <c r="X123" s="91"/>
      <c r="Y123" s="91"/>
      <c r="Z123" s="91"/>
      <c r="AA123" s="91"/>
      <c r="AB123" s="91"/>
      <c r="AC123" s="91"/>
      <c r="AD123" s="91"/>
      <c r="AE123" s="91"/>
      <c r="AF123" s="91"/>
      <c r="AG123" s="91"/>
      <c r="AH123" s="91"/>
      <c r="AI123" s="91"/>
      <c r="AJ123" s="91"/>
      <c r="AK123" s="91"/>
      <c r="AL123" s="9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BM</vt:lpstr>
      <vt:lpstr>I</vt:lpstr>
      <vt:lpstr>HY</vt:lpstr>
      <vt:lpstr>FY</vt:lpstr>
      <vt:lpstr>II</vt:lpstr>
      <vt:lpstr>FT Tables</vt:lpstr>
      <vt:lpstr>Rev Tables</vt:lpstr>
      <vt:lpstr>III</vt:lpstr>
      <vt:lpstr>IV</vt:lpstr>
      <vt:lpstr>4Q26</vt:lpstr>
      <vt:lpstr>VA Cons</vt:lpstr>
      <vt:lpstr>Multiples</vt:lpstr>
      <vt:lpstr>Revisions</vt:lpstr>
      <vt:lpstr>Employees</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Masson</dc:creator>
  <cp:lastModifiedBy>Sam Bradshaw</cp:lastModifiedBy>
  <cp:lastPrinted>2026-08-21T02:25:17Z</cp:lastPrinted>
  <dcterms:created xsi:type="dcterms:W3CDTF">2019-01-29T00:42:43Z</dcterms:created>
  <dcterms:modified xsi:type="dcterms:W3CDTF">2026-09-15T09:31:40Z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f5a4f676-b677-4184-b159-c58a0f7c5478</vt:lpwstr>
  </property>
  <property fmtid="{D5CDD505-2E9C-101B-9397-08002B2CF9AE}" pid="3" name="MSIP_Label_ad7df0ac-6e00-44a6-a4a0-aa9ff45f1d55_ActionId">
    <vt:lpwstr>44812553-06da-4026-8049-f7b0cf6761be</vt:lpwstr>
  </property>
  <property fmtid="{D5CDD505-2E9C-101B-9397-08002B2CF9AE}" pid="4" name="MSIP_Label_ad7df0ac-6e00-44a6-a4a0-aa9ff45f1d55_Name">
    <vt:lpwstr>Confidential \ Confidential - EP</vt:lpwstr>
  </property>
  <property fmtid="{D5CDD505-2E9C-101B-9397-08002B2CF9AE}" pid="5" name="MSIP_Label_ad7df0ac-6e00-44a6-a4a0-aa9ff45f1d55_SetDate">
    <vt:lpwstr>2026-08-20T12:23:47Z</vt:lpwstr>
  </property>
  <property fmtid="{D5CDD505-2E9C-101B-9397-08002B2CF9AE}" pid="6" name="MSIP_Label_ad7df0ac-6e00-44a6-a4a0-aa9ff45f1d55_SiteId">
    <vt:lpwstr>6d13d3d5-8b13-4ab4-a345-350f909f5f65</vt:lpwstr>
  </property>
  <property fmtid="{D5CDD505-2E9C-101B-9397-08002B2CF9AE}" pid="7" name="MSIP_Label_ad7df0ac-6e00-44a6-a4a0-aa9ff45f1d55_Enabled">
    <vt:lpwstr>True</vt:lpwstr>
  </property>
  <property fmtid="{D5CDD505-2E9C-101B-9397-08002B2CF9AE}" pid="8" name="MSIP_Label_ad7df0ac-6e00-44a6-a4a0-aa9ff45f1d55_Removed">
    <vt:lpwstr>False</vt:lpwstr>
  </property>
  <property fmtid="{D5CDD505-2E9C-101B-9397-08002B2CF9AE}" pid="9" name="MSIP_Label_ad7df0ac-6e00-44a6-a4a0-aa9ff45f1d55_Parent">
    <vt:lpwstr>e38367da-ee36-4bc2-a015-a051761599f2</vt:lpwstr>
  </property>
  <property fmtid="{D5CDD505-2E9C-101B-9397-08002B2CF9AE}" pid="10" name="MSIP_Label_ad7df0ac-6e00-44a6-a4a0-aa9ff45f1d55_Extended_MSFT_Method">
    <vt:lpwstr>Standard</vt:lpwstr>
  </property>
  <property fmtid="{D5CDD505-2E9C-101B-9397-08002B2CF9AE}" pid="11" name="MSIP_Label_e38367da-ee36-4bc2-a015-a051761599f2_Enabled">
    <vt:lpwstr>True</vt:lpwstr>
  </property>
  <property fmtid="{D5CDD505-2E9C-101B-9397-08002B2CF9AE}" pid="12" name="MSIP_Label_e38367da-ee36-4bc2-a015-a051761599f2_SiteId">
    <vt:lpwstr>6d13d3d5-8b13-4ab4-a345-350f909f5f65</vt:lpwstr>
  </property>
  <property fmtid="{D5CDD505-2E9C-101B-9397-08002B2CF9AE}" pid="13" name="MSIP_Label_e38367da-ee36-4bc2-a015-a051761599f2_SetDate">
    <vt:lpwstr>2026-08-20T12:23:47Z</vt:lpwstr>
  </property>
  <property fmtid="{D5CDD505-2E9C-101B-9397-08002B2CF9AE}" pid="14" name="MSIP_Label_e38367da-ee36-4bc2-a015-a051761599f2_Name">
    <vt:lpwstr>Confidential</vt:lpwstr>
  </property>
  <property fmtid="{D5CDD505-2E9C-101B-9397-08002B2CF9AE}" pid="15" name="MSIP_Label_e38367da-ee36-4bc2-a015-a051761599f2_ActionId">
    <vt:lpwstr>e1593b27-1de4-465a-81f6-5b501f58c961</vt:lpwstr>
  </property>
  <property fmtid="{D5CDD505-2E9C-101B-9397-08002B2CF9AE}" pid="16" name="MSIP_Label_e38367da-ee36-4bc2-a015-a051761599f2_Extended_MSFT_Method">
    <vt:lpwstr>Standard</vt:lpwstr>
  </property>
  <property fmtid="{D5CDD505-2E9C-101B-9397-08002B2CF9AE}" pid="17" name="Sensitivity">
    <vt:lpwstr>Confidential \ Confidential - EP Confidential</vt:lpwstr>
  </property>
</Properties>
</file>